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2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3.xml" ContentType="application/vnd.openxmlformats-officedocument.drawing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drawings/drawing4.xml" ContentType="application/vnd.openxmlformats-officedocument.drawing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charts/chart25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charts/chart26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s264729\OneDrive - Cranfield University\Documents\_PhD Cranfield\Conference - CIRPe WebConf 2019\"/>
    </mc:Choice>
  </mc:AlternateContent>
  <bookViews>
    <workbookView minimized="1" xWindow="0" yWindow="0" windowWidth="22980" windowHeight="8940"/>
  </bookViews>
  <sheets>
    <sheet name="Details" sheetId="9" r:id="rId1"/>
    <sheet name="Influencing Factors" sheetId="6" r:id="rId2"/>
    <sheet name="Infl factors w. pedigree" sheetId="10" r:id="rId3"/>
    <sheet name="Pairwise &amp; AHP" sheetId="8" r:id="rId4"/>
  </sheets>
  <calcPr calcId="162913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P13" i="8" l="1"/>
  <c r="O6" i="8"/>
  <c r="R15" i="9"/>
  <c r="M6" i="10"/>
  <c r="BE34" i="8"/>
  <c r="AW33" i="8"/>
  <c r="AV33" i="8"/>
  <c r="AU33" i="8"/>
  <c r="AO33" i="8"/>
  <c r="AD40" i="8"/>
  <c r="AO36" i="8"/>
  <c r="AO35" i="8"/>
  <c r="AO34" i="8"/>
  <c r="AQ34" i="8"/>
  <c r="O7" i="6"/>
  <c r="O8" i="6"/>
  <c r="O9" i="6"/>
  <c r="O10" i="6"/>
  <c r="O11" i="6"/>
  <c r="O12" i="6"/>
  <c r="O13" i="6"/>
  <c r="O14" i="6"/>
  <c r="O15" i="6"/>
  <c r="O16" i="6"/>
  <c r="O17" i="6"/>
  <c r="O18" i="6"/>
  <c r="O19" i="6"/>
  <c r="O20" i="6"/>
  <c r="O21" i="6"/>
  <c r="O22" i="6"/>
  <c r="O23" i="6"/>
  <c r="O24" i="6"/>
  <c r="O25" i="6"/>
  <c r="O26" i="6"/>
  <c r="O27" i="6"/>
  <c r="O28" i="6"/>
  <c r="O29" i="6"/>
  <c r="O30" i="6"/>
  <c r="O31" i="6"/>
  <c r="O32" i="6"/>
  <c r="O33" i="6"/>
  <c r="O34" i="6"/>
  <c r="O35" i="6"/>
  <c r="O36" i="6"/>
  <c r="O37" i="6"/>
  <c r="O6" i="6"/>
  <c r="Q7" i="6"/>
  <c r="R13" i="6"/>
  <c r="Q9" i="6"/>
  <c r="Q8" i="6"/>
  <c r="Q10" i="6"/>
  <c r="Q11" i="6"/>
  <c r="Q12" i="6"/>
  <c r="Q13" i="6"/>
  <c r="Q14" i="6"/>
  <c r="Q15" i="6"/>
  <c r="Q16" i="6"/>
  <c r="Q17" i="6"/>
  <c r="Q18" i="6"/>
  <c r="Q19" i="6"/>
  <c r="Q20" i="6"/>
  <c r="Q21" i="6"/>
  <c r="Q22" i="6"/>
  <c r="Q23" i="6"/>
  <c r="Q24" i="6"/>
  <c r="Q25" i="6"/>
  <c r="Q26" i="6"/>
  <c r="Q27" i="6"/>
  <c r="Q28" i="6"/>
  <c r="Q29" i="6"/>
  <c r="Q30" i="6"/>
  <c r="Q31" i="6"/>
  <c r="Q32" i="6"/>
  <c r="Q33" i="6"/>
  <c r="Q34" i="6"/>
  <c r="Q35" i="6"/>
  <c r="Q36" i="6"/>
  <c r="Q37" i="6"/>
  <c r="Q6" i="6"/>
  <c r="T18" i="9"/>
  <c r="AK16" i="9"/>
  <c r="S18" i="9"/>
  <c r="AK15" i="9"/>
  <c r="R18" i="9"/>
  <c r="AK14" i="9"/>
  <c r="U18" i="9"/>
  <c r="AK17" i="9"/>
  <c r="V18" i="9"/>
  <c r="AK18" i="9"/>
  <c r="W18" i="9"/>
  <c r="AK19" i="9"/>
  <c r="X18" i="9"/>
  <c r="AK20" i="9"/>
  <c r="AA18" i="9"/>
  <c r="O10" i="9"/>
  <c r="I6" i="10"/>
  <c r="X6" i="10"/>
  <c r="M7" i="10"/>
  <c r="I7" i="10"/>
  <c r="X7" i="10"/>
  <c r="I8" i="10"/>
  <c r="X8" i="10"/>
  <c r="I9" i="10"/>
  <c r="X9" i="10"/>
  <c r="I10" i="10"/>
  <c r="X10" i="10"/>
  <c r="I11" i="10"/>
  <c r="X11" i="10"/>
  <c r="I12" i="10"/>
  <c r="X12" i="10"/>
  <c r="I13" i="10"/>
  <c r="X13" i="10"/>
  <c r="I14" i="10"/>
  <c r="X14" i="10"/>
  <c r="I15" i="10"/>
  <c r="X15" i="10"/>
  <c r="I16" i="10"/>
  <c r="X16" i="10"/>
  <c r="I17" i="10"/>
  <c r="X17" i="10"/>
  <c r="I18" i="10"/>
  <c r="X18" i="10"/>
  <c r="I19" i="10"/>
  <c r="X19" i="10"/>
  <c r="I20" i="10"/>
  <c r="X20" i="10"/>
  <c r="I21" i="10"/>
  <c r="X21" i="10"/>
  <c r="I22" i="10"/>
  <c r="X22" i="10"/>
  <c r="I23" i="10"/>
  <c r="X23" i="10"/>
  <c r="I24" i="10"/>
  <c r="X24" i="10"/>
  <c r="I25" i="10"/>
  <c r="X25" i="10"/>
  <c r="I26" i="10"/>
  <c r="X26" i="10"/>
  <c r="I27" i="10"/>
  <c r="X27" i="10"/>
  <c r="I28" i="10"/>
  <c r="X28" i="10"/>
  <c r="I29" i="10"/>
  <c r="X29" i="10"/>
  <c r="I30" i="10"/>
  <c r="X30" i="10"/>
  <c r="I31" i="10"/>
  <c r="X31" i="10"/>
  <c r="I32" i="10"/>
  <c r="X32" i="10"/>
  <c r="I33" i="10"/>
  <c r="X33" i="10"/>
  <c r="I34" i="10"/>
  <c r="X34" i="10"/>
  <c r="I35" i="10"/>
  <c r="X35" i="10"/>
  <c r="I36" i="10"/>
  <c r="X36" i="10"/>
  <c r="I37" i="10"/>
  <c r="X37" i="10"/>
  <c r="T7" i="6"/>
  <c r="V7" i="6"/>
  <c r="V8" i="6"/>
  <c r="V9" i="6"/>
  <c r="V10" i="6"/>
  <c r="V11" i="6"/>
  <c r="V12" i="6"/>
  <c r="V13" i="6"/>
  <c r="V14" i="6"/>
  <c r="V15" i="6"/>
  <c r="V16" i="6"/>
  <c r="V17" i="6"/>
  <c r="V18" i="6"/>
  <c r="V19" i="6"/>
  <c r="V20" i="6"/>
  <c r="V21" i="6"/>
  <c r="V22" i="6"/>
  <c r="V23" i="6"/>
  <c r="V24" i="6"/>
  <c r="V25" i="6"/>
  <c r="V26" i="6"/>
  <c r="V27" i="6"/>
  <c r="V28" i="6"/>
  <c r="V29" i="6"/>
  <c r="V30" i="6"/>
  <c r="V31" i="6"/>
  <c r="V32" i="6"/>
  <c r="V33" i="6"/>
  <c r="V34" i="6"/>
  <c r="V35" i="6"/>
  <c r="V36" i="6"/>
  <c r="V37" i="6"/>
  <c r="V6" i="6"/>
  <c r="T6" i="6"/>
  <c r="T8" i="6"/>
  <c r="T9" i="6"/>
  <c r="T10" i="6"/>
  <c r="T11" i="6"/>
  <c r="T12" i="6"/>
  <c r="T13" i="6"/>
  <c r="U13" i="6"/>
  <c r="T37" i="6"/>
  <c r="T31" i="6"/>
  <c r="T32" i="6"/>
  <c r="T33" i="6"/>
  <c r="T34" i="6"/>
  <c r="T35" i="6"/>
  <c r="T36" i="6"/>
  <c r="U37" i="6"/>
  <c r="T30" i="6"/>
  <c r="T23" i="6"/>
  <c r="T24" i="6"/>
  <c r="T25" i="6"/>
  <c r="T26" i="6"/>
  <c r="T27" i="6"/>
  <c r="T28" i="6"/>
  <c r="T29" i="6"/>
  <c r="U30" i="6"/>
  <c r="T22" i="6"/>
  <c r="T17" i="6"/>
  <c r="T18" i="6"/>
  <c r="T19" i="6"/>
  <c r="T20" i="6"/>
  <c r="T21" i="6"/>
  <c r="U22" i="6"/>
  <c r="T16" i="6"/>
  <c r="T14" i="6"/>
  <c r="T15" i="6"/>
  <c r="U16" i="6"/>
  <c r="P13" i="6"/>
  <c r="P16" i="6"/>
  <c r="P22" i="6"/>
  <c r="P30" i="6"/>
  <c r="P37" i="6"/>
  <c r="E7" i="10"/>
  <c r="F7" i="10"/>
  <c r="G7" i="10"/>
  <c r="H7" i="10"/>
  <c r="J7" i="10"/>
  <c r="K7" i="10"/>
  <c r="L7" i="10"/>
  <c r="E8" i="10"/>
  <c r="F8" i="10"/>
  <c r="G8" i="10"/>
  <c r="H8" i="10"/>
  <c r="J8" i="10"/>
  <c r="K8" i="10"/>
  <c r="L8" i="10"/>
  <c r="M8" i="10"/>
  <c r="E9" i="10"/>
  <c r="F9" i="10"/>
  <c r="G9" i="10"/>
  <c r="H9" i="10"/>
  <c r="J9" i="10"/>
  <c r="K9" i="10"/>
  <c r="L9" i="10"/>
  <c r="M9" i="10"/>
  <c r="E10" i="10"/>
  <c r="F10" i="10"/>
  <c r="G10" i="10"/>
  <c r="H10" i="10"/>
  <c r="J10" i="10"/>
  <c r="K10" i="10"/>
  <c r="L10" i="10"/>
  <c r="M10" i="10"/>
  <c r="E11" i="10"/>
  <c r="F11" i="10"/>
  <c r="G11" i="10"/>
  <c r="H11" i="10"/>
  <c r="J11" i="10"/>
  <c r="K11" i="10"/>
  <c r="L11" i="10"/>
  <c r="M11" i="10"/>
  <c r="E12" i="10"/>
  <c r="F12" i="10"/>
  <c r="G12" i="10"/>
  <c r="H12" i="10"/>
  <c r="J12" i="10"/>
  <c r="K12" i="10"/>
  <c r="L12" i="10"/>
  <c r="M12" i="10"/>
  <c r="E13" i="10"/>
  <c r="F13" i="10"/>
  <c r="G13" i="10"/>
  <c r="H13" i="10"/>
  <c r="J13" i="10"/>
  <c r="K13" i="10"/>
  <c r="L13" i="10"/>
  <c r="M13" i="10"/>
  <c r="E14" i="10"/>
  <c r="F14" i="10"/>
  <c r="G14" i="10"/>
  <c r="H14" i="10"/>
  <c r="J14" i="10"/>
  <c r="K14" i="10"/>
  <c r="L14" i="10"/>
  <c r="M14" i="10"/>
  <c r="E15" i="10"/>
  <c r="F15" i="10"/>
  <c r="G15" i="10"/>
  <c r="H15" i="10"/>
  <c r="J15" i="10"/>
  <c r="K15" i="10"/>
  <c r="L15" i="10"/>
  <c r="M15" i="10"/>
  <c r="E16" i="10"/>
  <c r="F16" i="10"/>
  <c r="G16" i="10"/>
  <c r="H16" i="10"/>
  <c r="J16" i="10"/>
  <c r="K16" i="10"/>
  <c r="L16" i="10"/>
  <c r="M16" i="10"/>
  <c r="E17" i="10"/>
  <c r="F17" i="10"/>
  <c r="G17" i="10"/>
  <c r="H17" i="10"/>
  <c r="J17" i="10"/>
  <c r="K17" i="10"/>
  <c r="L17" i="10"/>
  <c r="M17" i="10"/>
  <c r="E18" i="10"/>
  <c r="F18" i="10"/>
  <c r="G18" i="10"/>
  <c r="H18" i="10"/>
  <c r="J18" i="10"/>
  <c r="K18" i="10"/>
  <c r="L18" i="10"/>
  <c r="M18" i="10"/>
  <c r="E19" i="10"/>
  <c r="F19" i="10"/>
  <c r="G19" i="10"/>
  <c r="H19" i="10"/>
  <c r="J19" i="10"/>
  <c r="K19" i="10"/>
  <c r="L19" i="10"/>
  <c r="M19" i="10"/>
  <c r="E20" i="10"/>
  <c r="F20" i="10"/>
  <c r="G20" i="10"/>
  <c r="H20" i="10"/>
  <c r="J20" i="10"/>
  <c r="K20" i="10"/>
  <c r="L20" i="10"/>
  <c r="M20" i="10"/>
  <c r="E21" i="10"/>
  <c r="F21" i="10"/>
  <c r="G21" i="10"/>
  <c r="H21" i="10"/>
  <c r="J21" i="10"/>
  <c r="K21" i="10"/>
  <c r="L21" i="10"/>
  <c r="M21" i="10"/>
  <c r="E22" i="10"/>
  <c r="F22" i="10"/>
  <c r="G22" i="10"/>
  <c r="H22" i="10"/>
  <c r="J22" i="10"/>
  <c r="K22" i="10"/>
  <c r="L22" i="10"/>
  <c r="M22" i="10"/>
  <c r="E23" i="10"/>
  <c r="F23" i="10"/>
  <c r="G23" i="10"/>
  <c r="H23" i="10"/>
  <c r="J23" i="10"/>
  <c r="K23" i="10"/>
  <c r="L23" i="10"/>
  <c r="M23" i="10"/>
  <c r="E24" i="10"/>
  <c r="F24" i="10"/>
  <c r="G24" i="10"/>
  <c r="H24" i="10"/>
  <c r="J24" i="10"/>
  <c r="K24" i="10"/>
  <c r="L24" i="10"/>
  <c r="M24" i="10"/>
  <c r="E25" i="10"/>
  <c r="F25" i="10"/>
  <c r="G25" i="10"/>
  <c r="H25" i="10"/>
  <c r="J25" i="10"/>
  <c r="K25" i="10"/>
  <c r="L25" i="10"/>
  <c r="M25" i="10"/>
  <c r="E26" i="10"/>
  <c r="F26" i="10"/>
  <c r="G26" i="10"/>
  <c r="H26" i="10"/>
  <c r="J26" i="10"/>
  <c r="K26" i="10"/>
  <c r="L26" i="10"/>
  <c r="M26" i="10"/>
  <c r="E27" i="10"/>
  <c r="F27" i="10"/>
  <c r="G27" i="10"/>
  <c r="H27" i="10"/>
  <c r="J27" i="10"/>
  <c r="K27" i="10"/>
  <c r="L27" i="10"/>
  <c r="M27" i="10"/>
  <c r="E28" i="10"/>
  <c r="F28" i="10"/>
  <c r="G28" i="10"/>
  <c r="H28" i="10"/>
  <c r="J28" i="10"/>
  <c r="K28" i="10"/>
  <c r="L28" i="10"/>
  <c r="M28" i="10"/>
  <c r="E29" i="10"/>
  <c r="F29" i="10"/>
  <c r="G29" i="10"/>
  <c r="H29" i="10"/>
  <c r="J29" i="10"/>
  <c r="K29" i="10"/>
  <c r="L29" i="10"/>
  <c r="M29" i="10"/>
  <c r="E30" i="10"/>
  <c r="F30" i="10"/>
  <c r="G30" i="10"/>
  <c r="H30" i="10"/>
  <c r="J30" i="10"/>
  <c r="K30" i="10"/>
  <c r="L30" i="10"/>
  <c r="M30" i="10"/>
  <c r="E31" i="10"/>
  <c r="F31" i="10"/>
  <c r="G31" i="10"/>
  <c r="H31" i="10"/>
  <c r="J31" i="10"/>
  <c r="K31" i="10"/>
  <c r="L31" i="10"/>
  <c r="M31" i="10"/>
  <c r="E32" i="10"/>
  <c r="F32" i="10"/>
  <c r="G32" i="10"/>
  <c r="H32" i="10"/>
  <c r="J32" i="10"/>
  <c r="K32" i="10"/>
  <c r="L32" i="10"/>
  <c r="M32" i="10"/>
  <c r="E33" i="10"/>
  <c r="F33" i="10"/>
  <c r="G33" i="10"/>
  <c r="H33" i="10"/>
  <c r="J33" i="10"/>
  <c r="K33" i="10"/>
  <c r="L33" i="10"/>
  <c r="M33" i="10"/>
  <c r="E34" i="10"/>
  <c r="F34" i="10"/>
  <c r="G34" i="10"/>
  <c r="H34" i="10"/>
  <c r="J34" i="10"/>
  <c r="K34" i="10"/>
  <c r="L34" i="10"/>
  <c r="M34" i="10"/>
  <c r="E35" i="10"/>
  <c r="F35" i="10"/>
  <c r="G35" i="10"/>
  <c r="H35" i="10"/>
  <c r="J35" i="10"/>
  <c r="K35" i="10"/>
  <c r="L35" i="10"/>
  <c r="M35" i="10"/>
  <c r="E36" i="10"/>
  <c r="F36" i="10"/>
  <c r="G36" i="10"/>
  <c r="H36" i="10"/>
  <c r="J36" i="10"/>
  <c r="K36" i="10"/>
  <c r="L36" i="10"/>
  <c r="M36" i="10"/>
  <c r="E37" i="10"/>
  <c r="F37" i="10"/>
  <c r="G37" i="10"/>
  <c r="H37" i="10"/>
  <c r="J37" i="10"/>
  <c r="K37" i="10"/>
  <c r="L37" i="10"/>
  <c r="M37" i="10"/>
  <c r="F6" i="10"/>
  <c r="G6" i="10"/>
  <c r="H6" i="10"/>
  <c r="J6" i="10"/>
  <c r="K6" i="10"/>
  <c r="L6" i="10"/>
  <c r="E6" i="10"/>
  <c r="D32" i="8"/>
  <c r="AA44" i="8"/>
  <c r="BH44" i="8"/>
  <c r="D33" i="8"/>
  <c r="AA45" i="8"/>
  <c r="BH45" i="8"/>
  <c r="D34" i="8"/>
  <c r="AA46" i="8"/>
  <c r="BH46" i="8"/>
  <c r="D35" i="8"/>
  <c r="AA47" i="8"/>
  <c r="BH47" i="8"/>
  <c r="D36" i="8"/>
  <c r="AA48" i="8"/>
  <c r="BH48" i="8"/>
  <c r="D37" i="8"/>
  <c r="AA49" i="8"/>
  <c r="BH49" i="8"/>
  <c r="O31" i="8"/>
  <c r="O32" i="8"/>
  <c r="AC43" i="8"/>
  <c r="AB44" i="8"/>
  <c r="O33" i="8"/>
  <c r="AD43" i="8"/>
  <c r="AB45" i="8"/>
  <c r="O34" i="8"/>
  <c r="AE43" i="8"/>
  <c r="AB46" i="8"/>
  <c r="O35" i="8"/>
  <c r="AF43" i="8"/>
  <c r="AB47" i="8"/>
  <c r="AB50" i="8"/>
  <c r="AM43" i="8"/>
  <c r="AD44" i="8"/>
  <c r="AC45" i="8"/>
  <c r="AE44" i="8"/>
  <c r="AC46" i="8"/>
  <c r="AF44" i="8"/>
  <c r="AC47" i="8"/>
  <c r="AC50" i="8"/>
  <c r="AN43" i="8"/>
  <c r="AE45" i="8"/>
  <c r="AD46" i="8"/>
  <c r="AF45" i="8"/>
  <c r="AD47" i="8"/>
  <c r="AD50" i="8"/>
  <c r="AO43" i="8"/>
  <c r="AF46" i="8"/>
  <c r="AE47" i="8"/>
  <c r="AE50" i="8"/>
  <c r="AP43" i="8"/>
  <c r="AF50" i="8"/>
  <c r="AQ43" i="8"/>
  <c r="O36" i="8"/>
  <c r="AG43" i="8"/>
  <c r="AG44" i="8"/>
  <c r="AG45" i="8"/>
  <c r="AG46" i="8"/>
  <c r="AG47" i="8"/>
  <c r="AG50" i="8"/>
  <c r="AR43" i="8"/>
  <c r="O37" i="8"/>
  <c r="AH43" i="8"/>
  <c r="AH44" i="8"/>
  <c r="AH45" i="8"/>
  <c r="AH46" i="8"/>
  <c r="AH47" i="8"/>
  <c r="AH50" i="8"/>
  <c r="AS43" i="8"/>
  <c r="AU43" i="8"/>
  <c r="AM44" i="8"/>
  <c r="AN44" i="8"/>
  <c r="AO44" i="8"/>
  <c r="AP44" i="8"/>
  <c r="AQ44" i="8"/>
  <c r="AR44" i="8"/>
  <c r="AS44" i="8"/>
  <c r="AU44" i="8"/>
  <c r="AM45" i="8"/>
  <c r="AN45" i="8"/>
  <c r="AO45" i="8"/>
  <c r="AP45" i="8"/>
  <c r="AQ45" i="8"/>
  <c r="AR45" i="8"/>
  <c r="AS45" i="8"/>
  <c r="AU45" i="8"/>
  <c r="AM46" i="8"/>
  <c r="AN46" i="8"/>
  <c r="AO46" i="8"/>
  <c r="AP46" i="8"/>
  <c r="AQ46" i="8"/>
  <c r="AR46" i="8"/>
  <c r="AS46" i="8"/>
  <c r="AU46" i="8"/>
  <c r="AM47" i="8"/>
  <c r="AN47" i="8"/>
  <c r="AO47" i="8"/>
  <c r="AP47" i="8"/>
  <c r="AQ47" i="8"/>
  <c r="AR47" i="8"/>
  <c r="AS47" i="8"/>
  <c r="AU47" i="8"/>
  <c r="AB48" i="8"/>
  <c r="AM48" i="8"/>
  <c r="AC48" i="8"/>
  <c r="AN48" i="8"/>
  <c r="AD48" i="8"/>
  <c r="AO48" i="8"/>
  <c r="AE48" i="8"/>
  <c r="AP48" i="8"/>
  <c r="AF48" i="8"/>
  <c r="AQ48" i="8"/>
  <c r="AR48" i="8"/>
  <c r="AH48" i="8"/>
  <c r="AS48" i="8"/>
  <c r="AU48" i="8"/>
  <c r="AB49" i="8"/>
  <c r="AM49" i="8"/>
  <c r="AC49" i="8"/>
  <c r="AN49" i="8"/>
  <c r="AD49" i="8"/>
  <c r="AO49" i="8"/>
  <c r="AE49" i="8"/>
  <c r="AP49" i="8"/>
  <c r="AF49" i="8"/>
  <c r="AQ49" i="8"/>
  <c r="AG49" i="8"/>
  <c r="AR49" i="8"/>
  <c r="AS49" i="8"/>
  <c r="AU49" i="8"/>
  <c r="AU50" i="8"/>
  <c r="AV43" i="8"/>
  <c r="AV44" i="8"/>
  <c r="AV45" i="8"/>
  <c r="AV46" i="8"/>
  <c r="AV47" i="8"/>
  <c r="AV48" i="8"/>
  <c r="AV49" i="8"/>
  <c r="AW43" i="8"/>
  <c r="AW44" i="8"/>
  <c r="AW45" i="8"/>
  <c r="AW46" i="8"/>
  <c r="AW47" i="8"/>
  <c r="AZ50" i="8"/>
  <c r="BD43" i="8"/>
  <c r="BI43" i="8"/>
  <c r="O25" i="8"/>
  <c r="BE43" i="8"/>
  <c r="BJ43" i="8"/>
  <c r="BD44" i="8"/>
  <c r="BI44" i="8"/>
  <c r="O26" i="8"/>
  <c r="BE44" i="8"/>
  <c r="BJ44" i="8"/>
  <c r="BD45" i="8"/>
  <c r="BI45" i="8"/>
  <c r="O27" i="8"/>
  <c r="BE45" i="8"/>
  <c r="BJ45" i="8"/>
  <c r="BD46" i="8"/>
  <c r="BI46" i="8"/>
  <c r="O28" i="8"/>
  <c r="BE46" i="8"/>
  <c r="BJ46" i="8"/>
  <c r="BD47" i="8"/>
  <c r="BI47" i="8"/>
  <c r="O29" i="8"/>
  <c r="BE47" i="8"/>
  <c r="BJ47" i="8"/>
  <c r="BD48" i="8"/>
  <c r="BI48" i="8"/>
  <c r="O30" i="8"/>
  <c r="BE48" i="8"/>
  <c r="BJ48" i="8"/>
  <c r="BD49" i="8"/>
  <c r="BI49" i="8"/>
  <c r="BE49" i="8"/>
  <c r="BJ49" i="8"/>
  <c r="BJ42" i="8"/>
  <c r="BI42" i="8"/>
  <c r="D31" i="8"/>
  <c r="AA43" i="8"/>
  <c r="BH43" i="8"/>
  <c r="BG43" i="8"/>
  <c r="D24" i="8"/>
  <c r="AA33" i="8"/>
  <c r="BH33" i="8"/>
  <c r="D25" i="8"/>
  <c r="AA34" i="8"/>
  <c r="BH34" i="8"/>
  <c r="D26" i="8"/>
  <c r="AA35" i="8"/>
  <c r="BH35" i="8"/>
  <c r="D27" i="8"/>
  <c r="AA36" i="8"/>
  <c r="BH36" i="8"/>
  <c r="D28" i="8"/>
  <c r="AA37" i="8"/>
  <c r="BH37" i="8"/>
  <c r="D29" i="8"/>
  <c r="AA38" i="8"/>
  <c r="BH38" i="8"/>
  <c r="D30" i="8"/>
  <c r="AA39" i="8"/>
  <c r="BH39" i="8"/>
  <c r="O23" i="8"/>
  <c r="O24" i="8"/>
  <c r="AC32" i="8"/>
  <c r="AB33" i="8"/>
  <c r="AD32" i="8"/>
  <c r="AB34" i="8"/>
  <c r="AE32" i="8"/>
  <c r="AB35" i="8"/>
  <c r="AF32" i="8"/>
  <c r="AB36" i="8"/>
  <c r="AG32" i="8"/>
  <c r="AB37" i="8"/>
  <c r="AH32" i="8"/>
  <c r="AB38" i="8"/>
  <c r="AI32" i="8"/>
  <c r="AB39" i="8"/>
  <c r="AB40" i="8"/>
  <c r="AM32" i="8"/>
  <c r="AD33" i="8"/>
  <c r="AC34" i="8"/>
  <c r="AE33" i="8"/>
  <c r="AC35" i="8"/>
  <c r="AF33" i="8"/>
  <c r="AC36" i="8"/>
  <c r="AG33" i="8"/>
  <c r="AC37" i="8"/>
  <c r="AH33" i="8"/>
  <c r="AC38" i="8"/>
  <c r="AI33" i="8"/>
  <c r="AC39" i="8"/>
  <c r="AC40" i="8"/>
  <c r="AN32" i="8"/>
  <c r="AE34" i="8"/>
  <c r="AD35" i="8"/>
  <c r="AF34" i="8"/>
  <c r="AD36" i="8"/>
  <c r="AG34" i="8"/>
  <c r="AD37" i="8"/>
  <c r="AH34" i="8"/>
  <c r="AD38" i="8"/>
  <c r="AI34" i="8"/>
  <c r="AD39" i="8"/>
  <c r="AO32" i="8"/>
  <c r="AF35" i="8"/>
  <c r="AE36" i="8"/>
  <c r="AG35" i="8"/>
  <c r="AE37" i="8"/>
  <c r="AH35" i="8"/>
  <c r="AE38" i="8"/>
  <c r="AI35" i="8"/>
  <c r="AE39" i="8"/>
  <c r="AE40" i="8"/>
  <c r="AP32" i="8"/>
  <c r="AG36" i="8"/>
  <c r="AF37" i="8"/>
  <c r="AH36" i="8"/>
  <c r="AF38" i="8"/>
  <c r="AI36" i="8"/>
  <c r="AF39" i="8"/>
  <c r="AF40" i="8"/>
  <c r="AQ32" i="8"/>
  <c r="AH37" i="8"/>
  <c r="AG38" i="8"/>
  <c r="AI37" i="8"/>
  <c r="AG39" i="8"/>
  <c r="AG40" i="8"/>
  <c r="AR32" i="8"/>
  <c r="AI38" i="8"/>
  <c r="AH39" i="8"/>
  <c r="AH40" i="8"/>
  <c r="AS32" i="8"/>
  <c r="AI40" i="8"/>
  <c r="AT32" i="8"/>
  <c r="AU32" i="8"/>
  <c r="AM33" i="8"/>
  <c r="AN33" i="8"/>
  <c r="AP33" i="8"/>
  <c r="AQ33" i="8"/>
  <c r="AR33" i="8"/>
  <c r="AS33" i="8"/>
  <c r="AT33" i="8"/>
  <c r="AM34" i="8"/>
  <c r="AN34" i="8"/>
  <c r="AP34" i="8"/>
  <c r="AR34" i="8"/>
  <c r="AS34" i="8"/>
  <c r="AT34" i="8"/>
  <c r="AU34" i="8"/>
  <c r="AM35" i="8"/>
  <c r="AN35" i="8"/>
  <c r="AP35" i="8"/>
  <c r="AQ35" i="8"/>
  <c r="AR35" i="8"/>
  <c r="AS35" i="8"/>
  <c r="AT35" i="8"/>
  <c r="AU35" i="8"/>
  <c r="AM36" i="8"/>
  <c r="AN36" i="8"/>
  <c r="AP36" i="8"/>
  <c r="AQ36" i="8"/>
  <c r="AR36" i="8"/>
  <c r="AS36" i="8"/>
  <c r="AT36" i="8"/>
  <c r="AU36" i="8"/>
  <c r="AM37" i="8"/>
  <c r="AN37" i="8"/>
  <c r="AO37" i="8"/>
  <c r="AP37" i="8"/>
  <c r="AQ37" i="8"/>
  <c r="AR37" i="8"/>
  <c r="AS37" i="8"/>
  <c r="AT37" i="8"/>
  <c r="AU37" i="8"/>
  <c r="AM38" i="8"/>
  <c r="AN38" i="8"/>
  <c r="AO38" i="8"/>
  <c r="AP38" i="8"/>
  <c r="AQ38" i="8"/>
  <c r="AR38" i="8"/>
  <c r="AS38" i="8"/>
  <c r="AT38" i="8"/>
  <c r="AU38" i="8"/>
  <c r="AM39" i="8"/>
  <c r="AN39" i="8"/>
  <c r="AO39" i="8"/>
  <c r="AP39" i="8"/>
  <c r="AQ39" i="8"/>
  <c r="AR39" i="8"/>
  <c r="AS39" i="8"/>
  <c r="AT39" i="8"/>
  <c r="AU39" i="8"/>
  <c r="AU40" i="8"/>
  <c r="AV32" i="8"/>
  <c r="AV34" i="8"/>
  <c r="AV35" i="8"/>
  <c r="AV36" i="8"/>
  <c r="AV37" i="8"/>
  <c r="AV38" i="8"/>
  <c r="AV39" i="8"/>
  <c r="AW32" i="8"/>
  <c r="AW34" i="8"/>
  <c r="AW35" i="8"/>
  <c r="AW36" i="8"/>
  <c r="AW37" i="8"/>
  <c r="AW38" i="8"/>
  <c r="AW39" i="8"/>
  <c r="AZ40" i="8"/>
  <c r="BD32" i="8"/>
  <c r="BI32" i="8"/>
  <c r="O17" i="8"/>
  <c r="BE32" i="8"/>
  <c r="BJ32" i="8"/>
  <c r="BD33" i="8"/>
  <c r="BI33" i="8"/>
  <c r="O18" i="8"/>
  <c r="BE33" i="8"/>
  <c r="BJ33" i="8"/>
  <c r="BD34" i="8"/>
  <c r="BI34" i="8"/>
  <c r="O19" i="8"/>
  <c r="BJ34" i="8"/>
  <c r="BD35" i="8"/>
  <c r="BI35" i="8"/>
  <c r="O20" i="8"/>
  <c r="BE35" i="8"/>
  <c r="BJ35" i="8"/>
  <c r="BD36" i="8"/>
  <c r="BI36" i="8"/>
  <c r="O21" i="8"/>
  <c r="BE36" i="8"/>
  <c r="BJ36" i="8"/>
  <c r="BD37" i="8"/>
  <c r="BI37" i="8"/>
  <c r="O22" i="8"/>
  <c r="BE37" i="8"/>
  <c r="BJ37" i="8"/>
  <c r="BD38" i="8"/>
  <c r="BI38" i="8"/>
  <c r="BE38" i="8"/>
  <c r="BJ38" i="8"/>
  <c r="BD39" i="8"/>
  <c r="BI39" i="8"/>
  <c r="BE39" i="8"/>
  <c r="BJ39" i="8"/>
  <c r="BJ31" i="8"/>
  <c r="BI31" i="8"/>
  <c r="D23" i="8"/>
  <c r="AA32" i="8"/>
  <c r="BH32" i="8"/>
  <c r="BG32" i="8"/>
  <c r="D18" i="8"/>
  <c r="AA24" i="8"/>
  <c r="BH24" i="8"/>
  <c r="D19" i="8"/>
  <c r="AA25" i="8"/>
  <c r="BH25" i="8"/>
  <c r="D20" i="8"/>
  <c r="AA26" i="8"/>
  <c r="BH26" i="8"/>
  <c r="D21" i="8"/>
  <c r="AA27" i="8"/>
  <c r="BH27" i="8"/>
  <c r="D22" i="8"/>
  <c r="AA28" i="8"/>
  <c r="BH28" i="8"/>
  <c r="AC23" i="8"/>
  <c r="AB24" i="8"/>
  <c r="AD23" i="8"/>
  <c r="AB25" i="8"/>
  <c r="AE23" i="8"/>
  <c r="AB26" i="8"/>
  <c r="AF23" i="8"/>
  <c r="AB27" i="8"/>
  <c r="AG23" i="8"/>
  <c r="AB28" i="8"/>
  <c r="AB29" i="8"/>
  <c r="AM23" i="8"/>
  <c r="AD24" i="8"/>
  <c r="AC25" i="8"/>
  <c r="AE24" i="8"/>
  <c r="AC26" i="8"/>
  <c r="AF24" i="8"/>
  <c r="AC27" i="8"/>
  <c r="AG24" i="8"/>
  <c r="AC28" i="8"/>
  <c r="AC29" i="8"/>
  <c r="AN23" i="8"/>
  <c r="AE25" i="8"/>
  <c r="AD26" i="8"/>
  <c r="AF25" i="8"/>
  <c r="AD27" i="8"/>
  <c r="AG25" i="8"/>
  <c r="AD28" i="8"/>
  <c r="AD29" i="8"/>
  <c r="AO23" i="8"/>
  <c r="AF26" i="8"/>
  <c r="AE27" i="8"/>
  <c r="AG26" i="8"/>
  <c r="AE28" i="8"/>
  <c r="AE29" i="8"/>
  <c r="AP23" i="8"/>
  <c r="AG27" i="8"/>
  <c r="AF28" i="8"/>
  <c r="AF29" i="8"/>
  <c r="AQ23" i="8"/>
  <c r="AG29" i="8"/>
  <c r="AR23" i="8"/>
  <c r="AU23" i="8"/>
  <c r="AM24" i="8"/>
  <c r="AN24" i="8"/>
  <c r="AO24" i="8"/>
  <c r="AP24" i="8"/>
  <c r="AQ24" i="8"/>
  <c r="AR24" i="8"/>
  <c r="AU24" i="8"/>
  <c r="AM25" i="8"/>
  <c r="AN25" i="8"/>
  <c r="AO25" i="8"/>
  <c r="AP25" i="8"/>
  <c r="AQ25" i="8"/>
  <c r="AR25" i="8"/>
  <c r="AU25" i="8"/>
  <c r="AM26" i="8"/>
  <c r="AN26" i="8"/>
  <c r="AO26" i="8"/>
  <c r="AP26" i="8"/>
  <c r="AQ26" i="8"/>
  <c r="AR26" i="8"/>
  <c r="AU26" i="8"/>
  <c r="AM27" i="8"/>
  <c r="AN27" i="8"/>
  <c r="AO27" i="8"/>
  <c r="AP27" i="8"/>
  <c r="AQ27" i="8"/>
  <c r="AR27" i="8"/>
  <c r="AU27" i="8"/>
  <c r="AM28" i="8"/>
  <c r="AN28" i="8"/>
  <c r="AO28" i="8"/>
  <c r="AP28" i="8"/>
  <c r="AQ28" i="8"/>
  <c r="AR28" i="8"/>
  <c r="AU28" i="8"/>
  <c r="AU29" i="8"/>
  <c r="AV23" i="8"/>
  <c r="AV24" i="8"/>
  <c r="AV25" i="8"/>
  <c r="AV26" i="8"/>
  <c r="AV27" i="8"/>
  <c r="AV28" i="8"/>
  <c r="AW23" i="8"/>
  <c r="AW24" i="8"/>
  <c r="AW25" i="8"/>
  <c r="AW26" i="8"/>
  <c r="AW27" i="8"/>
  <c r="AW28" i="8"/>
  <c r="AZ29" i="8"/>
  <c r="BD23" i="8"/>
  <c r="BI23" i="8"/>
  <c r="O15" i="8"/>
  <c r="BE23" i="8"/>
  <c r="BJ23" i="8"/>
  <c r="BD24" i="8"/>
  <c r="BI24" i="8"/>
  <c r="O16" i="8"/>
  <c r="BE24" i="8"/>
  <c r="BJ24" i="8"/>
  <c r="BD25" i="8"/>
  <c r="BI25" i="8"/>
  <c r="BE25" i="8"/>
  <c r="BJ25" i="8"/>
  <c r="BD26" i="8"/>
  <c r="BI26" i="8"/>
  <c r="BE26" i="8"/>
  <c r="BJ26" i="8"/>
  <c r="BD27" i="8"/>
  <c r="BI27" i="8"/>
  <c r="BE27" i="8"/>
  <c r="BJ27" i="8"/>
  <c r="BD28" i="8"/>
  <c r="BI28" i="8"/>
  <c r="BE28" i="8"/>
  <c r="BJ28" i="8"/>
  <c r="BJ22" i="8"/>
  <c r="BI22" i="8"/>
  <c r="D17" i="8"/>
  <c r="AA23" i="8"/>
  <c r="BH23" i="8"/>
  <c r="BG23" i="8"/>
  <c r="D15" i="8"/>
  <c r="AA18" i="8"/>
  <c r="BH18" i="8"/>
  <c r="D16" i="8"/>
  <c r="AA19" i="8"/>
  <c r="BH19" i="8"/>
  <c r="BJ16" i="8"/>
  <c r="O12" i="8"/>
  <c r="O14" i="8"/>
  <c r="AC17" i="8"/>
  <c r="AB18" i="8"/>
  <c r="AD17" i="8"/>
  <c r="AB19" i="8"/>
  <c r="AB20" i="8"/>
  <c r="AM17" i="8"/>
  <c r="AD18" i="8"/>
  <c r="AC19" i="8"/>
  <c r="AC20" i="8"/>
  <c r="AN17" i="8"/>
  <c r="AD20" i="8"/>
  <c r="AO17" i="8"/>
  <c r="AU17" i="8"/>
  <c r="AM18" i="8"/>
  <c r="AN18" i="8"/>
  <c r="AO18" i="8"/>
  <c r="AU18" i="8"/>
  <c r="AM19" i="8"/>
  <c r="AN19" i="8"/>
  <c r="AO19" i="8"/>
  <c r="AU19" i="8"/>
  <c r="AU20" i="8"/>
  <c r="AV17" i="8"/>
  <c r="AV18" i="8"/>
  <c r="AV19" i="8"/>
  <c r="AW17" i="8"/>
  <c r="AW18" i="8"/>
  <c r="AW19" i="8"/>
  <c r="AZ20" i="8"/>
  <c r="BD17" i="8"/>
  <c r="BE17" i="8"/>
  <c r="BJ17" i="8"/>
  <c r="O13" i="8"/>
  <c r="BD18" i="8"/>
  <c r="BE18" i="8"/>
  <c r="BJ18" i="8"/>
  <c r="BD19" i="8"/>
  <c r="BE19" i="8"/>
  <c r="BJ19" i="8"/>
  <c r="BI17" i="8"/>
  <c r="BI18" i="8"/>
  <c r="BI19" i="8"/>
  <c r="BI16" i="8"/>
  <c r="D14" i="8"/>
  <c r="AA17" i="8"/>
  <c r="BH17" i="8"/>
  <c r="BG17" i="8"/>
  <c r="BG6" i="8"/>
  <c r="D7" i="8"/>
  <c r="AA7" i="8"/>
  <c r="BH7" i="8"/>
  <c r="D8" i="8"/>
  <c r="AA8" i="8"/>
  <c r="BH8" i="8"/>
  <c r="D9" i="8"/>
  <c r="AA9" i="8"/>
  <c r="BH9" i="8"/>
  <c r="D10" i="8"/>
  <c r="AA10" i="8"/>
  <c r="BH10" i="8"/>
  <c r="D11" i="8"/>
  <c r="AA11" i="8"/>
  <c r="BH11" i="8"/>
  <c r="D12" i="8"/>
  <c r="AA12" i="8"/>
  <c r="BH12" i="8"/>
  <c r="D13" i="8"/>
  <c r="AA13" i="8"/>
  <c r="BH13" i="8"/>
  <c r="O7" i="8"/>
  <c r="AC6" i="8"/>
  <c r="AB7" i="8"/>
  <c r="O8" i="8"/>
  <c r="AD6" i="8"/>
  <c r="AB8" i="8"/>
  <c r="O9" i="8"/>
  <c r="AE6" i="8"/>
  <c r="AB9" i="8"/>
  <c r="O10" i="8"/>
  <c r="AF6" i="8"/>
  <c r="AB10" i="8"/>
  <c r="O11" i="8"/>
  <c r="AG6" i="8"/>
  <c r="AB11" i="8"/>
  <c r="AG7" i="8"/>
  <c r="AB12" i="8"/>
  <c r="AG8" i="8"/>
  <c r="AB13" i="8"/>
  <c r="AB14" i="8"/>
  <c r="AM6" i="8"/>
  <c r="AD7" i="8"/>
  <c r="AC8" i="8"/>
  <c r="AE7" i="8"/>
  <c r="AC9" i="8"/>
  <c r="AF7" i="8"/>
  <c r="AC10" i="8"/>
  <c r="AC11" i="8"/>
  <c r="AC12" i="8"/>
  <c r="AG9" i="8"/>
  <c r="AC13" i="8"/>
  <c r="AC14" i="8"/>
  <c r="AN6" i="8"/>
  <c r="AE8" i="8"/>
  <c r="AD9" i="8"/>
  <c r="AF8" i="8"/>
  <c r="AD10" i="8"/>
  <c r="AD11" i="8"/>
  <c r="AD12" i="8"/>
  <c r="AG10" i="8"/>
  <c r="AD13" i="8"/>
  <c r="AD14" i="8"/>
  <c r="AO6" i="8"/>
  <c r="AF9" i="8"/>
  <c r="AE10" i="8"/>
  <c r="AE11" i="8"/>
  <c r="AH9" i="8"/>
  <c r="AE12" i="8"/>
  <c r="AI9" i="8"/>
  <c r="AE13" i="8"/>
  <c r="AE14" i="8"/>
  <c r="AP6" i="8"/>
  <c r="AF11" i="8"/>
  <c r="AH10" i="8"/>
  <c r="AF12" i="8"/>
  <c r="AI10" i="8"/>
  <c r="AF13" i="8"/>
  <c r="AF14" i="8"/>
  <c r="AQ6" i="8"/>
  <c r="AH11" i="8"/>
  <c r="AG12" i="8"/>
  <c r="AI11" i="8"/>
  <c r="AG13" i="8"/>
  <c r="AG14" i="8"/>
  <c r="AR6" i="8"/>
  <c r="AH6" i="8"/>
  <c r="AH7" i="8"/>
  <c r="AH8" i="8"/>
  <c r="AI12" i="8"/>
  <c r="AH13" i="8"/>
  <c r="AH14" i="8"/>
  <c r="AS6" i="8"/>
  <c r="AI6" i="8"/>
  <c r="AI7" i="8"/>
  <c r="AI8" i="8"/>
  <c r="AI14" i="8"/>
  <c r="AT6" i="8"/>
  <c r="AU6" i="8"/>
  <c r="AM7" i="8"/>
  <c r="AN7" i="8"/>
  <c r="AO7" i="8"/>
  <c r="AP7" i="8"/>
  <c r="AQ7" i="8"/>
  <c r="AR7" i="8"/>
  <c r="AS7" i="8"/>
  <c r="AT7" i="8"/>
  <c r="AU7" i="8"/>
  <c r="AM8" i="8"/>
  <c r="AN8" i="8"/>
  <c r="AO8" i="8"/>
  <c r="AP8" i="8"/>
  <c r="AQ8" i="8"/>
  <c r="AR8" i="8"/>
  <c r="AS8" i="8"/>
  <c r="AT8" i="8"/>
  <c r="AU8" i="8"/>
  <c r="AM9" i="8"/>
  <c r="AN9" i="8"/>
  <c r="AO9" i="8"/>
  <c r="AP9" i="8"/>
  <c r="AQ9" i="8"/>
  <c r="AR9" i="8"/>
  <c r="AS9" i="8"/>
  <c r="AT9" i="8"/>
  <c r="AU9" i="8"/>
  <c r="AM10" i="8"/>
  <c r="AN10" i="8"/>
  <c r="AO10" i="8"/>
  <c r="AP10" i="8"/>
  <c r="AQ10" i="8"/>
  <c r="AR10" i="8"/>
  <c r="AS10" i="8"/>
  <c r="AT10" i="8"/>
  <c r="AU10" i="8"/>
  <c r="AM11" i="8"/>
  <c r="AN11" i="8"/>
  <c r="AO11" i="8"/>
  <c r="AP11" i="8"/>
  <c r="AQ11" i="8"/>
  <c r="AR11" i="8"/>
  <c r="AS11" i="8"/>
  <c r="AT11" i="8"/>
  <c r="AU11" i="8"/>
  <c r="AM12" i="8"/>
  <c r="AN12" i="8"/>
  <c r="AO12" i="8"/>
  <c r="AP12" i="8"/>
  <c r="AQ12" i="8"/>
  <c r="AR12" i="8"/>
  <c r="AS12" i="8"/>
  <c r="AT12" i="8"/>
  <c r="AU12" i="8"/>
  <c r="AM13" i="8"/>
  <c r="AN13" i="8"/>
  <c r="AO13" i="8"/>
  <c r="AP13" i="8"/>
  <c r="AQ13" i="8"/>
  <c r="AR13" i="8"/>
  <c r="AS13" i="8"/>
  <c r="AT13" i="8"/>
  <c r="AU13" i="8"/>
  <c r="AU14" i="8"/>
  <c r="AV6" i="8"/>
  <c r="AV7" i="8"/>
  <c r="AV8" i="8"/>
  <c r="AV9" i="8"/>
  <c r="AV10" i="8"/>
  <c r="AV11" i="8"/>
  <c r="AV12" i="8"/>
  <c r="AV13" i="8"/>
  <c r="AW7" i="8"/>
  <c r="AW8" i="8"/>
  <c r="AW9" i="8"/>
  <c r="AW10" i="8"/>
  <c r="AW11" i="8"/>
  <c r="AW12" i="8"/>
  <c r="AW13" i="8"/>
  <c r="BJ5" i="8"/>
  <c r="BI5" i="8"/>
  <c r="D6" i="8"/>
  <c r="AA6" i="8"/>
  <c r="BH6" i="8"/>
  <c r="AH14" i="9"/>
  <c r="T15" i="9"/>
  <c r="AH16" i="9"/>
  <c r="U15" i="9"/>
  <c r="AH17" i="9"/>
  <c r="V15" i="9"/>
  <c r="AH18" i="9"/>
  <c r="W15" i="9"/>
  <c r="AH19" i="9"/>
  <c r="X15" i="9"/>
  <c r="AH20" i="9"/>
  <c r="S15" i="9"/>
  <c r="AH15" i="9"/>
  <c r="AA15" i="9"/>
  <c r="L17" i="9"/>
  <c r="L18" i="9"/>
  <c r="L19" i="9"/>
  <c r="L20" i="9"/>
  <c r="L21" i="9"/>
  <c r="L22" i="9"/>
  <c r="U16" i="9"/>
  <c r="AI17" i="9"/>
  <c r="T14" i="9"/>
  <c r="AG16" i="9"/>
  <c r="S14" i="9"/>
  <c r="AG15" i="9"/>
  <c r="R14" i="9"/>
  <c r="AG14" i="9"/>
  <c r="U14" i="9"/>
  <c r="V14" i="9"/>
  <c r="W14" i="9"/>
  <c r="X14" i="9"/>
  <c r="Y14" i="9"/>
  <c r="Z14" i="9"/>
  <c r="Q15" i="9"/>
  <c r="Q16" i="9"/>
  <c r="Q17" i="9"/>
  <c r="Q18" i="9"/>
  <c r="Q19" i="9"/>
  <c r="Q20" i="9"/>
  <c r="Q21" i="9"/>
  <c r="Q22" i="9"/>
  <c r="Q14" i="9"/>
  <c r="AP21" i="9"/>
  <c r="Y22" i="9"/>
  <c r="AO21" i="9"/>
  <c r="Y21" i="9"/>
  <c r="AN21" i="9"/>
  <c r="Y20" i="9"/>
  <c r="AM21" i="9"/>
  <c r="Y19" i="9"/>
  <c r="AL21" i="9"/>
  <c r="Y18" i="9"/>
  <c r="AK21" i="9"/>
  <c r="Y17" i="9"/>
  <c r="AJ21" i="9"/>
  <c r="Y16" i="9"/>
  <c r="AI21" i="9"/>
  <c r="Y15" i="9"/>
  <c r="AH21" i="9"/>
  <c r="AG21" i="9"/>
  <c r="X22" i="9"/>
  <c r="AO20" i="9"/>
  <c r="Z5" i="9"/>
  <c r="Y13" i="9"/>
  <c r="T6" i="9"/>
  <c r="Z6" i="9"/>
  <c r="T7" i="9"/>
  <c r="Z7" i="9"/>
  <c r="T8" i="9"/>
  <c r="Z8" i="9"/>
  <c r="T9" i="9"/>
  <c r="Z9" i="9"/>
  <c r="T10" i="9"/>
  <c r="Z10" i="9"/>
  <c r="AG17" i="9"/>
  <c r="AG18" i="9"/>
  <c r="AG19" i="9"/>
  <c r="AG20" i="9"/>
  <c r="R17" i="9"/>
  <c r="AJ14" i="9"/>
  <c r="S17" i="9"/>
  <c r="AJ15" i="9"/>
  <c r="T17" i="9"/>
  <c r="AJ16" i="9"/>
  <c r="U17" i="9"/>
  <c r="AJ17" i="9"/>
  <c r="V17" i="9"/>
  <c r="AJ18" i="9"/>
  <c r="W17" i="9"/>
  <c r="AJ19" i="9"/>
  <c r="X17" i="9"/>
  <c r="AJ20" i="9"/>
  <c r="R16" i="9"/>
  <c r="AI14" i="9"/>
  <c r="S16" i="9"/>
  <c r="AI15" i="9"/>
  <c r="T16" i="9"/>
  <c r="AI16" i="9"/>
  <c r="V16" i="9"/>
  <c r="AI18" i="9"/>
  <c r="W16" i="9"/>
  <c r="AI19" i="9"/>
  <c r="X16" i="9"/>
  <c r="AI20" i="9"/>
  <c r="AP15" i="9"/>
  <c r="AP16" i="9"/>
  <c r="AP17" i="9"/>
  <c r="AP18" i="9"/>
  <c r="AP19" i="9"/>
  <c r="AP20" i="9"/>
  <c r="AP14" i="9"/>
  <c r="R22" i="9"/>
  <c r="AO14" i="9"/>
  <c r="S22" i="9"/>
  <c r="AO15" i="9"/>
  <c r="T22" i="9"/>
  <c r="AO16" i="9"/>
  <c r="U22" i="9"/>
  <c r="AO17" i="9"/>
  <c r="V22" i="9"/>
  <c r="AO18" i="9"/>
  <c r="W22" i="9"/>
  <c r="AO19" i="9"/>
  <c r="R21" i="9"/>
  <c r="AN14" i="9"/>
  <c r="S21" i="9"/>
  <c r="AN15" i="9"/>
  <c r="T21" i="9"/>
  <c r="AN16" i="9"/>
  <c r="U21" i="9"/>
  <c r="AN17" i="9"/>
  <c r="V21" i="9"/>
  <c r="AN18" i="9"/>
  <c r="W21" i="9"/>
  <c r="AN19" i="9"/>
  <c r="X21" i="9"/>
  <c r="AN20" i="9"/>
  <c r="R20" i="9"/>
  <c r="AM14" i="9"/>
  <c r="S20" i="9"/>
  <c r="AM15" i="9"/>
  <c r="T20" i="9"/>
  <c r="AM16" i="9"/>
  <c r="U20" i="9"/>
  <c r="AM17" i="9"/>
  <c r="V20" i="9"/>
  <c r="AM18" i="9"/>
  <c r="W20" i="9"/>
  <c r="AM19" i="9"/>
  <c r="X20" i="9"/>
  <c r="AM20" i="9"/>
  <c r="R19" i="9"/>
  <c r="AL14" i="9"/>
  <c r="S19" i="9"/>
  <c r="AL15" i="9"/>
  <c r="T19" i="9"/>
  <c r="AL16" i="9"/>
  <c r="U19" i="9"/>
  <c r="AL17" i="9"/>
  <c r="V19" i="9"/>
  <c r="AL18" i="9"/>
  <c r="W19" i="9"/>
  <c r="AL19" i="9"/>
  <c r="X19" i="9"/>
  <c r="AL20" i="9"/>
  <c r="N37" i="10"/>
  <c r="P37" i="10"/>
  <c r="R37" i="10"/>
  <c r="P31" i="10"/>
  <c r="P32" i="10"/>
  <c r="P33" i="10"/>
  <c r="P34" i="10"/>
  <c r="P35" i="10"/>
  <c r="P36" i="10"/>
  <c r="Q37" i="10"/>
  <c r="N31" i="10"/>
  <c r="N32" i="10"/>
  <c r="N33" i="10"/>
  <c r="N34" i="10"/>
  <c r="N35" i="10"/>
  <c r="N36" i="10"/>
  <c r="O37" i="10"/>
  <c r="R36" i="10"/>
  <c r="R35" i="10"/>
  <c r="R34" i="10"/>
  <c r="R33" i="10"/>
  <c r="R44" i="10"/>
  <c r="Q44" i="10"/>
  <c r="R32" i="10"/>
  <c r="N23" i="10"/>
  <c r="N24" i="10"/>
  <c r="N25" i="10"/>
  <c r="N26" i="10"/>
  <c r="N27" i="10"/>
  <c r="N28" i="10"/>
  <c r="N29" i="10"/>
  <c r="N30" i="10"/>
  <c r="O30" i="10"/>
  <c r="R43" i="10"/>
  <c r="Q43" i="10"/>
  <c r="R31" i="10"/>
  <c r="N17" i="10"/>
  <c r="N18" i="10"/>
  <c r="N19" i="10"/>
  <c r="N20" i="10"/>
  <c r="N21" i="10"/>
  <c r="N22" i="10"/>
  <c r="O22" i="10"/>
  <c r="R42" i="10"/>
  <c r="Q42" i="10"/>
  <c r="P30" i="10"/>
  <c r="R30" i="10"/>
  <c r="P23" i="10"/>
  <c r="P24" i="10"/>
  <c r="P25" i="10"/>
  <c r="P26" i="10"/>
  <c r="P27" i="10"/>
  <c r="P28" i="10"/>
  <c r="P29" i="10"/>
  <c r="Q30" i="10"/>
  <c r="N14" i="10"/>
  <c r="N15" i="10"/>
  <c r="N16" i="10"/>
  <c r="O16" i="10"/>
  <c r="R41" i="10"/>
  <c r="Q41" i="10"/>
  <c r="R29" i="10"/>
  <c r="N6" i="10"/>
  <c r="N7" i="10"/>
  <c r="N8" i="10"/>
  <c r="N9" i="10"/>
  <c r="N10" i="10"/>
  <c r="N11" i="10"/>
  <c r="N12" i="10"/>
  <c r="N13" i="10"/>
  <c r="O13" i="10"/>
  <c r="R40" i="10"/>
  <c r="Q40" i="10"/>
  <c r="R28" i="10"/>
  <c r="Q39" i="10"/>
  <c r="R27" i="10"/>
  <c r="R26" i="10"/>
  <c r="R25" i="10"/>
  <c r="R24" i="10"/>
  <c r="R23" i="10"/>
  <c r="P22" i="10"/>
  <c r="R22" i="10"/>
  <c r="P17" i="10"/>
  <c r="P18" i="10"/>
  <c r="P19" i="10"/>
  <c r="P20" i="10"/>
  <c r="P21" i="10"/>
  <c r="Q22" i="10"/>
  <c r="R21" i="10"/>
  <c r="R20" i="10"/>
  <c r="R19" i="10"/>
  <c r="R18" i="10"/>
  <c r="R17" i="10"/>
  <c r="P16" i="10"/>
  <c r="R16" i="10"/>
  <c r="P14" i="10"/>
  <c r="P15" i="10"/>
  <c r="Q16" i="10"/>
  <c r="R15" i="10"/>
  <c r="R14" i="10"/>
  <c r="P13" i="10"/>
  <c r="R13" i="10"/>
  <c r="P6" i="10"/>
  <c r="P7" i="10"/>
  <c r="P8" i="10"/>
  <c r="P9" i="10"/>
  <c r="P10" i="10"/>
  <c r="P11" i="10"/>
  <c r="P12" i="10"/>
  <c r="Q13" i="10"/>
  <c r="R12" i="10"/>
  <c r="R11" i="10"/>
  <c r="R10" i="10"/>
  <c r="R9" i="10"/>
  <c r="R8" i="10"/>
  <c r="R7" i="10"/>
  <c r="R6" i="10"/>
  <c r="Z15" i="9"/>
  <c r="Z16" i="9"/>
  <c r="Z17" i="9"/>
  <c r="Z18" i="9"/>
  <c r="Z19" i="9"/>
  <c r="Z20" i="9"/>
  <c r="Z21" i="9"/>
  <c r="Z22" i="9"/>
  <c r="K12" i="8"/>
  <c r="AI13" i="9"/>
  <c r="AH13" i="9"/>
  <c r="AG13" i="9"/>
  <c r="Y5" i="9"/>
  <c r="X13" i="9"/>
  <c r="X5" i="9"/>
  <c r="W13" i="9"/>
  <c r="W5" i="9"/>
  <c r="V13" i="9"/>
  <c r="V5" i="9"/>
  <c r="U13" i="9"/>
  <c r="U5" i="9"/>
  <c r="T13" i="9"/>
  <c r="T5" i="9"/>
  <c r="S13" i="9"/>
  <c r="S5" i="9"/>
  <c r="R13" i="9"/>
  <c r="R5" i="9"/>
  <c r="Q13" i="9"/>
  <c r="AD20" i="9"/>
  <c r="AD19" i="9"/>
  <c r="AD18" i="9"/>
  <c r="AD17" i="9"/>
  <c r="AD16" i="9"/>
  <c r="AD15" i="9"/>
  <c r="AD14" i="9"/>
  <c r="J14" i="8"/>
  <c r="I25" i="8"/>
  <c r="E17" i="9"/>
  <c r="F17" i="9"/>
  <c r="G17" i="9"/>
  <c r="H17" i="9"/>
  <c r="I17" i="9"/>
  <c r="J17" i="9"/>
  <c r="K17" i="9"/>
  <c r="F22" i="9"/>
  <c r="G22" i="9"/>
  <c r="H22" i="9"/>
  <c r="I22" i="9"/>
  <c r="J22" i="9"/>
  <c r="K22" i="9"/>
  <c r="F18" i="9"/>
  <c r="G18" i="9"/>
  <c r="H18" i="9"/>
  <c r="I18" i="9"/>
  <c r="J18" i="9"/>
  <c r="K18" i="9"/>
  <c r="E22" i="9"/>
  <c r="E18" i="9"/>
  <c r="K19" i="9"/>
  <c r="F19" i="9"/>
  <c r="G19" i="9"/>
  <c r="H19" i="9"/>
  <c r="I19" i="9"/>
  <c r="J19" i="9"/>
  <c r="F20" i="9"/>
  <c r="G20" i="9"/>
  <c r="H20" i="9"/>
  <c r="I20" i="9"/>
  <c r="J20" i="9"/>
  <c r="K20" i="9"/>
  <c r="F21" i="9"/>
  <c r="G21" i="9"/>
  <c r="H21" i="9"/>
  <c r="I21" i="9"/>
  <c r="J21" i="9"/>
  <c r="K21" i="9"/>
  <c r="E19" i="9"/>
  <c r="E20" i="9"/>
  <c r="E21" i="9"/>
  <c r="N6" i="9"/>
  <c r="Y6" i="9"/>
  <c r="Y7" i="9"/>
  <c r="Y8" i="9"/>
  <c r="Y9" i="9"/>
  <c r="Y10" i="9"/>
  <c r="X6" i="9"/>
  <c r="X7" i="9"/>
  <c r="X8" i="9"/>
  <c r="X9" i="9"/>
  <c r="X10" i="9"/>
  <c r="W6" i="9"/>
  <c r="W7" i="9"/>
  <c r="W8" i="9"/>
  <c r="W9" i="9"/>
  <c r="W10" i="9"/>
  <c r="V6" i="9"/>
  <c r="V7" i="9"/>
  <c r="V8" i="9"/>
  <c r="V9" i="9"/>
  <c r="V10" i="9"/>
  <c r="U6" i="9"/>
  <c r="U7" i="9"/>
  <c r="U8" i="9"/>
  <c r="U9" i="9"/>
  <c r="U10" i="9"/>
  <c r="AC6" i="9"/>
  <c r="AC7" i="9"/>
  <c r="AC8" i="9"/>
  <c r="AC9" i="9"/>
  <c r="AC10" i="9"/>
  <c r="N14" i="9"/>
  <c r="N13" i="9"/>
  <c r="N12" i="9"/>
  <c r="N11" i="9"/>
  <c r="N10" i="9"/>
  <c r="N9" i="9"/>
  <c r="N8" i="9"/>
  <c r="N7" i="9"/>
  <c r="K6" i="8"/>
  <c r="L6" i="8"/>
  <c r="M6" i="8"/>
  <c r="K7" i="8"/>
  <c r="L7" i="8"/>
  <c r="M7" i="8"/>
  <c r="K8" i="8"/>
  <c r="L8" i="8"/>
  <c r="M8" i="8"/>
  <c r="K9" i="8"/>
  <c r="L9" i="8"/>
  <c r="M9" i="8"/>
  <c r="K10" i="8"/>
  <c r="L10" i="8"/>
  <c r="M10" i="8"/>
  <c r="K11" i="8"/>
  <c r="L11" i="8"/>
  <c r="M11" i="8"/>
  <c r="L12" i="8"/>
  <c r="M12" i="8"/>
  <c r="K13" i="8"/>
  <c r="L13" i="8"/>
  <c r="M13" i="8"/>
  <c r="K14" i="8"/>
  <c r="L14" i="8"/>
  <c r="M14" i="8"/>
  <c r="K15" i="8"/>
  <c r="L15" i="8"/>
  <c r="M15" i="8"/>
  <c r="K16" i="8"/>
  <c r="L16" i="8"/>
  <c r="M16" i="8"/>
  <c r="K17" i="8"/>
  <c r="L17" i="8"/>
  <c r="M17" i="8"/>
  <c r="K18" i="8"/>
  <c r="L18" i="8"/>
  <c r="M18" i="8"/>
  <c r="K19" i="8"/>
  <c r="L19" i="8"/>
  <c r="M19" i="8"/>
  <c r="K20" i="8"/>
  <c r="L20" i="8"/>
  <c r="M20" i="8"/>
  <c r="K21" i="8"/>
  <c r="L21" i="8"/>
  <c r="M21" i="8"/>
  <c r="K22" i="8"/>
  <c r="L22" i="8"/>
  <c r="M22" i="8"/>
  <c r="K23" i="8"/>
  <c r="L23" i="8"/>
  <c r="M23" i="8"/>
  <c r="K24" i="8"/>
  <c r="L24" i="8"/>
  <c r="M24" i="8"/>
  <c r="K25" i="8"/>
  <c r="L25" i="8"/>
  <c r="M25" i="8"/>
  <c r="K26" i="8"/>
  <c r="L26" i="8"/>
  <c r="M26" i="8"/>
  <c r="K27" i="8"/>
  <c r="L27" i="8"/>
  <c r="M27" i="8"/>
  <c r="K28" i="8"/>
  <c r="L28" i="8"/>
  <c r="M28" i="8"/>
  <c r="K29" i="8"/>
  <c r="L29" i="8"/>
  <c r="M29" i="8"/>
  <c r="K30" i="8"/>
  <c r="L30" i="8"/>
  <c r="M30" i="8"/>
  <c r="K31" i="8"/>
  <c r="L31" i="8"/>
  <c r="M31" i="8"/>
  <c r="K32" i="8"/>
  <c r="L32" i="8"/>
  <c r="M32" i="8"/>
  <c r="K33" i="8"/>
  <c r="L33" i="8"/>
  <c r="M33" i="8"/>
  <c r="K34" i="8"/>
  <c r="L34" i="8"/>
  <c r="M34" i="8"/>
  <c r="K35" i="8"/>
  <c r="L35" i="8"/>
  <c r="M35" i="8"/>
  <c r="K36" i="8"/>
  <c r="L36" i="8"/>
  <c r="M36" i="8"/>
  <c r="K37" i="8"/>
  <c r="L37" i="8"/>
  <c r="M37" i="8"/>
  <c r="AG42" i="8"/>
  <c r="S13" i="6"/>
  <c r="S13" i="8"/>
  <c r="Q18" i="8"/>
  <c r="AL9" i="8"/>
  <c r="AL10" i="8"/>
  <c r="AL11" i="8"/>
  <c r="AL12" i="8"/>
  <c r="AL13" i="8"/>
  <c r="AB16" i="8"/>
  <c r="AM16" i="8"/>
  <c r="AL17" i="8"/>
  <c r="AL18" i="8"/>
  <c r="AL19" i="8"/>
  <c r="AE22" i="8"/>
  <c r="AF22" i="8"/>
  <c r="AG22" i="8"/>
  <c r="AB22" i="8"/>
  <c r="AM22" i="8"/>
  <c r="AL23" i="8"/>
  <c r="AL24" i="8"/>
  <c r="AL25" i="8"/>
  <c r="AL26" i="8"/>
  <c r="AL27" i="8"/>
  <c r="AL28" i="8"/>
  <c r="AE31" i="8"/>
  <c r="AF31" i="8"/>
  <c r="AG31" i="8"/>
  <c r="AH31" i="8"/>
  <c r="AI31" i="8"/>
  <c r="AB31" i="8"/>
  <c r="AM31" i="8"/>
  <c r="AL32" i="8"/>
  <c r="AL33" i="8"/>
  <c r="AL34" i="8"/>
  <c r="AL35" i="8"/>
  <c r="AL36" i="8"/>
  <c r="AL37" i="8"/>
  <c r="AL38" i="8"/>
  <c r="AL39" i="8"/>
  <c r="BE50" i="8"/>
  <c r="BE57" i="8"/>
  <c r="BE40" i="8"/>
  <c r="BE56" i="8"/>
  <c r="P16" i="8"/>
  <c r="V29" i="8"/>
  <c r="P22" i="8"/>
  <c r="V30" i="8"/>
  <c r="P30" i="8"/>
  <c r="V31" i="8"/>
  <c r="P37" i="8"/>
  <c r="V32" i="8"/>
  <c r="Y28" i="6"/>
  <c r="V28" i="8"/>
  <c r="B14" i="8"/>
  <c r="U29" i="8"/>
  <c r="BD54" i="8"/>
  <c r="B17" i="8"/>
  <c r="U30" i="8"/>
  <c r="BD55" i="8"/>
  <c r="B23" i="8"/>
  <c r="U31" i="8"/>
  <c r="BD56" i="8"/>
  <c r="B31" i="8"/>
  <c r="U32" i="8"/>
  <c r="BD57" i="8"/>
  <c r="X28" i="6"/>
  <c r="U28" i="8"/>
  <c r="BD53" i="8"/>
  <c r="P5" i="8"/>
  <c r="U27" i="8"/>
  <c r="BD52" i="8"/>
  <c r="Y29" i="6"/>
  <c r="X29" i="6"/>
  <c r="AV50" i="8"/>
  <c r="AL47" i="8"/>
  <c r="AL48" i="8"/>
  <c r="AL49" i="8"/>
  <c r="AL44" i="8"/>
  <c r="AL45" i="8"/>
  <c r="AL46" i="8"/>
  <c r="AL43" i="8"/>
  <c r="AC42" i="8"/>
  <c r="AN42" i="8"/>
  <c r="AD42" i="8"/>
  <c r="AO42" i="8"/>
  <c r="AE42" i="8"/>
  <c r="AP42" i="8"/>
  <c r="AF42" i="8"/>
  <c r="AQ42" i="8"/>
  <c r="AR42" i="8"/>
  <c r="AH42" i="8"/>
  <c r="AS42" i="8"/>
  <c r="AV29" i="8"/>
  <c r="AX24" i="8"/>
  <c r="AX25" i="8"/>
  <c r="AX26" i="8"/>
  <c r="AX27" i="8"/>
  <c r="AX28" i="8"/>
  <c r="AR22" i="8"/>
  <c r="AD22" i="8"/>
  <c r="AO22" i="8"/>
  <c r="AP22" i="8"/>
  <c r="AQ22" i="8"/>
  <c r="AI5" i="8"/>
  <c r="AT5" i="8"/>
  <c r="AH5" i="8"/>
  <c r="AS5" i="8"/>
  <c r="AV14" i="8"/>
  <c r="AL6" i="8"/>
  <c r="AB42" i="8"/>
  <c r="C32" i="8"/>
  <c r="Z44" i="8"/>
  <c r="C33" i="8"/>
  <c r="Z45" i="8"/>
  <c r="C34" i="8"/>
  <c r="Z46" i="8"/>
  <c r="C35" i="8"/>
  <c r="Z47" i="8"/>
  <c r="C36" i="8"/>
  <c r="Z48" i="8"/>
  <c r="C37" i="8"/>
  <c r="Z49" i="8"/>
  <c r="AD31" i="8"/>
  <c r="AC31" i="8"/>
  <c r="C31" i="8"/>
  <c r="Z43" i="8"/>
  <c r="C24" i="8"/>
  <c r="Z33" i="8"/>
  <c r="C25" i="8"/>
  <c r="Z34" i="8"/>
  <c r="C26" i="8"/>
  <c r="Z35" i="8"/>
  <c r="C27" i="8"/>
  <c r="Z36" i="8"/>
  <c r="C28" i="8"/>
  <c r="Z37" i="8"/>
  <c r="C29" i="8"/>
  <c r="Z38" i="8"/>
  <c r="C30" i="8"/>
  <c r="Z39" i="8"/>
  <c r="C23" i="8"/>
  <c r="Z32" i="8"/>
  <c r="AC22" i="8"/>
  <c r="AD16" i="8"/>
  <c r="AC16" i="8"/>
  <c r="C18" i="8"/>
  <c r="Z24" i="8"/>
  <c r="C19" i="8"/>
  <c r="Z25" i="8"/>
  <c r="C20" i="8"/>
  <c r="Z26" i="8"/>
  <c r="C21" i="8"/>
  <c r="Z27" i="8"/>
  <c r="C22" i="8"/>
  <c r="Z28" i="8"/>
  <c r="C17" i="8"/>
  <c r="Z23" i="8"/>
  <c r="C15" i="8"/>
  <c r="Z18" i="8"/>
  <c r="C16" i="8"/>
  <c r="Z19" i="8"/>
  <c r="C14" i="8"/>
  <c r="Z17" i="8"/>
  <c r="C7" i="8"/>
  <c r="Z7" i="8"/>
  <c r="C8" i="8"/>
  <c r="Z8" i="8"/>
  <c r="C9" i="8"/>
  <c r="Z9" i="8"/>
  <c r="C10" i="8"/>
  <c r="Z10" i="8"/>
  <c r="C11" i="8"/>
  <c r="Z11" i="8"/>
  <c r="C12" i="8"/>
  <c r="Z12" i="8"/>
  <c r="C13" i="8"/>
  <c r="Z13" i="8"/>
  <c r="C6" i="8"/>
  <c r="Z6" i="8"/>
  <c r="AG5" i="8"/>
  <c r="AF5" i="8"/>
  <c r="AE5" i="8"/>
  <c r="AD5" i="8"/>
  <c r="AC5" i="8"/>
  <c r="AB5" i="8"/>
  <c r="B6" i="8"/>
  <c r="BE42" i="8"/>
  <c r="BD42" i="8"/>
  <c r="BC42" i="8"/>
  <c r="BB42" i="8"/>
  <c r="BA42" i="8"/>
  <c r="AW42" i="8"/>
  <c r="AV42" i="8"/>
  <c r="AU42" i="8"/>
  <c r="AM42" i="8"/>
  <c r="AV40" i="8"/>
  <c r="AX39" i="8"/>
  <c r="AX38" i="8"/>
  <c r="AX37" i="8"/>
  <c r="AX36" i="8"/>
  <c r="AX33" i="8"/>
  <c r="BE31" i="8"/>
  <c r="BD31" i="8"/>
  <c r="BC31" i="8"/>
  <c r="BB31" i="8"/>
  <c r="BA31" i="8"/>
  <c r="AW31" i="8"/>
  <c r="AV31" i="8"/>
  <c r="AU31" i="8"/>
  <c r="AT31" i="8"/>
  <c r="AS31" i="8"/>
  <c r="AR31" i="8"/>
  <c r="AQ31" i="8"/>
  <c r="AP31" i="8"/>
  <c r="AO31" i="8"/>
  <c r="AN31" i="8"/>
  <c r="BE22" i="8"/>
  <c r="BD22" i="8"/>
  <c r="BC22" i="8"/>
  <c r="BB22" i="8"/>
  <c r="BA22" i="8"/>
  <c r="AW22" i="8"/>
  <c r="AV22" i="8"/>
  <c r="AU22" i="8"/>
  <c r="AN22" i="8"/>
  <c r="AV20" i="8"/>
  <c r="AX19" i="8"/>
  <c r="BE16" i="8"/>
  <c r="BD16" i="8"/>
  <c r="BC16" i="8"/>
  <c r="BB16" i="8"/>
  <c r="BA16" i="8"/>
  <c r="AZ16" i="8"/>
  <c r="AW16" i="8"/>
  <c r="AV16" i="8"/>
  <c r="AU16" i="8"/>
  <c r="AO16" i="8"/>
  <c r="AN16" i="8"/>
  <c r="AL8" i="8"/>
  <c r="AL7" i="8"/>
  <c r="AR5" i="8"/>
  <c r="AQ5" i="8"/>
  <c r="AP5" i="8"/>
  <c r="AO5" i="8"/>
  <c r="AN5" i="8"/>
  <c r="AM5" i="8"/>
  <c r="B4" i="8"/>
  <c r="C4" i="8"/>
  <c r="D4" i="8"/>
  <c r="E4" i="8"/>
  <c r="O4" i="8"/>
  <c r="Q4" i="8"/>
  <c r="S4" i="8"/>
  <c r="E5" i="8"/>
  <c r="F5" i="8"/>
  <c r="G5" i="8"/>
  <c r="H5" i="8"/>
  <c r="I5" i="8"/>
  <c r="J5" i="8"/>
  <c r="K5" i="8"/>
  <c r="L5" i="8"/>
  <c r="M5" i="8"/>
  <c r="O5" i="8"/>
  <c r="Q5" i="8"/>
  <c r="R5" i="8"/>
  <c r="S5" i="8"/>
  <c r="E6" i="8"/>
  <c r="F6" i="8"/>
  <c r="G6" i="8"/>
  <c r="H6" i="8"/>
  <c r="I6" i="8"/>
  <c r="J6" i="8"/>
  <c r="Q6" i="8"/>
  <c r="S6" i="6"/>
  <c r="S6" i="8"/>
  <c r="E7" i="8"/>
  <c r="F7" i="8"/>
  <c r="G7" i="8"/>
  <c r="H7" i="8"/>
  <c r="I7" i="8"/>
  <c r="J7" i="8"/>
  <c r="Q7" i="8"/>
  <c r="S7" i="6"/>
  <c r="S7" i="8"/>
  <c r="E8" i="8"/>
  <c r="F8" i="8"/>
  <c r="G8" i="8"/>
  <c r="H8" i="8"/>
  <c r="I8" i="8"/>
  <c r="J8" i="8"/>
  <c r="Q8" i="8"/>
  <c r="S8" i="6"/>
  <c r="S8" i="8"/>
  <c r="E9" i="8"/>
  <c r="F9" i="8"/>
  <c r="G9" i="8"/>
  <c r="H9" i="8"/>
  <c r="I9" i="8"/>
  <c r="J9" i="8"/>
  <c r="Q9" i="8"/>
  <c r="S9" i="6"/>
  <c r="S9" i="8"/>
  <c r="E10" i="8"/>
  <c r="F10" i="8"/>
  <c r="G10" i="8"/>
  <c r="H10" i="8"/>
  <c r="I10" i="8"/>
  <c r="J10" i="8"/>
  <c r="Q10" i="8"/>
  <c r="S10" i="6"/>
  <c r="S10" i="8"/>
  <c r="E11" i="8"/>
  <c r="F11" i="8"/>
  <c r="G11" i="8"/>
  <c r="H11" i="8"/>
  <c r="I11" i="8"/>
  <c r="J11" i="8"/>
  <c r="Q11" i="8"/>
  <c r="S11" i="6"/>
  <c r="S11" i="8"/>
  <c r="E12" i="8"/>
  <c r="F12" i="8"/>
  <c r="G12" i="8"/>
  <c r="H12" i="8"/>
  <c r="I12" i="8"/>
  <c r="J12" i="8"/>
  <c r="Q12" i="8"/>
  <c r="S12" i="6"/>
  <c r="S12" i="8"/>
  <c r="E13" i="8"/>
  <c r="F13" i="8"/>
  <c r="G13" i="8"/>
  <c r="H13" i="8"/>
  <c r="I13" i="8"/>
  <c r="J13" i="8"/>
  <c r="Q13" i="8"/>
  <c r="R13" i="8"/>
  <c r="E14" i="8"/>
  <c r="F14" i="8"/>
  <c r="G14" i="8"/>
  <c r="H14" i="8"/>
  <c r="I14" i="8"/>
  <c r="Q14" i="8"/>
  <c r="S14" i="6"/>
  <c r="S14" i="8"/>
  <c r="E15" i="8"/>
  <c r="F15" i="8"/>
  <c r="G15" i="8"/>
  <c r="H15" i="8"/>
  <c r="I15" i="8"/>
  <c r="J15" i="8"/>
  <c r="Q15" i="8"/>
  <c r="S15" i="6"/>
  <c r="S15" i="8"/>
  <c r="E16" i="8"/>
  <c r="F16" i="8"/>
  <c r="G16" i="8"/>
  <c r="H16" i="8"/>
  <c r="I16" i="8"/>
  <c r="J16" i="8"/>
  <c r="Q16" i="8"/>
  <c r="R16" i="6"/>
  <c r="R16" i="8"/>
  <c r="S16" i="6"/>
  <c r="S16" i="8"/>
  <c r="E17" i="8"/>
  <c r="F17" i="8"/>
  <c r="G17" i="8"/>
  <c r="H17" i="8"/>
  <c r="I17" i="8"/>
  <c r="J17" i="8"/>
  <c r="Q17" i="8"/>
  <c r="S17" i="6"/>
  <c r="S17" i="8"/>
  <c r="E18" i="8"/>
  <c r="F18" i="8"/>
  <c r="G18" i="8"/>
  <c r="H18" i="8"/>
  <c r="I18" i="8"/>
  <c r="J18" i="8"/>
  <c r="S18" i="6"/>
  <c r="S18" i="8"/>
  <c r="E19" i="8"/>
  <c r="F19" i="8"/>
  <c r="G19" i="8"/>
  <c r="H19" i="8"/>
  <c r="I19" i="8"/>
  <c r="J19" i="8"/>
  <c r="Q19" i="8"/>
  <c r="S19" i="6"/>
  <c r="S19" i="8"/>
  <c r="E20" i="8"/>
  <c r="F20" i="8"/>
  <c r="G20" i="8"/>
  <c r="H20" i="8"/>
  <c r="I20" i="8"/>
  <c r="J20" i="8"/>
  <c r="Q20" i="8"/>
  <c r="S20" i="6"/>
  <c r="S20" i="8"/>
  <c r="E21" i="8"/>
  <c r="F21" i="8"/>
  <c r="G21" i="8"/>
  <c r="H21" i="8"/>
  <c r="I21" i="8"/>
  <c r="J21" i="8"/>
  <c r="Q21" i="8"/>
  <c r="S21" i="6"/>
  <c r="S21" i="8"/>
  <c r="E22" i="8"/>
  <c r="F22" i="8"/>
  <c r="G22" i="8"/>
  <c r="H22" i="8"/>
  <c r="I22" i="8"/>
  <c r="J22" i="8"/>
  <c r="Q22" i="8"/>
  <c r="R22" i="6"/>
  <c r="R22" i="8"/>
  <c r="S22" i="6"/>
  <c r="S22" i="8"/>
  <c r="E23" i="8"/>
  <c r="F23" i="8"/>
  <c r="G23" i="8"/>
  <c r="H23" i="8"/>
  <c r="I23" i="8"/>
  <c r="J23" i="8"/>
  <c r="Q23" i="8"/>
  <c r="S23" i="6"/>
  <c r="S23" i="8"/>
  <c r="E24" i="8"/>
  <c r="F24" i="8"/>
  <c r="G24" i="8"/>
  <c r="H24" i="8"/>
  <c r="I24" i="8"/>
  <c r="J24" i="8"/>
  <c r="Q24" i="8"/>
  <c r="S24" i="6"/>
  <c r="S24" i="8"/>
  <c r="E25" i="8"/>
  <c r="F25" i="8"/>
  <c r="G25" i="8"/>
  <c r="H25" i="8"/>
  <c r="J25" i="8"/>
  <c r="Q25" i="8"/>
  <c r="S25" i="6"/>
  <c r="S25" i="8"/>
  <c r="E26" i="8"/>
  <c r="F26" i="8"/>
  <c r="G26" i="8"/>
  <c r="H26" i="8"/>
  <c r="I26" i="8"/>
  <c r="J26" i="8"/>
  <c r="Q26" i="8"/>
  <c r="S26" i="6"/>
  <c r="S26" i="8"/>
  <c r="E27" i="8"/>
  <c r="F27" i="8"/>
  <c r="G27" i="8"/>
  <c r="H27" i="8"/>
  <c r="I27" i="8"/>
  <c r="J27" i="8"/>
  <c r="Q27" i="8"/>
  <c r="S27" i="6"/>
  <c r="S27" i="8"/>
  <c r="E28" i="8"/>
  <c r="F28" i="8"/>
  <c r="G28" i="8"/>
  <c r="H28" i="8"/>
  <c r="I28" i="8"/>
  <c r="J28" i="8"/>
  <c r="Q28" i="8"/>
  <c r="S28" i="6"/>
  <c r="S28" i="8"/>
  <c r="E29" i="8"/>
  <c r="F29" i="8"/>
  <c r="G29" i="8"/>
  <c r="H29" i="8"/>
  <c r="I29" i="8"/>
  <c r="J29" i="8"/>
  <c r="Q29" i="8"/>
  <c r="S29" i="6"/>
  <c r="S29" i="8"/>
  <c r="E30" i="8"/>
  <c r="F30" i="8"/>
  <c r="G30" i="8"/>
  <c r="H30" i="8"/>
  <c r="I30" i="8"/>
  <c r="J30" i="8"/>
  <c r="Q30" i="8"/>
  <c r="R30" i="6"/>
  <c r="R30" i="8"/>
  <c r="S30" i="6"/>
  <c r="S30" i="8"/>
  <c r="E31" i="8"/>
  <c r="F31" i="8"/>
  <c r="G31" i="8"/>
  <c r="H31" i="8"/>
  <c r="I31" i="8"/>
  <c r="J31" i="8"/>
  <c r="Q31" i="8"/>
  <c r="S31" i="6"/>
  <c r="S31" i="8"/>
  <c r="E32" i="8"/>
  <c r="F32" i="8"/>
  <c r="G32" i="8"/>
  <c r="H32" i="8"/>
  <c r="I32" i="8"/>
  <c r="J32" i="8"/>
  <c r="Q32" i="8"/>
  <c r="S32" i="6"/>
  <c r="S32" i="8"/>
  <c r="E33" i="8"/>
  <c r="F33" i="8"/>
  <c r="G33" i="8"/>
  <c r="H33" i="8"/>
  <c r="I33" i="8"/>
  <c r="J33" i="8"/>
  <c r="Q33" i="8"/>
  <c r="S33" i="6"/>
  <c r="S33" i="8"/>
  <c r="E34" i="8"/>
  <c r="F34" i="8"/>
  <c r="G34" i="8"/>
  <c r="H34" i="8"/>
  <c r="I34" i="8"/>
  <c r="J34" i="8"/>
  <c r="Q34" i="8"/>
  <c r="S34" i="6"/>
  <c r="S34" i="8"/>
  <c r="E35" i="8"/>
  <c r="F35" i="8"/>
  <c r="G35" i="8"/>
  <c r="H35" i="8"/>
  <c r="I35" i="8"/>
  <c r="J35" i="8"/>
  <c r="Q35" i="8"/>
  <c r="S35" i="6"/>
  <c r="S35" i="8"/>
  <c r="E36" i="8"/>
  <c r="F36" i="8"/>
  <c r="G36" i="8"/>
  <c r="H36" i="8"/>
  <c r="I36" i="8"/>
  <c r="J36" i="8"/>
  <c r="Q36" i="8"/>
  <c r="S36" i="6"/>
  <c r="S36" i="8"/>
  <c r="E37" i="8"/>
  <c r="F37" i="8"/>
  <c r="G37" i="8"/>
  <c r="H37" i="8"/>
  <c r="I37" i="8"/>
  <c r="J37" i="8"/>
  <c r="Q37" i="8"/>
  <c r="R37" i="6"/>
  <c r="R37" i="8"/>
  <c r="S37" i="6"/>
  <c r="S37" i="8"/>
  <c r="X31" i="6"/>
  <c r="X32" i="6"/>
  <c r="X30" i="6"/>
  <c r="X27" i="6"/>
  <c r="Y30" i="6"/>
  <c r="Y31" i="6"/>
  <c r="Y32" i="6"/>
  <c r="AX7" i="8"/>
  <c r="AX8" i="8"/>
  <c r="AX9" i="8"/>
  <c r="AX10" i="8"/>
  <c r="AX11" i="8"/>
  <c r="AX12" i="8"/>
  <c r="AX13" i="8"/>
  <c r="AX18" i="8"/>
  <c r="AX34" i="8"/>
  <c r="AX35" i="8"/>
  <c r="AX32" i="8"/>
  <c r="AY32" i="8"/>
  <c r="AZ32" i="8"/>
  <c r="BA32" i="8"/>
  <c r="BB32" i="8"/>
  <c r="BC32" i="8"/>
  <c r="AX44" i="8"/>
  <c r="AX45" i="8"/>
  <c r="AX46" i="8"/>
  <c r="AX47" i="8"/>
  <c r="AW49" i="8"/>
  <c r="AX49" i="8"/>
  <c r="AW48" i="8"/>
  <c r="AX48" i="8"/>
  <c r="BA43" i="8"/>
  <c r="AX43" i="8"/>
  <c r="AY43" i="8"/>
  <c r="AZ43" i="8"/>
  <c r="BB43" i="8"/>
  <c r="BC43" i="8"/>
  <c r="AX23" i="8"/>
  <c r="AY23" i="8"/>
  <c r="AZ23" i="8"/>
  <c r="BA23" i="8"/>
  <c r="BB23" i="8"/>
  <c r="BC23" i="8"/>
  <c r="BE29" i="8"/>
  <c r="BE55" i="8"/>
  <c r="AX17" i="8"/>
  <c r="AY17" i="8"/>
  <c r="AZ17" i="8"/>
  <c r="BA17" i="8"/>
  <c r="BB17" i="8"/>
  <c r="BC17" i="8"/>
  <c r="BE20" i="8"/>
  <c r="BE54" i="8"/>
  <c r="AA21" i="9"/>
  <c r="O13" i="9"/>
  <c r="AA12" i="10"/>
  <c r="AA20" i="9"/>
  <c r="O12" i="9"/>
  <c r="Z12" i="10"/>
  <c r="AA19" i="9"/>
  <c r="O11" i="9"/>
  <c r="Y12" i="10"/>
  <c r="AA17" i="9"/>
  <c r="O9" i="9"/>
  <c r="W12" i="10"/>
  <c r="O7" i="9"/>
  <c r="U12" i="10"/>
  <c r="AA11" i="10"/>
  <c r="Z11" i="10"/>
  <c r="Y11" i="10"/>
  <c r="W11" i="10"/>
  <c r="U11" i="10"/>
  <c r="AA10" i="10"/>
  <c r="Z10" i="10"/>
  <c r="Y10" i="10"/>
  <c r="W10" i="10"/>
  <c r="U10" i="10"/>
  <c r="AA9" i="10"/>
  <c r="Z9" i="10"/>
  <c r="Y9" i="10"/>
  <c r="W9" i="10"/>
  <c r="U9" i="10"/>
  <c r="AA8" i="10"/>
  <c r="Z8" i="10"/>
  <c r="Y8" i="10"/>
  <c r="W8" i="10"/>
  <c r="U8" i="10"/>
  <c r="AA7" i="10"/>
  <c r="Z7" i="10"/>
  <c r="Y7" i="10"/>
  <c r="W7" i="10"/>
  <c r="U7" i="10"/>
  <c r="AA6" i="10"/>
  <c r="Z6" i="10"/>
  <c r="Y6" i="10"/>
  <c r="W6" i="10"/>
  <c r="U6" i="10"/>
  <c r="AA13" i="10"/>
  <c r="Z13" i="10"/>
  <c r="Y13" i="10"/>
  <c r="W13" i="10"/>
  <c r="U13" i="10"/>
  <c r="AA15" i="10"/>
  <c r="Z15" i="10"/>
  <c r="Y15" i="10"/>
  <c r="W15" i="10"/>
  <c r="U15" i="10"/>
  <c r="AA14" i="10"/>
  <c r="Z14" i="10"/>
  <c r="Y14" i="10"/>
  <c r="W14" i="10"/>
  <c r="U14" i="10"/>
  <c r="AA16" i="10"/>
  <c r="Z16" i="10"/>
  <c r="Y16" i="10"/>
  <c r="W16" i="10"/>
  <c r="U16" i="10"/>
  <c r="AA21" i="10"/>
  <c r="Z21" i="10"/>
  <c r="Y21" i="10"/>
  <c r="W21" i="10"/>
  <c r="U21" i="10"/>
  <c r="AA20" i="10"/>
  <c r="Z20" i="10"/>
  <c r="Y20" i="10"/>
  <c r="W20" i="10"/>
  <c r="U20" i="10"/>
  <c r="AA19" i="10"/>
  <c r="Z19" i="10"/>
  <c r="Y19" i="10"/>
  <c r="W19" i="10"/>
  <c r="U19" i="10"/>
  <c r="AA18" i="10"/>
  <c r="Z18" i="10"/>
  <c r="Y18" i="10"/>
  <c r="W18" i="10"/>
  <c r="U18" i="10"/>
  <c r="AA17" i="10"/>
  <c r="Z17" i="10"/>
  <c r="Y17" i="10"/>
  <c r="W17" i="10"/>
  <c r="U17" i="10"/>
  <c r="AA22" i="10"/>
  <c r="Z22" i="10"/>
  <c r="Y22" i="10"/>
  <c r="W22" i="10"/>
  <c r="U22" i="10"/>
  <c r="AA29" i="10"/>
  <c r="Z29" i="10"/>
  <c r="Y29" i="10"/>
  <c r="W29" i="10"/>
  <c r="U29" i="10"/>
  <c r="AA28" i="10"/>
  <c r="Z28" i="10"/>
  <c r="Y28" i="10"/>
  <c r="W28" i="10"/>
  <c r="U28" i="10"/>
  <c r="AA27" i="10"/>
  <c r="Z27" i="10"/>
  <c r="Y27" i="10"/>
  <c r="W27" i="10"/>
  <c r="U27" i="10"/>
  <c r="AA26" i="10"/>
  <c r="Z26" i="10"/>
  <c r="Y26" i="10"/>
  <c r="W26" i="10"/>
  <c r="U26" i="10"/>
  <c r="AA25" i="10"/>
  <c r="Z25" i="10"/>
  <c r="Y25" i="10"/>
  <c r="W25" i="10"/>
  <c r="U25" i="10"/>
  <c r="AA24" i="10"/>
  <c r="Z24" i="10"/>
  <c r="Y24" i="10"/>
  <c r="W24" i="10"/>
  <c r="U24" i="10"/>
  <c r="AA23" i="10"/>
  <c r="Z23" i="10"/>
  <c r="Y23" i="10"/>
  <c r="W23" i="10"/>
  <c r="U23" i="10"/>
  <c r="AA30" i="10"/>
  <c r="Z30" i="10"/>
  <c r="Y30" i="10"/>
  <c r="W30" i="10"/>
  <c r="U30" i="10"/>
  <c r="AA36" i="10"/>
  <c r="Z36" i="10"/>
  <c r="Y36" i="10"/>
  <c r="W36" i="10"/>
  <c r="U36" i="10"/>
  <c r="AA35" i="10"/>
  <c r="Z35" i="10"/>
  <c r="Y35" i="10"/>
  <c r="W35" i="10"/>
  <c r="U35" i="10"/>
  <c r="AA34" i="10"/>
  <c r="Z34" i="10"/>
  <c r="Y34" i="10"/>
  <c r="W34" i="10"/>
  <c r="U34" i="10"/>
  <c r="AA33" i="10"/>
  <c r="Z33" i="10"/>
  <c r="Y33" i="10"/>
  <c r="W33" i="10"/>
  <c r="U33" i="10"/>
  <c r="AA32" i="10"/>
  <c r="Z32" i="10"/>
  <c r="Y32" i="10"/>
  <c r="W32" i="10"/>
  <c r="U32" i="10"/>
  <c r="AA31" i="10"/>
  <c r="Z31" i="10"/>
  <c r="Y31" i="10"/>
  <c r="W31" i="10"/>
  <c r="U31" i="10"/>
  <c r="AA37" i="10"/>
  <c r="Z37" i="10"/>
  <c r="Y37" i="10"/>
  <c r="W37" i="10"/>
  <c r="U37" i="10"/>
  <c r="AF21" i="9"/>
  <c r="AF20" i="9"/>
  <c r="AF19" i="9"/>
  <c r="AF18" i="9"/>
  <c r="AF16" i="9"/>
  <c r="AF15" i="9"/>
  <c r="AE22" i="9"/>
  <c r="AF17" i="9"/>
  <c r="AF14" i="9"/>
  <c r="AF22" i="9"/>
  <c r="AB17" i="9"/>
  <c r="AB22" i="9"/>
  <c r="AB21" i="9"/>
  <c r="AB20" i="9"/>
  <c r="AB19" i="9"/>
  <c r="AB18" i="9"/>
  <c r="AB16" i="9"/>
  <c r="AB15" i="9"/>
  <c r="AB14" i="9"/>
  <c r="AA14" i="9"/>
  <c r="O6" i="9"/>
  <c r="T37" i="10"/>
  <c r="AA16" i="9"/>
  <c r="O8" i="9"/>
  <c r="V37" i="10"/>
  <c r="AA22" i="9"/>
  <c r="O14" i="9"/>
  <c r="AB37" i="10"/>
  <c r="AC37" i="10"/>
  <c r="AE37" i="10"/>
  <c r="AG37" i="10"/>
  <c r="T31" i="10"/>
  <c r="V31" i="10"/>
  <c r="AB31" i="10"/>
  <c r="AE31" i="10"/>
  <c r="T32" i="10"/>
  <c r="V32" i="10"/>
  <c r="AB32" i="10"/>
  <c r="AE32" i="10"/>
  <c r="T33" i="10"/>
  <c r="V33" i="10"/>
  <c r="AB33" i="10"/>
  <c r="AE33" i="10"/>
  <c r="T34" i="10"/>
  <c r="V34" i="10"/>
  <c r="AB34" i="10"/>
  <c r="AE34" i="10"/>
  <c r="T35" i="10"/>
  <c r="V35" i="10"/>
  <c r="AB35" i="10"/>
  <c r="AE35" i="10"/>
  <c r="T36" i="10"/>
  <c r="V36" i="10"/>
  <c r="AB36" i="10"/>
  <c r="AE36" i="10"/>
  <c r="AF37" i="10"/>
  <c r="AC31" i="10"/>
  <c r="AC32" i="10"/>
  <c r="AC33" i="10"/>
  <c r="AC34" i="10"/>
  <c r="AC35" i="10"/>
  <c r="AC36" i="10"/>
  <c r="AD37" i="10"/>
  <c r="AG36" i="10"/>
  <c r="AG35" i="10"/>
  <c r="AG34" i="10"/>
  <c r="AG33" i="10"/>
  <c r="AG32" i="10"/>
  <c r="AG31" i="10"/>
  <c r="T30" i="10"/>
  <c r="V30" i="10"/>
  <c r="AB30" i="10"/>
  <c r="AC30" i="10"/>
  <c r="AE30" i="10"/>
  <c r="AG30" i="10"/>
  <c r="T23" i="10"/>
  <c r="V23" i="10"/>
  <c r="AB23" i="10"/>
  <c r="AE23" i="10"/>
  <c r="T24" i="10"/>
  <c r="V24" i="10"/>
  <c r="AB24" i="10"/>
  <c r="AE24" i="10"/>
  <c r="T25" i="10"/>
  <c r="V25" i="10"/>
  <c r="AB25" i="10"/>
  <c r="AE25" i="10"/>
  <c r="T26" i="10"/>
  <c r="V26" i="10"/>
  <c r="AB26" i="10"/>
  <c r="AE26" i="10"/>
  <c r="T27" i="10"/>
  <c r="V27" i="10"/>
  <c r="AB27" i="10"/>
  <c r="AE27" i="10"/>
  <c r="T28" i="10"/>
  <c r="V28" i="10"/>
  <c r="AB28" i="10"/>
  <c r="AE28" i="10"/>
  <c r="T29" i="10"/>
  <c r="V29" i="10"/>
  <c r="AB29" i="10"/>
  <c r="AE29" i="10"/>
  <c r="AF30" i="10"/>
  <c r="AC23" i="10"/>
  <c r="AC24" i="10"/>
  <c r="AC25" i="10"/>
  <c r="AC26" i="10"/>
  <c r="AC27" i="10"/>
  <c r="AC28" i="10"/>
  <c r="AC29" i="10"/>
  <c r="AD30" i="10"/>
  <c r="AG29" i="10"/>
  <c r="AG28" i="10"/>
  <c r="AG27" i="10"/>
  <c r="AG26" i="10"/>
  <c r="AG25" i="10"/>
  <c r="AG24" i="10"/>
  <c r="AG23" i="10"/>
  <c r="T22" i="10"/>
  <c r="V22" i="10"/>
  <c r="AB22" i="10"/>
  <c r="AC22" i="10"/>
  <c r="AE22" i="10"/>
  <c r="AG22" i="10"/>
  <c r="T17" i="10"/>
  <c r="V17" i="10"/>
  <c r="AB17" i="10"/>
  <c r="AE17" i="10"/>
  <c r="T18" i="10"/>
  <c r="V18" i="10"/>
  <c r="AB18" i="10"/>
  <c r="AE18" i="10"/>
  <c r="T19" i="10"/>
  <c r="V19" i="10"/>
  <c r="AB19" i="10"/>
  <c r="AE19" i="10"/>
  <c r="T20" i="10"/>
  <c r="V20" i="10"/>
  <c r="AB20" i="10"/>
  <c r="AE20" i="10"/>
  <c r="T21" i="10"/>
  <c r="V21" i="10"/>
  <c r="AB21" i="10"/>
  <c r="AE21" i="10"/>
  <c r="AF22" i="10"/>
  <c r="AC17" i="10"/>
  <c r="AC18" i="10"/>
  <c r="AC19" i="10"/>
  <c r="AC20" i="10"/>
  <c r="AC21" i="10"/>
  <c r="AD22" i="10"/>
  <c r="AG21" i="10"/>
  <c r="AG20" i="10"/>
  <c r="AG19" i="10"/>
  <c r="AG18" i="10"/>
  <c r="AG17" i="10"/>
  <c r="T16" i="10"/>
  <c r="V16" i="10"/>
  <c r="AB16" i="10"/>
  <c r="AC16" i="10"/>
  <c r="AE16" i="10"/>
  <c r="AG16" i="10"/>
  <c r="T14" i="10"/>
  <c r="V14" i="10"/>
  <c r="AB14" i="10"/>
  <c r="AE14" i="10"/>
  <c r="T15" i="10"/>
  <c r="V15" i="10"/>
  <c r="AB15" i="10"/>
  <c r="AE15" i="10"/>
  <c r="AF16" i="10"/>
  <c r="AC14" i="10"/>
  <c r="AC15" i="10"/>
  <c r="AD16" i="10"/>
  <c r="AG15" i="10"/>
  <c r="AG14" i="10"/>
  <c r="T13" i="10"/>
  <c r="V13" i="10"/>
  <c r="AB13" i="10"/>
  <c r="AC13" i="10"/>
  <c r="AE13" i="10"/>
  <c r="AG13" i="10"/>
  <c r="T6" i="10"/>
  <c r="V6" i="10"/>
  <c r="AB6" i="10"/>
  <c r="AE6" i="10"/>
  <c r="T7" i="10"/>
  <c r="V7" i="10"/>
  <c r="AB7" i="10"/>
  <c r="AE7" i="10"/>
  <c r="T8" i="10"/>
  <c r="V8" i="10"/>
  <c r="AB8" i="10"/>
  <c r="AE8" i="10"/>
  <c r="T9" i="10"/>
  <c r="V9" i="10"/>
  <c r="AB9" i="10"/>
  <c r="AE9" i="10"/>
  <c r="T10" i="10"/>
  <c r="V10" i="10"/>
  <c r="AB10" i="10"/>
  <c r="AE10" i="10"/>
  <c r="T11" i="10"/>
  <c r="V11" i="10"/>
  <c r="AB11" i="10"/>
  <c r="AE11" i="10"/>
  <c r="T12" i="10"/>
  <c r="V12" i="10"/>
  <c r="AB12" i="10"/>
  <c r="AE12" i="10"/>
  <c r="AF13" i="10"/>
  <c r="AC6" i="10"/>
  <c r="AC7" i="10"/>
  <c r="AC8" i="10"/>
  <c r="AC9" i="10"/>
  <c r="AC10" i="10"/>
  <c r="AC11" i="10"/>
  <c r="AC12" i="10"/>
  <c r="AD13" i="10"/>
  <c r="AG12" i="10"/>
  <c r="AG11" i="10"/>
  <c r="AG10" i="10"/>
  <c r="AG9" i="10"/>
  <c r="AG8" i="10"/>
  <c r="AG7" i="10"/>
  <c r="AG6" i="10"/>
  <c r="AH6" i="10"/>
  <c r="AH37" i="10"/>
  <c r="AH36" i="10"/>
  <c r="AH35" i="10"/>
  <c r="AH34" i="10"/>
  <c r="AH33" i="10"/>
  <c r="AH32" i="10"/>
  <c r="AH31" i="10"/>
  <c r="AH30" i="10"/>
  <c r="AH29" i="10"/>
  <c r="AH28" i="10"/>
  <c r="AH27" i="10"/>
  <c r="AH26" i="10"/>
  <c r="AH25" i="10"/>
  <c r="AH24" i="10"/>
  <c r="AH23" i="10"/>
  <c r="AH22" i="10"/>
  <c r="AH21" i="10"/>
  <c r="AH20" i="10"/>
  <c r="AH19" i="10"/>
  <c r="AH18" i="10"/>
  <c r="AH17" i="10"/>
  <c r="AH16" i="10"/>
  <c r="AH15" i="10"/>
  <c r="AH14" i="10"/>
  <c r="AH13" i="10"/>
  <c r="AH12" i="10"/>
  <c r="AH11" i="10"/>
  <c r="AH10" i="10"/>
  <c r="AH9" i="10"/>
  <c r="AH8" i="10"/>
  <c r="AH7" i="10"/>
  <c r="AW6" i="8"/>
  <c r="AZ14" i="8"/>
  <c r="BD6" i="8"/>
  <c r="BE6" i="8"/>
  <c r="BD7" i="8"/>
  <c r="BE7" i="8"/>
  <c r="BD8" i="8"/>
  <c r="BE8" i="8"/>
  <c r="BD9" i="8"/>
  <c r="BE9" i="8"/>
  <c r="BD10" i="8"/>
  <c r="BE10" i="8"/>
  <c r="BD11" i="8"/>
  <c r="BE11" i="8"/>
  <c r="BD12" i="8"/>
  <c r="BE12" i="8"/>
  <c r="BD13" i="8"/>
  <c r="BE13" i="8"/>
  <c r="BE14" i="8"/>
  <c r="BE53" i="8"/>
  <c r="BJ13" i="8"/>
  <c r="BI13" i="8"/>
  <c r="BJ12" i="8"/>
  <c r="BI12" i="8"/>
  <c r="BJ11" i="8"/>
  <c r="BI11" i="8"/>
  <c r="BJ10" i="8"/>
  <c r="BI10" i="8"/>
  <c r="BJ9" i="8"/>
  <c r="BI9" i="8"/>
  <c r="BJ8" i="8"/>
  <c r="BI8" i="8"/>
  <c r="BJ7" i="8"/>
  <c r="BI7" i="8"/>
  <c r="BJ6" i="8"/>
  <c r="BI6" i="8"/>
  <c r="BA6" i="8"/>
  <c r="AX6" i="8"/>
  <c r="AY6" i="8"/>
  <c r="AZ6" i="8"/>
  <c r="BB6" i="8"/>
  <c r="BC6" i="8"/>
</calcChain>
</file>

<file path=xl/sharedStrings.xml><?xml version="1.0" encoding="utf-8"?>
<sst xmlns="http://schemas.openxmlformats.org/spreadsheetml/2006/main" count="303" uniqueCount="130">
  <si>
    <t>Questionnaire Results</t>
  </si>
  <si>
    <t>Respondent details</t>
  </si>
  <si>
    <t>Years of experience</t>
  </si>
  <si>
    <t>Commercial</t>
  </si>
  <si>
    <t>Affordability</t>
  </si>
  <si>
    <t>Engineering</t>
  </si>
  <si>
    <t>Mean</t>
  </si>
  <si>
    <t>Labour efficiency</t>
  </si>
  <si>
    <t>Customer equipment usage</t>
  </si>
  <si>
    <t>KPI specifications</t>
  </si>
  <si>
    <t>Stability of requirements</t>
  </si>
  <si>
    <t>Customer ability to spend</t>
  </si>
  <si>
    <t>Customer willingness to spend</t>
  </si>
  <si>
    <t>Availability of equipment</t>
  </si>
  <si>
    <t>Maintainer performance</t>
  </si>
  <si>
    <t>Availability of resources to support maintenance</t>
  </si>
  <si>
    <t>Complexity of equipment</t>
  </si>
  <si>
    <t>Quality of components and manufacturing</t>
  </si>
  <si>
    <t>Mean time between failure (MTBF) data</t>
  </si>
  <si>
    <t>Supply chain logistics</t>
  </si>
  <si>
    <t>Accuracy of cost estimation</t>
  </si>
  <si>
    <t>Efficiency of engineering effort</t>
  </si>
  <si>
    <t>System capability upgrades</t>
  </si>
  <si>
    <r>
      <t xml:space="preserve">OEM logistics </t>
    </r>
    <r>
      <rPr>
        <sz val="10"/>
        <color theme="1"/>
        <rFont val="Arial"/>
        <family val="2"/>
      </rPr>
      <t>(i.e. supply of parts)</t>
    </r>
  </si>
  <si>
    <t>Data reliability and quality</t>
  </si>
  <si>
    <r>
      <t xml:space="preserve">Level of obsolescence </t>
    </r>
    <r>
      <rPr>
        <sz val="10"/>
        <color theme="1"/>
        <rFont val="Arial"/>
        <family val="2"/>
      </rPr>
      <t>(component, system or process)</t>
    </r>
  </si>
  <si>
    <t>Additional factors</t>
  </si>
  <si>
    <t>Consent form completed?</t>
  </si>
  <si>
    <t>P5</t>
  </si>
  <si>
    <t>P4</t>
  </si>
  <si>
    <t>P6</t>
  </si>
  <si>
    <t>P7</t>
  </si>
  <si>
    <t>P8</t>
  </si>
  <si>
    <t>P9</t>
  </si>
  <si>
    <t>P10</t>
  </si>
  <si>
    <t>Respondent number</t>
  </si>
  <si>
    <t>5 to 9</t>
  </si>
  <si>
    <t>Range</t>
  </si>
  <si>
    <t>Mean cat</t>
  </si>
  <si>
    <t>10 to 14</t>
  </si>
  <si>
    <t>15 to 20</t>
  </si>
  <si>
    <t>Mean - range</t>
  </si>
  <si>
    <t>Low influence, Low agreement</t>
  </si>
  <si>
    <t>High influence, High agreement</t>
  </si>
  <si>
    <t>High mean influence on uncertinaty / Low agreement between respondents</t>
  </si>
  <si>
    <t>Low mean influence on uncertinaty / High agreement between respondents</t>
  </si>
  <si>
    <t>Range cat.</t>
  </si>
  <si>
    <t>Score</t>
  </si>
  <si>
    <t>Bold italic text = High MEAN uncertainty influence</t>
  </si>
  <si>
    <t xml:space="preserve"> </t>
  </si>
  <si>
    <t>Communication between shareholders</t>
  </si>
  <si>
    <t>Ability to screen candidates in training</t>
  </si>
  <si>
    <t>Sufficiency of spare parts storage (on the shelf)</t>
  </si>
  <si>
    <t>Accuracy &amp; availability of technical data (concerning IPR, etc.)</t>
  </si>
  <si>
    <t>Response to working environment (temp., confined spaces, etc.)</t>
  </si>
  <si>
    <t>Quality of documentation / information from OEM</t>
  </si>
  <si>
    <t>Availability of suitably qualified maintainers</t>
  </si>
  <si>
    <t>Knowledge and experience to perform a given task</t>
  </si>
  <si>
    <t>Material readiness state awareness</t>
  </si>
  <si>
    <t>Operational</t>
  </si>
  <si>
    <t>Primary contractor relationship with OEM</t>
  </si>
  <si>
    <t>Primary contractor relationship with customer</t>
  </si>
  <si>
    <r>
      <t xml:space="preserve">Technology integration </t>
    </r>
    <r>
      <rPr>
        <sz val="10"/>
        <color theme="1"/>
        <rFont val="Arial"/>
        <family val="2"/>
      </rPr>
      <t>(availability of system interrogation software)</t>
    </r>
  </si>
  <si>
    <t>Confidence that reference books are reviewed and up-to-date</t>
  </si>
  <si>
    <t>Influencing factors</t>
  </si>
  <si>
    <t>Agreement</t>
  </si>
  <si>
    <t>Table key:</t>
  </si>
  <si>
    <t>Red text = LOW AGREEMENT (range) between respondents</t>
  </si>
  <si>
    <t>Commitment to record data in relevant data banks</t>
  </si>
  <si>
    <t>Pedigree criteria</t>
  </si>
  <si>
    <t>Pedigree matrix</t>
  </si>
  <si>
    <t>Pairwise comparison</t>
  </si>
  <si>
    <t>AHP</t>
  </si>
  <si>
    <t>Score =av.pedigree score * norm weight</t>
  </si>
  <si>
    <t>Sum row</t>
  </si>
  <si>
    <t>Average (% sig)</t>
  </si>
  <si>
    <t>Consistency measure (Weighted sum vector)</t>
  </si>
  <si>
    <t>Consistency vector</t>
  </si>
  <si>
    <t>Lambda</t>
  </si>
  <si>
    <t>Consistency index</t>
  </si>
  <si>
    <t>Random index</t>
  </si>
  <si>
    <t>Consistency ratio</t>
  </si>
  <si>
    <t>Consistency ratio %</t>
  </si>
  <si>
    <t>Normalised weight</t>
  </si>
  <si>
    <t>Uncertainty score</t>
  </si>
  <si>
    <t>Total</t>
  </si>
  <si>
    <t>Sum</t>
  </si>
  <si>
    <t>n =</t>
  </si>
  <si>
    <t>Operations</t>
  </si>
  <si>
    <t>n</t>
  </si>
  <si>
    <t>Pairwise parameters</t>
  </si>
  <si>
    <t>&gt;=</t>
  </si>
  <si>
    <t>&lt;=</t>
  </si>
  <si>
    <t>Current role</t>
  </si>
  <si>
    <t>OPV (Offshore patrol)</t>
  </si>
  <si>
    <t>Hunt MCMV (Mines)</t>
  </si>
  <si>
    <t>T45 destroyer</t>
  </si>
  <si>
    <t>T23 frigate</t>
  </si>
  <si>
    <t>Ship class worked on</t>
  </si>
  <si>
    <t>Years of experience in current role</t>
  </si>
  <si>
    <t>Ship classes worked on</t>
  </si>
  <si>
    <t>&gt;20</t>
  </si>
  <si>
    <t>&lt;5</t>
  </si>
  <si>
    <t>Count</t>
  </si>
  <si>
    <t>Relevant experience prior to current role</t>
  </si>
  <si>
    <t>Weights</t>
  </si>
  <si>
    <t>Weighted score</t>
  </si>
  <si>
    <t>Weighted mean score</t>
  </si>
  <si>
    <t>Mean score</t>
  </si>
  <si>
    <t>Mean cat.</t>
  </si>
  <si>
    <t>Normalised</t>
  </si>
  <si>
    <t>Weighted normalised</t>
  </si>
  <si>
    <t>Weighted on pedigree????</t>
  </si>
  <si>
    <t>Y</t>
  </si>
  <si>
    <t>Other</t>
  </si>
  <si>
    <t>R Number</t>
  </si>
  <si>
    <t>R1</t>
  </si>
  <si>
    <t>R2</t>
  </si>
  <si>
    <t>R3</t>
  </si>
  <si>
    <t>R4</t>
  </si>
  <si>
    <t>R5</t>
  </si>
  <si>
    <t>R6</t>
  </si>
  <si>
    <t>R7</t>
  </si>
  <si>
    <t>R8</t>
  </si>
  <si>
    <t>R9</t>
  </si>
  <si>
    <t>MODE</t>
  </si>
  <si>
    <t>Median</t>
  </si>
  <si>
    <t xml:space="preserve">5 4 3 2 1 </t>
  </si>
  <si>
    <t>1 2 3 4 5</t>
  </si>
  <si>
    <t>QE carrier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</si>
</sst>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0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3"/>
      <name val="Calibri"/>
      <family val="2"/>
      <scheme val="minor"/>
    </font>
    <font>
      <b/>
      <sz val="26"/>
      <color theme="3"/>
      <name val="Calibri"/>
      <family val="2"/>
      <scheme val="minor"/>
    </font>
    <font>
      <sz val="11"/>
      <color theme="1"/>
      <name val="Arial"/>
      <family val="2"/>
    </font>
    <font>
      <sz val="10"/>
      <color theme="1"/>
      <name val="Arial"/>
      <family val="2"/>
    </font>
    <font>
      <b/>
      <sz val="16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2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i/>
      <sz val="14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b/>
      <sz val="11"/>
      <color theme="5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4"/>
      <name val="Calibri"/>
      <family val="2"/>
      <scheme val="minor"/>
    </font>
    <font>
      <b/>
      <sz val="20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2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13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/>
      <top style="thick">
        <color theme="0"/>
      </top>
      <bottom/>
      <diagonal/>
    </border>
    <border>
      <left style="thin">
        <color theme="0"/>
      </left>
      <right style="thick">
        <color theme="0"/>
      </right>
      <top style="thin">
        <color theme="0"/>
      </top>
      <bottom style="thin">
        <color theme="0"/>
      </bottom>
      <diagonal/>
    </border>
    <border>
      <left style="thick">
        <color theme="0"/>
      </left>
      <right/>
      <top/>
      <bottom/>
      <diagonal/>
    </border>
    <border>
      <left/>
      <right style="thick">
        <color theme="0"/>
      </right>
      <top/>
      <bottom/>
      <diagonal/>
    </border>
    <border>
      <left/>
      <right/>
      <top/>
      <bottom style="thick">
        <color theme="0"/>
      </bottom>
      <diagonal/>
    </border>
    <border>
      <left style="thick">
        <color theme="0"/>
      </left>
      <right style="medium">
        <color rgb="FFFFFFFF"/>
      </right>
      <top style="thin">
        <color theme="0"/>
      </top>
      <bottom style="thin">
        <color theme="0"/>
      </bottom>
      <diagonal/>
    </border>
    <border>
      <left style="thick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ck">
        <color theme="0"/>
      </left>
      <right style="thin">
        <color theme="0"/>
      </right>
      <top style="thin">
        <color theme="0"/>
      </top>
      <bottom style="thick">
        <color theme="0"/>
      </bottom>
      <diagonal/>
    </border>
    <border>
      <left/>
      <right/>
      <top style="thin">
        <color theme="0"/>
      </top>
      <bottom style="thick">
        <color theme="0"/>
      </bottom>
      <diagonal/>
    </border>
    <border>
      <left style="thick">
        <color theme="0"/>
      </left>
      <right style="thin">
        <color theme="0"/>
      </right>
      <top style="thick">
        <color theme="0"/>
      </top>
      <bottom style="thin">
        <color theme="0"/>
      </bottom>
      <diagonal/>
    </border>
    <border>
      <left/>
      <right/>
      <top style="thick">
        <color theme="0"/>
      </top>
      <bottom style="thin">
        <color theme="0"/>
      </bottom>
      <diagonal/>
    </border>
    <border>
      <left style="thin">
        <color theme="0"/>
      </left>
      <right style="thick">
        <color theme="0"/>
      </right>
      <top style="thin">
        <color theme="0"/>
      </top>
      <bottom style="thick">
        <color theme="0"/>
      </bottom>
      <diagonal/>
    </border>
    <border>
      <left style="thick">
        <color theme="0"/>
      </left>
      <right style="medium">
        <color rgb="FFFFFFFF"/>
      </right>
      <top style="thick">
        <color theme="0"/>
      </top>
      <bottom style="thin">
        <color theme="0"/>
      </bottom>
      <diagonal/>
    </border>
    <border>
      <left style="thin">
        <color theme="0"/>
      </left>
      <right style="thick">
        <color theme="0"/>
      </right>
      <top style="thick">
        <color theme="0"/>
      </top>
      <bottom style="thin">
        <color theme="0"/>
      </bottom>
      <diagonal/>
    </border>
    <border>
      <left/>
      <right style="thick">
        <color theme="4" tint="0.79998168889431442"/>
      </right>
      <top/>
      <bottom/>
      <diagonal/>
    </border>
    <border>
      <left/>
      <right/>
      <top style="thin">
        <color theme="0"/>
      </top>
      <bottom/>
      <diagonal/>
    </border>
    <border>
      <left style="thick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ck">
        <color theme="0"/>
      </right>
      <top style="thin">
        <color theme="0"/>
      </top>
      <bottom/>
      <diagonal/>
    </border>
    <border>
      <left style="thick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ck">
        <color theme="0"/>
      </right>
      <top/>
      <bottom style="thin">
        <color theme="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n">
        <color theme="0"/>
      </bottom>
      <diagonal/>
    </border>
    <border>
      <left style="thick">
        <color theme="0"/>
      </left>
      <right style="thick">
        <color theme="0"/>
      </right>
      <top style="thin">
        <color theme="0"/>
      </top>
      <bottom style="thin">
        <color theme="0"/>
      </bottom>
      <diagonal/>
    </border>
    <border>
      <left style="thick">
        <color theme="0"/>
      </left>
      <right style="thin">
        <color theme="0"/>
      </right>
      <top style="thick">
        <color theme="0"/>
      </top>
      <bottom style="thick">
        <color theme="0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auto="1"/>
      </right>
      <top style="thin">
        <color theme="0"/>
      </top>
      <bottom style="thin">
        <color theme="0"/>
      </bottom>
      <diagonal/>
    </border>
    <border>
      <left style="thin">
        <color auto="1"/>
      </left>
      <right style="thin">
        <color theme="0"/>
      </right>
      <top style="thin">
        <color theme="0"/>
      </top>
      <bottom style="thin">
        <color auto="1"/>
      </bottom>
      <diagonal/>
    </border>
    <border>
      <left style="thin">
        <color theme="0"/>
      </left>
      <right style="thin">
        <color auto="1"/>
      </right>
      <top style="thin">
        <color theme="0"/>
      </top>
      <bottom style="thin">
        <color auto="1"/>
      </bottom>
      <diagonal/>
    </border>
    <border>
      <left/>
      <right style="thick">
        <color theme="0"/>
      </right>
      <top style="thick">
        <color theme="0"/>
      </top>
      <bottom/>
      <diagonal/>
    </border>
    <border>
      <left/>
      <right style="thick">
        <color theme="0"/>
      </right>
      <top/>
      <bottom style="thick">
        <color theme="0"/>
      </bottom>
      <diagonal/>
    </border>
    <border>
      <left style="thick">
        <color theme="0"/>
      </left>
      <right/>
      <top/>
      <bottom style="thin">
        <color theme="0"/>
      </bottom>
      <diagonal/>
    </border>
    <border>
      <left style="hair">
        <color auto="1"/>
      </left>
      <right/>
      <top/>
      <bottom/>
      <diagonal/>
    </border>
    <border>
      <left style="medium">
        <color rgb="FFFFFFFF"/>
      </left>
      <right style="medium">
        <color rgb="FFFFFFFF"/>
      </right>
      <top/>
      <bottom style="thin">
        <color theme="4" tint="0.79995117038483843"/>
      </bottom>
      <diagonal/>
    </border>
    <border>
      <left style="dotted">
        <color auto="1"/>
      </left>
      <right/>
      <top/>
      <bottom/>
      <diagonal/>
    </border>
    <border>
      <left/>
      <right style="medium">
        <color rgb="FFFFFFFF"/>
      </right>
      <top/>
      <bottom style="thin">
        <color theme="0"/>
      </bottom>
      <diagonal/>
    </border>
    <border>
      <left style="medium">
        <color rgb="FFFFFFFF"/>
      </left>
      <right style="thin">
        <color theme="4" tint="0.79995117038483843"/>
      </right>
      <top/>
      <bottom style="medium">
        <color rgb="FFFFFFFF"/>
      </bottom>
      <diagonal/>
    </border>
    <border>
      <left style="thin">
        <color theme="4" tint="0.79995117038483843"/>
      </left>
      <right/>
      <top style="thin">
        <color theme="4" tint="0.79995117038483843"/>
      </top>
      <bottom/>
      <diagonal/>
    </border>
    <border>
      <left/>
      <right/>
      <top style="thin">
        <color theme="4" tint="0.79995117038483843"/>
      </top>
      <bottom/>
      <diagonal/>
    </border>
    <border>
      <left/>
      <right style="thin">
        <color theme="4" tint="0.79995117038483843"/>
      </right>
      <top style="thin">
        <color theme="4" tint="0.79995117038483843"/>
      </top>
      <bottom/>
      <diagonal/>
    </border>
    <border>
      <left style="hair">
        <color auto="1"/>
      </left>
      <right/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thin">
        <color theme="4" tint="0.79995117038483843"/>
      </left>
      <right/>
      <top/>
      <bottom/>
      <diagonal/>
    </border>
    <border>
      <left/>
      <right style="thin">
        <color theme="4" tint="0.79995117038483843"/>
      </right>
      <top/>
      <bottom/>
      <diagonal/>
    </border>
    <border>
      <left/>
      <right style="hair">
        <color auto="1"/>
      </right>
      <top/>
      <bottom/>
      <diagonal/>
    </border>
    <border>
      <left style="thin">
        <color theme="4" tint="0.79995117038483843"/>
      </left>
      <right/>
      <top/>
      <bottom style="thin">
        <color theme="4" tint="0.79995117038483843"/>
      </bottom>
      <diagonal/>
    </border>
    <border>
      <left/>
      <right/>
      <top/>
      <bottom style="thin">
        <color theme="4" tint="0.79995117038483843"/>
      </bottom>
      <diagonal/>
    </border>
    <border>
      <left/>
      <right style="thin">
        <color theme="4" tint="0.79995117038483843"/>
      </right>
      <top/>
      <bottom style="thin">
        <color theme="4" tint="0.79995117038483843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/>
      <right/>
      <top/>
      <bottom style="thin">
        <color theme="0"/>
      </bottom>
      <diagonal/>
    </border>
    <border>
      <left style="dotted">
        <color auto="1"/>
      </left>
      <right/>
      <top style="dotted">
        <color auto="1"/>
      </top>
      <bottom style="dotted">
        <color auto="1"/>
      </bottom>
      <diagonal/>
    </border>
    <border>
      <left/>
      <right style="dotted">
        <color auto="1"/>
      </right>
      <top style="dotted">
        <color auto="1"/>
      </top>
      <bottom style="dotted">
        <color auto="1"/>
      </bottom>
      <diagonal/>
    </border>
    <border>
      <left/>
      <right style="dotted">
        <color auto="1"/>
      </right>
      <top/>
      <bottom/>
      <diagonal/>
    </border>
    <border>
      <left style="dotted">
        <color auto="1"/>
      </left>
      <right/>
      <top/>
      <bottom style="dotted">
        <color auto="1"/>
      </bottom>
      <diagonal/>
    </border>
    <border>
      <left/>
      <right style="dotted">
        <color auto="1"/>
      </right>
      <top/>
      <bottom style="dotted">
        <color auto="1"/>
      </bottom>
      <diagonal/>
    </border>
    <border>
      <left style="medium">
        <color rgb="FFFFFFFF"/>
      </left>
      <right/>
      <top/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/>
      <bottom/>
      <diagonal/>
    </border>
    <border>
      <left style="medium">
        <color rgb="FFFFFFFF"/>
      </left>
      <right style="thick">
        <color theme="0"/>
      </right>
      <top/>
      <bottom/>
      <diagonal/>
    </border>
    <border>
      <left style="dotted">
        <color auto="1"/>
      </left>
      <right/>
      <top style="dotted">
        <color auto="1"/>
      </top>
      <bottom/>
      <diagonal/>
    </border>
    <border>
      <left/>
      <right style="dotted">
        <color auto="1"/>
      </right>
      <top style="dotted">
        <color auto="1"/>
      </top>
      <bottom/>
      <diagonal/>
    </border>
    <border>
      <left/>
      <right/>
      <top style="dotted">
        <color auto="1"/>
      </top>
      <bottom/>
      <diagonal/>
    </border>
    <border>
      <left style="thin">
        <color auto="1"/>
      </left>
      <right/>
      <top style="dotted">
        <color auto="1"/>
      </top>
      <bottom/>
      <diagonal/>
    </border>
    <border>
      <left/>
      <right/>
      <top/>
      <bottom style="dotted">
        <color auto="1"/>
      </bottom>
      <diagonal/>
    </border>
    <border>
      <left style="thin">
        <color auto="1"/>
      </left>
      <right/>
      <top/>
      <bottom style="dotted">
        <color auto="1"/>
      </bottom>
      <diagonal/>
    </border>
    <border>
      <left style="thin">
        <color theme="0"/>
      </left>
      <right/>
      <top/>
      <bottom/>
      <diagonal/>
    </border>
    <border>
      <left/>
      <right style="thick">
        <color theme="6" tint="0.79998168889431442"/>
      </right>
      <top style="thick">
        <color theme="0"/>
      </top>
      <bottom style="thin">
        <color theme="0"/>
      </bottom>
      <diagonal/>
    </border>
    <border>
      <left/>
      <right style="thick">
        <color theme="6" tint="0.79998168889431442"/>
      </right>
      <top style="thin">
        <color theme="0"/>
      </top>
      <bottom style="thin">
        <color theme="0"/>
      </bottom>
      <diagonal/>
    </border>
    <border>
      <left/>
      <right style="thick">
        <color theme="6" tint="0.79998168889431442"/>
      </right>
      <top style="thin">
        <color theme="0"/>
      </top>
      <bottom/>
      <diagonal/>
    </border>
    <border>
      <left/>
      <right style="thick">
        <color theme="6" tint="0.79998168889431442"/>
      </right>
      <top style="thin">
        <color theme="0"/>
      </top>
      <bottom style="thick">
        <color theme="0"/>
      </bottom>
      <diagonal/>
    </border>
    <border>
      <left/>
      <right style="thick">
        <color theme="6" tint="0.79998168889431442"/>
      </right>
      <top/>
      <bottom/>
      <diagonal/>
    </border>
    <border>
      <left/>
      <right/>
      <top/>
      <bottom style="thick">
        <color theme="6" tint="0.79998168889431442"/>
      </bottom>
      <diagonal/>
    </border>
    <border>
      <left style="thick">
        <color theme="0"/>
      </left>
      <right style="thick">
        <color theme="0"/>
      </right>
      <top style="thin">
        <color theme="0"/>
      </top>
      <bottom style="thick">
        <color theme="6" tint="0.79998168889431442"/>
      </bottom>
      <diagonal/>
    </border>
    <border>
      <left style="thick">
        <color theme="0"/>
      </left>
      <right style="medium">
        <color rgb="FFFFFFFF"/>
      </right>
      <top style="thin">
        <color theme="0"/>
      </top>
      <bottom style="thick">
        <color theme="6" tint="0.79998168889431442"/>
      </bottom>
      <diagonal/>
    </border>
    <border>
      <left style="thick">
        <color theme="0"/>
      </left>
      <right style="thin">
        <color theme="0"/>
      </right>
      <top style="thin">
        <color theme="0"/>
      </top>
      <bottom style="thick">
        <color theme="6" tint="0.79998168889431442"/>
      </bottom>
      <diagonal/>
    </border>
    <border>
      <left style="thin">
        <color theme="0"/>
      </left>
      <right style="thick">
        <color theme="0"/>
      </right>
      <top style="thin">
        <color theme="0"/>
      </top>
      <bottom style="thick">
        <color theme="6" tint="0.79998168889431442"/>
      </bottom>
      <diagonal/>
    </border>
    <border>
      <left style="thick">
        <color theme="0"/>
      </left>
      <right style="thin">
        <color theme="0"/>
      </right>
      <top style="thick">
        <color theme="0"/>
      </top>
      <bottom style="thick">
        <color theme="6" tint="0.79998168889431442"/>
      </bottom>
      <diagonal/>
    </border>
    <border>
      <left/>
      <right style="thick">
        <color theme="6" tint="0.79998168889431442"/>
      </right>
      <top style="thin">
        <color theme="0"/>
      </top>
      <bottom style="thick">
        <color theme="6" tint="0.79998168889431442"/>
      </bottom>
      <diagonal/>
    </border>
    <border>
      <left style="thin">
        <color theme="7" tint="0.79998168889431442"/>
      </left>
      <right/>
      <top style="thin">
        <color theme="7" tint="0.79998168889431442"/>
      </top>
      <bottom/>
      <diagonal/>
    </border>
    <border>
      <left/>
      <right/>
      <top style="thin">
        <color theme="7" tint="0.79998168889431442"/>
      </top>
      <bottom/>
      <diagonal/>
    </border>
    <border>
      <left/>
      <right style="thin">
        <color theme="7" tint="0.79998168889431442"/>
      </right>
      <top style="thin">
        <color theme="7" tint="0.79998168889431442"/>
      </top>
      <bottom/>
      <diagonal/>
    </border>
    <border>
      <left style="thin">
        <color theme="7" tint="0.79998168889431442"/>
      </left>
      <right/>
      <top/>
      <bottom/>
      <diagonal/>
    </border>
    <border>
      <left/>
      <right style="thin">
        <color theme="7" tint="0.79998168889431442"/>
      </right>
      <top/>
      <bottom/>
      <diagonal/>
    </border>
    <border>
      <left style="thin">
        <color theme="7" tint="0.79998168889431442"/>
      </left>
      <right/>
      <top/>
      <bottom style="thin">
        <color theme="7" tint="0.79998168889431442"/>
      </bottom>
      <diagonal/>
    </border>
    <border>
      <left/>
      <right/>
      <top/>
      <bottom style="thin">
        <color theme="7" tint="0.79998168889431442"/>
      </bottom>
      <diagonal/>
    </border>
    <border>
      <left/>
      <right style="thin">
        <color theme="7" tint="0.79998168889431442"/>
      </right>
      <top/>
      <bottom style="thin">
        <color theme="7" tint="0.79998168889431442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/>
      <diagonal/>
    </border>
    <border>
      <left/>
      <right/>
      <top style="thin">
        <color theme="0" tint="-0.14996795556505021"/>
      </top>
      <bottom/>
      <diagonal/>
    </border>
    <border>
      <left/>
      <right style="thin">
        <color theme="0" tint="-0.14996795556505021"/>
      </right>
      <top style="thin">
        <color theme="0" tint="-0.14996795556505021"/>
      </top>
      <bottom/>
      <diagonal/>
    </border>
    <border>
      <left style="thin">
        <color theme="0" tint="-0.14996795556505021"/>
      </left>
      <right/>
      <top/>
      <bottom/>
      <diagonal/>
    </border>
    <border>
      <left/>
      <right style="thin">
        <color theme="0" tint="-0.14996795556505021"/>
      </right>
      <top/>
      <bottom/>
      <diagonal/>
    </border>
    <border>
      <left style="thin">
        <color theme="0" tint="-0.14996795556505021"/>
      </left>
      <right/>
      <top/>
      <bottom style="thin">
        <color theme="0" tint="-0.14996795556505021"/>
      </bottom>
      <diagonal/>
    </border>
    <border>
      <left/>
      <right/>
      <top/>
      <bottom style="thin">
        <color theme="0" tint="-0.14996795556505021"/>
      </bottom>
      <diagonal/>
    </border>
    <border>
      <left/>
      <right style="thin">
        <color theme="0" tint="-0.14996795556505021"/>
      </right>
      <top/>
      <bottom style="thin">
        <color theme="0" tint="-0.14996795556505021"/>
      </bottom>
      <diagonal/>
    </border>
    <border>
      <left style="thin">
        <color theme="6" tint="0.79998168889431442"/>
      </left>
      <right/>
      <top style="thin">
        <color theme="6" tint="0.79998168889431442"/>
      </top>
      <bottom/>
      <diagonal/>
    </border>
    <border>
      <left/>
      <right/>
      <top style="thin">
        <color theme="6" tint="0.79998168889431442"/>
      </top>
      <bottom/>
      <diagonal/>
    </border>
    <border>
      <left/>
      <right style="thin">
        <color theme="6" tint="0.79998168889431442"/>
      </right>
      <top style="thin">
        <color theme="6" tint="0.79998168889431442"/>
      </top>
      <bottom/>
      <diagonal/>
    </border>
    <border>
      <left style="thin">
        <color theme="6" tint="0.79998168889431442"/>
      </left>
      <right/>
      <top/>
      <bottom/>
      <diagonal/>
    </border>
    <border>
      <left/>
      <right style="thin">
        <color theme="6" tint="0.79998168889431442"/>
      </right>
      <top/>
      <bottom/>
      <diagonal/>
    </border>
    <border>
      <left style="thin">
        <color theme="6" tint="0.79998168889431442"/>
      </left>
      <right/>
      <top/>
      <bottom style="thin">
        <color theme="6" tint="0.79998168889431442"/>
      </bottom>
      <diagonal/>
    </border>
    <border>
      <left/>
      <right/>
      <top/>
      <bottom style="thin">
        <color theme="6" tint="0.79998168889431442"/>
      </bottom>
      <diagonal/>
    </border>
    <border>
      <left/>
      <right style="thin">
        <color theme="6" tint="0.79998168889431442"/>
      </right>
      <top/>
      <bottom style="thin">
        <color theme="6" tint="0.79998168889431442"/>
      </bottom>
      <diagonal/>
    </border>
    <border>
      <left/>
      <right/>
      <top style="thin">
        <color theme="0"/>
      </top>
      <bottom style="thick">
        <color theme="6" tint="0.79998168889431442"/>
      </bottom>
      <diagonal/>
    </border>
    <border>
      <left style="thick">
        <color rgb="FF002060"/>
      </left>
      <right style="thin">
        <color theme="0"/>
      </right>
      <top style="thick">
        <color theme="0"/>
      </top>
      <bottom style="thin">
        <color theme="0"/>
      </bottom>
      <diagonal/>
    </border>
    <border>
      <left style="thick">
        <color rgb="FF00206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ck">
        <color rgb="FF002060"/>
      </left>
      <right style="thin">
        <color theme="0"/>
      </right>
      <top style="thin">
        <color theme="0"/>
      </top>
      <bottom/>
      <diagonal/>
    </border>
    <border>
      <left style="thick">
        <color rgb="FF002060"/>
      </left>
      <right style="thin">
        <color theme="0"/>
      </right>
      <top style="thin">
        <color theme="0"/>
      </top>
      <bottom style="thick">
        <color theme="0"/>
      </bottom>
      <diagonal/>
    </border>
    <border>
      <left style="thick">
        <color rgb="FF002060"/>
      </left>
      <right style="thin">
        <color theme="0"/>
      </right>
      <top/>
      <bottom style="thin">
        <color theme="0"/>
      </bottom>
      <diagonal/>
    </border>
    <border>
      <left style="thick">
        <color rgb="FF002060"/>
      </left>
      <right/>
      <top style="thick">
        <color rgb="FF002060"/>
      </top>
      <bottom/>
      <diagonal/>
    </border>
    <border>
      <left/>
      <right style="thick">
        <color theme="0"/>
      </right>
      <top style="thick">
        <color rgb="FF002060"/>
      </top>
      <bottom/>
      <diagonal/>
    </border>
    <border>
      <left/>
      <right style="thick">
        <color rgb="FF002060"/>
      </right>
      <top style="thick">
        <color rgb="FF002060"/>
      </top>
      <bottom/>
      <diagonal/>
    </border>
    <border>
      <left/>
      <right style="thick">
        <color rgb="FF002060"/>
      </right>
      <top style="thick">
        <color theme="0"/>
      </top>
      <bottom style="thin">
        <color theme="0"/>
      </bottom>
      <diagonal/>
    </border>
    <border>
      <left style="thick">
        <color rgb="FF002060"/>
      </left>
      <right style="thin">
        <color theme="0"/>
      </right>
      <top style="thin">
        <color theme="0"/>
      </top>
      <bottom style="thick">
        <color rgb="FF002060"/>
      </bottom>
      <diagonal/>
    </border>
    <border>
      <left style="thin">
        <color theme="0"/>
      </left>
      <right style="thick">
        <color theme="0"/>
      </right>
      <top style="thin">
        <color theme="0"/>
      </top>
      <bottom style="thick">
        <color rgb="FF002060"/>
      </bottom>
      <diagonal/>
    </border>
    <border>
      <left/>
      <right style="thick">
        <color rgb="FF002060"/>
      </right>
      <top style="thick">
        <color theme="0"/>
      </top>
      <bottom style="thick">
        <color rgb="FF002060"/>
      </bottom>
      <diagonal/>
    </border>
  </borders>
  <cellStyleXfs count="3">
    <xf numFmtId="0" fontId="0" fillId="0" borderId="0"/>
    <xf numFmtId="0" fontId="5" fillId="0" borderId="1" applyNumberFormat="0" applyFill="0" applyAlignment="0" applyProtection="0"/>
    <xf numFmtId="0" fontId="6" fillId="0" borderId="2" applyNumberFormat="0" applyFill="0" applyAlignment="0" applyProtection="0"/>
  </cellStyleXfs>
  <cellXfs count="406">
    <xf numFmtId="0" fontId="0" fillId="0" borderId="0" xfId="0"/>
    <xf numFmtId="0" fontId="9" fillId="2" borderId="0" xfId="1" applyFont="1" applyFill="1" applyBorder="1" applyAlignment="1"/>
    <xf numFmtId="0" fontId="8" fillId="2" borderId="0" xfId="1" applyFont="1" applyFill="1" applyBorder="1" applyAlignment="1"/>
    <xf numFmtId="0" fontId="0" fillId="2" borderId="0" xfId="0" applyFill="1"/>
    <xf numFmtId="0" fontId="5" fillId="2" borderId="0" xfId="1" applyFill="1" applyBorder="1" applyAlignment="1">
      <alignment horizontal="center"/>
    </xf>
    <xf numFmtId="0" fontId="8" fillId="2" borderId="0" xfId="2" applyFont="1" applyFill="1" applyBorder="1" applyAlignment="1"/>
    <xf numFmtId="0" fontId="7" fillId="2" borderId="0" xfId="0" applyFon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vertical="center"/>
    </xf>
    <xf numFmtId="0" fontId="0" fillId="6" borderId="0" xfId="0" applyFill="1" applyAlignment="1">
      <alignment horizontal="center" vertical="center"/>
    </xf>
    <xf numFmtId="0" fontId="0" fillId="2" borderId="0" xfId="0" applyFill="1" applyAlignment="1">
      <alignment horizontal="center"/>
    </xf>
    <xf numFmtId="0" fontId="7" fillId="2" borderId="0" xfId="0" applyFont="1" applyFill="1"/>
    <xf numFmtId="0" fontId="8" fillId="2" borderId="0" xfId="2" applyFont="1" applyFill="1" applyBorder="1" applyAlignment="1">
      <alignment vertical="center"/>
    </xf>
    <xf numFmtId="0" fontId="0" fillId="2" borderId="12" xfId="0" applyFill="1" applyBorder="1" applyAlignment="1">
      <alignment horizontal="center" vertical="center"/>
    </xf>
    <xf numFmtId="0" fontId="17" fillId="2" borderId="0" xfId="0" applyFont="1" applyFill="1"/>
    <xf numFmtId="0" fontId="17" fillId="2" borderId="0" xfId="0" quotePrefix="1" applyFont="1" applyFill="1"/>
    <xf numFmtId="2" fontId="0" fillId="4" borderId="18" xfId="0" applyNumberFormat="1" applyFill="1" applyBorder="1" applyAlignment="1">
      <alignment horizontal="center" vertical="center"/>
    </xf>
    <xf numFmtId="2" fontId="0" fillId="4" borderId="16" xfId="0" applyNumberFormat="1" applyFill="1" applyBorder="1" applyAlignment="1">
      <alignment horizontal="center" vertical="center"/>
    </xf>
    <xf numFmtId="2" fontId="0" fillId="4" borderId="13" xfId="0" applyNumberFormat="1" applyFill="1" applyBorder="1" applyAlignment="1">
      <alignment horizontal="center" vertical="center"/>
    </xf>
    <xf numFmtId="2" fontId="0" fillId="4" borderId="14" xfId="0" applyNumberFormat="1" applyFill="1" applyBorder="1" applyAlignment="1">
      <alignment horizontal="center" vertical="center"/>
    </xf>
    <xf numFmtId="0" fontId="0" fillId="4" borderId="16" xfId="0" applyFill="1" applyBorder="1" applyAlignment="1">
      <alignment horizontal="center" vertical="center"/>
    </xf>
    <xf numFmtId="0" fontId="13" fillId="7" borderId="0" xfId="0" applyFont="1" applyFill="1" applyBorder="1"/>
    <xf numFmtId="0" fontId="0" fillId="0" borderId="0" xfId="0" applyBorder="1"/>
    <xf numFmtId="2" fontId="0" fillId="4" borderId="23" xfId="0" applyNumberFormat="1" applyFill="1" applyBorder="1" applyAlignment="1">
      <alignment horizontal="center" vertical="center"/>
    </xf>
    <xf numFmtId="2" fontId="0" fillId="4" borderId="25" xfId="0" applyNumberFormat="1" applyFill="1" applyBorder="1" applyAlignment="1">
      <alignment horizontal="center" vertical="center"/>
    </xf>
    <xf numFmtId="0" fontId="0" fillId="4" borderId="25" xfId="0" applyFill="1" applyBorder="1" applyAlignment="1">
      <alignment horizontal="center" vertical="center"/>
    </xf>
    <xf numFmtId="0" fontId="13" fillId="7" borderId="0" xfId="0" applyFont="1" applyFill="1" applyBorder="1" applyAlignment="1">
      <alignment vertical="center"/>
    </xf>
    <xf numFmtId="0" fontId="7" fillId="2" borderId="0" xfId="0" applyFont="1" applyFill="1" applyBorder="1"/>
    <xf numFmtId="0" fontId="0" fillId="2" borderId="0" xfId="0" applyFill="1" applyBorder="1"/>
    <xf numFmtId="0" fontId="17" fillId="2" borderId="0" xfId="0" applyFont="1" applyFill="1" applyBorder="1"/>
    <xf numFmtId="0" fontId="0" fillId="2" borderId="0" xfId="0" applyFill="1" applyBorder="1" applyAlignment="1">
      <alignment horizontal="center"/>
    </xf>
    <xf numFmtId="0" fontId="14" fillId="7" borderId="0" xfId="0" applyFont="1" applyFill="1" applyBorder="1"/>
    <xf numFmtId="0" fontId="0" fillId="4" borderId="29" xfId="0" applyFill="1" applyBorder="1" applyAlignment="1">
      <alignment horizontal="center" vertical="center"/>
    </xf>
    <xf numFmtId="0" fontId="19" fillId="2" borderId="30" xfId="0" applyFont="1" applyFill="1" applyBorder="1" applyAlignment="1">
      <alignment horizontal="left" vertical="center"/>
    </xf>
    <xf numFmtId="0" fontId="0" fillId="2" borderId="31" xfId="0" applyFill="1" applyBorder="1" applyAlignment="1">
      <alignment horizontal="center" vertical="center"/>
    </xf>
    <xf numFmtId="0" fontId="0" fillId="2" borderId="32" xfId="0" applyFill="1" applyBorder="1" applyAlignment="1">
      <alignment horizontal="center" vertical="center"/>
    </xf>
    <xf numFmtId="0" fontId="20" fillId="2" borderId="33" xfId="0" applyFont="1" applyFill="1" applyBorder="1" applyAlignment="1">
      <alignment horizontal="left" vertical="center"/>
    </xf>
    <xf numFmtId="0" fontId="0" fillId="2" borderId="0" xfId="0" applyFill="1" applyBorder="1" applyAlignment="1">
      <alignment horizontal="center" vertical="center"/>
    </xf>
    <xf numFmtId="0" fontId="0" fillId="2" borderId="34" xfId="0" applyFill="1" applyBorder="1" applyAlignment="1">
      <alignment horizontal="center" vertical="center"/>
    </xf>
    <xf numFmtId="0" fontId="21" fillId="2" borderId="33" xfId="0" applyFont="1" applyFill="1" applyBorder="1" applyAlignment="1">
      <alignment horizontal="left" vertical="center"/>
    </xf>
    <xf numFmtId="0" fontId="0" fillId="12" borderId="33" xfId="0" applyFill="1" applyBorder="1" applyAlignment="1">
      <alignment horizontal="center" vertical="center"/>
    </xf>
    <xf numFmtId="0" fontId="22" fillId="2" borderId="0" xfId="0" applyFont="1" applyFill="1" applyBorder="1" applyAlignment="1">
      <alignment horizontal="left" vertical="center"/>
    </xf>
    <xf numFmtId="0" fontId="0" fillId="11" borderId="35" xfId="0" applyFill="1" applyBorder="1" applyAlignment="1">
      <alignment horizontal="center" vertical="center"/>
    </xf>
    <xf numFmtId="0" fontId="22" fillId="2" borderId="36" xfId="0" applyFont="1" applyFill="1" applyBorder="1" applyAlignment="1">
      <alignment horizontal="left" vertical="center"/>
    </xf>
    <xf numFmtId="0" fontId="0" fillId="2" borderId="36" xfId="0" applyFill="1" applyBorder="1" applyAlignment="1">
      <alignment horizontal="center" vertical="center"/>
    </xf>
    <xf numFmtId="0" fontId="0" fillId="2" borderId="37" xfId="0" applyFill="1" applyBorder="1" applyAlignment="1">
      <alignment horizontal="center" vertical="center"/>
    </xf>
    <xf numFmtId="0" fontId="7" fillId="2" borderId="38" xfId="0" applyFont="1" applyFill="1" applyBorder="1" applyAlignment="1">
      <alignment horizontal="left" vertical="center"/>
    </xf>
    <xf numFmtId="0" fontId="0" fillId="2" borderId="39" xfId="0" applyFill="1" applyBorder="1" applyAlignment="1">
      <alignment horizontal="center" vertical="center"/>
    </xf>
    <xf numFmtId="0" fontId="14" fillId="8" borderId="40" xfId="0" applyFont="1" applyFill="1" applyBorder="1" applyAlignment="1">
      <alignment horizontal="left" vertical="center"/>
    </xf>
    <xf numFmtId="0" fontId="14" fillId="6" borderId="40" xfId="0" applyFont="1" applyFill="1" applyBorder="1" applyAlignment="1">
      <alignment horizontal="left" vertical="center"/>
    </xf>
    <xf numFmtId="2" fontId="0" fillId="2" borderId="0" xfId="0" applyNumberFormat="1" applyFill="1" applyAlignment="1">
      <alignment horizontal="center"/>
    </xf>
    <xf numFmtId="2" fontId="0" fillId="2" borderId="0" xfId="0" applyNumberFormat="1" applyFill="1" applyAlignment="1">
      <alignment horizontal="center" vertical="center"/>
    </xf>
    <xf numFmtId="0" fontId="0" fillId="2" borderId="47" xfId="0" applyFill="1" applyBorder="1"/>
    <xf numFmtId="0" fontId="0" fillId="2" borderId="0" xfId="0" applyFill="1" applyAlignment="1">
      <alignment wrapText="1"/>
    </xf>
    <xf numFmtId="0" fontId="0" fillId="2" borderId="0" xfId="0" applyFill="1" applyAlignment="1">
      <alignment horizontal="center" vertical="center" wrapText="1"/>
    </xf>
    <xf numFmtId="0" fontId="0" fillId="2" borderId="0" xfId="0" applyFill="1" applyAlignment="1"/>
    <xf numFmtId="0" fontId="0" fillId="2" borderId="47" xfId="0" applyFill="1" applyBorder="1" applyAlignment="1">
      <alignment horizontal="center" vertical="center"/>
    </xf>
    <xf numFmtId="0" fontId="17" fillId="2" borderId="0" xfId="0" applyFont="1" applyFill="1" applyAlignment="1">
      <alignment vertical="center"/>
    </xf>
    <xf numFmtId="2" fontId="17" fillId="2" borderId="53" xfId="0" applyNumberFormat="1" applyFont="1" applyFill="1" applyBorder="1" applyAlignment="1">
      <alignment horizontal="center" vertical="center"/>
    </xf>
    <xf numFmtId="2" fontId="17" fillId="2" borderId="54" xfId="0" applyNumberFormat="1" applyFont="1" applyFill="1" applyBorder="1" applyAlignment="1">
      <alignment horizontal="center" vertical="center"/>
    </xf>
    <xf numFmtId="2" fontId="17" fillId="2" borderId="58" xfId="0" applyNumberFormat="1" applyFont="1" applyFill="1" applyBorder="1" applyAlignment="1">
      <alignment horizontal="center" vertical="center"/>
    </xf>
    <xf numFmtId="2" fontId="17" fillId="2" borderId="0" xfId="0" applyNumberFormat="1" applyFont="1" applyFill="1" applyBorder="1" applyAlignment="1">
      <alignment horizontal="center" vertical="center"/>
    </xf>
    <xf numFmtId="2" fontId="17" fillId="2" borderId="59" xfId="0" applyNumberFormat="1" applyFont="1" applyFill="1" applyBorder="1" applyAlignment="1">
      <alignment horizontal="center" vertical="center"/>
    </xf>
    <xf numFmtId="2" fontId="16" fillId="2" borderId="0" xfId="0" applyNumberFormat="1" applyFont="1" applyFill="1" applyAlignment="1">
      <alignment horizontal="center" vertical="center"/>
    </xf>
    <xf numFmtId="2" fontId="17" fillId="2" borderId="61" xfId="0" applyNumberFormat="1" applyFont="1" applyFill="1" applyBorder="1" applyAlignment="1">
      <alignment horizontal="center" vertical="center"/>
    </xf>
    <xf numFmtId="2" fontId="17" fillId="2" borderId="62" xfId="0" applyNumberFormat="1" applyFont="1" applyFill="1" applyBorder="1" applyAlignment="1">
      <alignment horizontal="center" vertical="center"/>
    </xf>
    <xf numFmtId="0" fontId="24" fillId="0" borderId="0" xfId="0" applyFont="1" applyFill="1" applyBorder="1" applyAlignment="1">
      <alignment horizontal="right" vertical="center"/>
    </xf>
    <xf numFmtId="2" fontId="25" fillId="0" borderId="0" xfId="0" applyNumberFormat="1" applyFont="1" applyBorder="1" applyAlignment="1">
      <alignment horizontal="center" vertical="center"/>
    </xf>
    <xf numFmtId="2" fontId="0" fillId="0" borderId="0" xfId="0" applyNumberFormat="1" applyAlignment="1"/>
    <xf numFmtId="2" fontId="7" fillId="2" borderId="0" xfId="0" applyNumberFormat="1" applyFont="1" applyFill="1" applyAlignment="1">
      <alignment horizontal="center" vertical="center"/>
    </xf>
    <xf numFmtId="0" fontId="0" fillId="0" borderId="0" xfId="0" applyAlignment="1"/>
    <xf numFmtId="2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2" fontId="0" fillId="0" borderId="0" xfId="0" applyNumberFormat="1" applyFont="1" applyAlignment="1">
      <alignment horizontal="center" vertical="center"/>
    </xf>
    <xf numFmtId="0" fontId="0" fillId="0" borderId="0" xfId="0" applyFont="1" applyAlignment="1"/>
    <xf numFmtId="2" fontId="23" fillId="13" borderId="48" xfId="0" applyNumberFormat="1" applyFont="1" applyFill="1" applyBorder="1" applyAlignment="1">
      <alignment vertical="center"/>
    </xf>
    <xf numFmtId="2" fontId="0" fillId="13" borderId="0" xfId="0" applyNumberFormat="1" applyFill="1" applyAlignment="1"/>
    <xf numFmtId="2" fontId="0" fillId="13" borderId="0" xfId="0" applyNumberFormat="1" applyFill="1" applyAlignment="1">
      <alignment horizontal="center"/>
    </xf>
    <xf numFmtId="0" fontId="0" fillId="13" borderId="0" xfId="0" applyFill="1" applyAlignment="1">
      <alignment horizontal="center" vertical="center"/>
    </xf>
    <xf numFmtId="2" fontId="0" fillId="13" borderId="49" xfId="0" applyNumberFormat="1" applyFill="1" applyBorder="1" applyAlignment="1">
      <alignment horizontal="center"/>
    </xf>
    <xf numFmtId="2" fontId="0" fillId="13" borderId="49" xfId="0" applyNumberFormat="1" applyFont="1" applyFill="1" applyBorder="1" applyAlignment="1">
      <alignment horizontal="center" vertical="center"/>
    </xf>
    <xf numFmtId="0" fontId="23" fillId="13" borderId="51" xfId="0" applyFont="1" applyFill="1" applyBorder="1" applyAlignment="1">
      <alignment vertical="center"/>
    </xf>
    <xf numFmtId="2" fontId="0" fillId="13" borderId="55" xfId="0" applyNumberFormat="1" applyFill="1" applyBorder="1" applyAlignment="1">
      <alignment horizontal="center" vertical="center"/>
    </xf>
    <xf numFmtId="2" fontId="0" fillId="13" borderId="56" xfId="0" applyNumberFormat="1" applyFill="1" applyBorder="1" applyAlignment="1">
      <alignment horizontal="center" vertical="center"/>
    </xf>
    <xf numFmtId="2" fontId="0" fillId="13" borderId="57" xfId="0" applyNumberFormat="1" applyFill="1" applyBorder="1" applyAlignment="1">
      <alignment horizontal="center" vertical="center"/>
    </xf>
    <xf numFmtId="2" fontId="0" fillId="13" borderId="0" xfId="0" applyNumberFormat="1" applyFill="1" applyAlignment="1">
      <alignment horizontal="center" vertical="center"/>
    </xf>
    <xf numFmtId="2" fontId="0" fillId="13" borderId="49" xfId="0" applyNumberFormat="1" applyFill="1" applyBorder="1" applyAlignment="1">
      <alignment horizontal="center" vertical="center"/>
    </xf>
    <xf numFmtId="0" fontId="0" fillId="13" borderId="49" xfId="0" applyFill="1" applyBorder="1" applyAlignment="1">
      <alignment horizontal="center" vertical="center"/>
    </xf>
    <xf numFmtId="2" fontId="0" fillId="13" borderId="47" xfId="0" applyNumberFormat="1" applyFill="1" applyBorder="1" applyAlignment="1">
      <alignment horizontal="center" vertical="center"/>
    </xf>
    <xf numFmtId="2" fontId="0" fillId="13" borderId="0" xfId="0" applyNumberFormat="1" applyFill="1" applyBorder="1" applyAlignment="1">
      <alignment horizontal="center" vertical="center"/>
    </xf>
    <xf numFmtId="2" fontId="0" fillId="13" borderId="60" xfId="0" applyNumberFormat="1" applyFill="1" applyBorder="1" applyAlignment="1">
      <alignment horizontal="center" vertical="center"/>
    </xf>
    <xf numFmtId="2" fontId="0" fillId="13" borderId="64" xfId="0" applyNumberFormat="1" applyFill="1" applyBorder="1" applyAlignment="1">
      <alignment horizontal="center" vertical="center"/>
    </xf>
    <xf numFmtId="2" fontId="0" fillId="13" borderId="65" xfId="0" applyNumberFormat="1" applyFill="1" applyBorder="1" applyAlignment="1">
      <alignment horizontal="center" vertical="center"/>
    </xf>
    <xf numFmtId="2" fontId="0" fillId="13" borderId="66" xfId="0" applyNumberFormat="1" applyFill="1" applyBorder="1" applyAlignment="1">
      <alignment horizontal="center" vertical="center"/>
    </xf>
    <xf numFmtId="0" fontId="7" fillId="13" borderId="0" xfId="0" applyFont="1" applyFill="1" applyAlignment="1">
      <alignment horizontal="right" vertical="center"/>
    </xf>
    <xf numFmtId="1" fontId="7" fillId="13" borderId="0" xfId="0" applyNumberFormat="1" applyFont="1" applyFill="1" applyAlignment="1">
      <alignment horizontal="center" vertical="center"/>
    </xf>
    <xf numFmtId="2" fontId="7" fillId="13" borderId="49" xfId="0" applyNumberFormat="1" applyFont="1" applyFill="1" applyBorder="1" applyAlignment="1">
      <alignment horizontal="right" vertical="center"/>
    </xf>
    <xf numFmtId="2" fontId="0" fillId="3" borderId="0" xfId="0" applyNumberFormat="1" applyFill="1" applyAlignment="1"/>
    <xf numFmtId="2" fontId="0" fillId="3" borderId="0" xfId="0" applyNumberFormat="1" applyFill="1" applyAlignment="1">
      <alignment horizontal="center"/>
    </xf>
    <xf numFmtId="0" fontId="0" fillId="3" borderId="0" xfId="0" applyFill="1" applyAlignment="1">
      <alignment horizontal="center" vertical="center"/>
    </xf>
    <xf numFmtId="2" fontId="0" fillId="3" borderId="49" xfId="0" applyNumberFormat="1" applyFont="1" applyFill="1" applyBorder="1" applyAlignment="1">
      <alignment horizontal="center" vertical="center"/>
    </xf>
    <xf numFmtId="0" fontId="23" fillId="3" borderId="51" xfId="0" applyFont="1" applyFill="1" applyBorder="1" applyAlignment="1">
      <alignment vertical="center"/>
    </xf>
    <xf numFmtId="2" fontId="0" fillId="3" borderId="55" xfId="0" applyNumberFormat="1" applyFill="1" applyBorder="1" applyAlignment="1">
      <alignment horizontal="center" vertical="center"/>
    </xf>
    <xf numFmtId="2" fontId="0" fillId="3" borderId="57" xfId="0" applyNumberFormat="1" applyFill="1" applyBorder="1" applyAlignment="1">
      <alignment horizontal="center" vertical="center"/>
    </xf>
    <xf numFmtId="2" fontId="0" fillId="3" borderId="0" xfId="0" applyNumberFormat="1" applyFill="1" applyAlignment="1">
      <alignment horizontal="center" vertical="center"/>
    </xf>
    <xf numFmtId="2" fontId="0" fillId="3" borderId="49" xfId="0" applyNumberFormat="1" applyFill="1" applyBorder="1" applyAlignment="1">
      <alignment horizontal="center" vertical="center"/>
    </xf>
    <xf numFmtId="0" fontId="0" fillId="3" borderId="49" xfId="0" applyFill="1" applyBorder="1" applyAlignment="1">
      <alignment horizontal="center" vertical="center"/>
    </xf>
    <xf numFmtId="2" fontId="0" fillId="3" borderId="64" xfId="0" applyNumberFormat="1" applyFill="1" applyBorder="1" applyAlignment="1">
      <alignment horizontal="center" vertical="center"/>
    </xf>
    <xf numFmtId="2" fontId="0" fillId="3" borderId="66" xfId="0" applyNumberFormat="1" applyFill="1" applyBorder="1" applyAlignment="1">
      <alignment horizontal="center" vertical="center"/>
    </xf>
    <xf numFmtId="2" fontId="16" fillId="2" borderId="0" xfId="0" applyNumberFormat="1" applyFont="1" applyFill="1" applyAlignment="1">
      <alignment vertical="center"/>
    </xf>
    <xf numFmtId="2" fontId="16" fillId="14" borderId="0" xfId="0" applyNumberFormat="1" applyFont="1" applyFill="1" applyAlignment="1">
      <alignment vertical="center"/>
    </xf>
    <xf numFmtId="2" fontId="0" fillId="14" borderId="0" xfId="0" applyNumberFormat="1" applyFill="1" applyAlignment="1">
      <alignment horizontal="center"/>
    </xf>
    <xf numFmtId="2" fontId="0" fillId="14" borderId="49" xfId="0" applyNumberFormat="1" applyFill="1" applyBorder="1" applyAlignment="1">
      <alignment horizontal="center"/>
    </xf>
    <xf numFmtId="2" fontId="0" fillId="14" borderId="49" xfId="0" applyNumberFormat="1" applyFont="1" applyFill="1" applyBorder="1" applyAlignment="1">
      <alignment horizontal="center" vertical="center"/>
    </xf>
    <xf numFmtId="2" fontId="0" fillId="14" borderId="0" xfId="0" applyNumberFormat="1" applyFill="1" applyAlignment="1"/>
    <xf numFmtId="2" fontId="0" fillId="14" borderId="55" xfId="0" applyNumberFormat="1" applyFill="1" applyBorder="1" applyAlignment="1">
      <alignment horizontal="center" vertical="center"/>
    </xf>
    <xf numFmtId="2" fontId="0" fillId="14" borderId="56" xfId="0" applyNumberFormat="1" applyFill="1" applyBorder="1" applyAlignment="1">
      <alignment horizontal="center" vertical="center"/>
    </xf>
    <xf numFmtId="2" fontId="0" fillId="14" borderId="57" xfId="0" applyNumberFormat="1" applyFill="1" applyBorder="1" applyAlignment="1">
      <alignment horizontal="center" vertical="center"/>
    </xf>
    <xf numFmtId="2" fontId="0" fillId="14" borderId="0" xfId="0" applyNumberFormat="1" applyFill="1" applyBorder="1" applyAlignment="1">
      <alignment horizontal="center" vertical="center"/>
    </xf>
    <xf numFmtId="2" fontId="0" fillId="14" borderId="0" xfId="0" applyNumberFormat="1" applyFill="1" applyAlignment="1">
      <alignment horizontal="center" vertical="center"/>
    </xf>
    <xf numFmtId="2" fontId="0" fillId="14" borderId="49" xfId="0" applyNumberFormat="1" applyFill="1" applyBorder="1" applyAlignment="1">
      <alignment horizontal="center" vertical="center"/>
    </xf>
    <xf numFmtId="0" fontId="0" fillId="14" borderId="0" xfId="0" applyFill="1" applyAlignment="1">
      <alignment horizontal="center" vertical="center"/>
    </xf>
    <xf numFmtId="0" fontId="0" fillId="14" borderId="49" xfId="0" applyFill="1" applyBorder="1" applyAlignment="1">
      <alignment horizontal="center" vertical="center"/>
    </xf>
    <xf numFmtId="2" fontId="0" fillId="14" borderId="47" xfId="0" applyNumberFormat="1" applyFill="1" applyBorder="1" applyAlignment="1">
      <alignment horizontal="center" vertical="center"/>
    </xf>
    <xf numFmtId="2" fontId="0" fillId="14" borderId="60" xfId="0" applyNumberFormat="1" applyFill="1" applyBorder="1" applyAlignment="1">
      <alignment horizontal="center" vertical="center"/>
    </xf>
    <xf numFmtId="2" fontId="0" fillId="14" borderId="64" xfId="0" applyNumberFormat="1" applyFill="1" applyBorder="1" applyAlignment="1">
      <alignment horizontal="center" vertical="center"/>
    </xf>
    <xf numFmtId="2" fontId="0" fillId="14" borderId="65" xfId="0" applyNumberFormat="1" applyFill="1" applyBorder="1" applyAlignment="1">
      <alignment horizontal="center" vertical="center"/>
    </xf>
    <xf numFmtId="2" fontId="0" fillId="14" borderId="66" xfId="0" applyNumberFormat="1" applyFill="1" applyBorder="1" applyAlignment="1">
      <alignment horizontal="center" vertical="center"/>
    </xf>
    <xf numFmtId="2" fontId="7" fillId="14" borderId="0" xfId="0" applyNumberFormat="1" applyFont="1" applyFill="1" applyAlignment="1">
      <alignment horizontal="right"/>
    </xf>
    <xf numFmtId="2" fontId="0" fillId="2" borderId="0" xfId="0" applyNumberFormat="1" applyFill="1" applyAlignment="1"/>
    <xf numFmtId="2" fontId="0" fillId="2" borderId="0" xfId="0" applyNumberFormat="1" applyFill="1" applyAlignment="1">
      <alignment horizontal="center" wrapText="1"/>
    </xf>
    <xf numFmtId="0" fontId="0" fillId="2" borderId="0" xfId="0" applyFill="1" applyAlignment="1">
      <alignment horizontal="center" wrapText="1"/>
    </xf>
    <xf numFmtId="2" fontId="0" fillId="2" borderId="0" xfId="0" applyNumberFormat="1" applyFont="1" applyFill="1" applyAlignment="1">
      <alignment horizontal="center" vertical="center" wrapText="1"/>
    </xf>
    <xf numFmtId="0" fontId="0" fillId="14" borderId="68" xfId="0" applyFill="1" applyBorder="1" applyAlignment="1">
      <alignment horizontal="center" vertical="center"/>
    </xf>
    <xf numFmtId="0" fontId="0" fillId="14" borderId="69" xfId="0" applyFill="1" applyBorder="1" applyAlignment="1">
      <alignment horizontal="center" vertical="center"/>
    </xf>
    <xf numFmtId="0" fontId="0" fillId="2" borderId="49" xfId="0" applyFill="1" applyBorder="1" applyAlignment="1">
      <alignment horizontal="center" vertical="center"/>
    </xf>
    <xf numFmtId="2" fontId="0" fillId="2" borderId="70" xfId="0" applyNumberFormat="1" applyFill="1" applyBorder="1" applyAlignment="1">
      <alignment horizontal="center" vertical="center"/>
    </xf>
    <xf numFmtId="0" fontId="0" fillId="2" borderId="70" xfId="0" applyFill="1" applyBorder="1" applyAlignment="1">
      <alignment horizontal="center" vertical="center"/>
    </xf>
    <xf numFmtId="0" fontId="0" fillId="2" borderId="71" xfId="0" applyFill="1" applyBorder="1" applyAlignment="1">
      <alignment horizontal="center" vertical="center"/>
    </xf>
    <xf numFmtId="0" fontId="0" fillId="2" borderId="72" xfId="0" applyFill="1" applyBorder="1" applyAlignment="1">
      <alignment horizontal="center" vertical="center"/>
    </xf>
    <xf numFmtId="2" fontId="17" fillId="0" borderId="0" xfId="0" applyNumberFormat="1" applyFont="1" applyFill="1" applyBorder="1" applyAlignment="1">
      <alignment horizontal="center" vertical="center"/>
    </xf>
    <xf numFmtId="2" fontId="0" fillId="3" borderId="0" xfId="0" applyNumberFormat="1" applyFill="1" applyBorder="1" applyAlignment="1">
      <alignment horizontal="center" vertical="center"/>
    </xf>
    <xf numFmtId="2" fontId="0" fillId="3" borderId="56" xfId="0" applyNumberFormat="1" applyFill="1" applyBorder="1" applyAlignment="1">
      <alignment horizontal="center" vertical="center"/>
    </xf>
    <xf numFmtId="2" fontId="0" fillId="3" borderId="47" xfId="0" applyNumberFormat="1" applyFill="1" applyBorder="1" applyAlignment="1">
      <alignment horizontal="center" vertical="center"/>
    </xf>
    <xf numFmtId="2" fontId="0" fillId="3" borderId="60" xfId="0" applyNumberFormat="1" applyFill="1" applyBorder="1" applyAlignment="1">
      <alignment horizontal="center" vertical="center"/>
    </xf>
    <xf numFmtId="2" fontId="0" fillId="3" borderId="65" xfId="0" applyNumberFormat="1" applyFill="1" applyBorder="1" applyAlignment="1">
      <alignment horizontal="center" vertical="center"/>
    </xf>
    <xf numFmtId="0" fontId="14" fillId="5" borderId="40" xfId="0" applyFont="1" applyFill="1" applyBorder="1" applyAlignment="1">
      <alignment horizontal="left" vertical="center"/>
    </xf>
    <xf numFmtId="0" fontId="0" fillId="13" borderId="0" xfId="0" applyFill="1" applyAlignment="1">
      <alignment vertical="center"/>
    </xf>
    <xf numFmtId="2" fontId="0" fillId="0" borderId="78" xfId="0" quotePrefix="1" applyNumberFormat="1" applyFill="1" applyBorder="1" applyAlignment="1">
      <alignment horizontal="center" vertical="center" wrapText="1"/>
    </xf>
    <xf numFmtId="0" fontId="0" fillId="0" borderId="77" xfId="0" applyFill="1" applyBorder="1" applyAlignment="1">
      <alignment horizontal="center" vertical="center" wrapText="1"/>
    </xf>
    <xf numFmtId="2" fontId="0" fillId="0" borderId="0" xfId="0" quotePrefix="1" applyNumberFormat="1" applyFill="1" applyBorder="1" applyAlignment="1">
      <alignment horizontal="center" vertical="center" wrapText="1"/>
    </xf>
    <xf numFmtId="0" fontId="0" fillId="0" borderId="70" xfId="0" applyFill="1" applyBorder="1" applyAlignment="1">
      <alignment horizontal="center" vertical="center" wrapText="1"/>
    </xf>
    <xf numFmtId="2" fontId="0" fillId="0" borderId="80" xfId="0" quotePrefix="1" applyNumberFormat="1" applyFill="1" applyBorder="1" applyAlignment="1">
      <alignment horizontal="center" vertical="center" wrapText="1"/>
    </xf>
    <xf numFmtId="0" fontId="0" fillId="0" borderId="72" xfId="0" applyFill="1" applyBorder="1" applyAlignment="1">
      <alignment horizontal="center" vertical="center" wrapText="1"/>
    </xf>
    <xf numFmtId="0" fontId="16" fillId="14" borderId="5" xfId="0" applyFont="1" applyFill="1" applyBorder="1" applyAlignment="1">
      <alignment horizontal="center" vertical="center" wrapText="1"/>
    </xf>
    <xf numFmtId="0" fontId="16" fillId="14" borderId="4" xfId="0" applyFont="1" applyFill="1" applyBorder="1" applyAlignment="1">
      <alignment horizontal="center" vertical="center" wrapText="1"/>
    </xf>
    <xf numFmtId="0" fontId="16" fillId="14" borderId="46" xfId="0" applyFont="1" applyFill="1" applyBorder="1" applyAlignment="1">
      <alignment horizontal="center" vertical="center" wrapText="1"/>
    </xf>
    <xf numFmtId="0" fontId="12" fillId="9" borderId="0" xfId="0" applyFont="1" applyFill="1" applyBorder="1" applyAlignment="1">
      <alignment horizontal="center" vertical="center"/>
    </xf>
    <xf numFmtId="0" fontId="26" fillId="9" borderId="0" xfId="0" applyFont="1" applyFill="1" applyBorder="1" applyAlignment="1">
      <alignment vertical="center" wrapText="1"/>
    </xf>
    <xf numFmtId="0" fontId="12" fillId="9" borderId="9" xfId="0" applyFont="1" applyFill="1" applyBorder="1" applyAlignment="1">
      <alignment vertical="center" wrapText="1"/>
    </xf>
    <xf numFmtId="0" fontId="12" fillId="9" borderId="0" xfId="0" applyFont="1" applyFill="1" applyBorder="1" applyAlignment="1">
      <alignment vertical="center"/>
    </xf>
    <xf numFmtId="0" fontId="26" fillId="9" borderId="82" xfId="0" applyFont="1" applyFill="1" applyBorder="1" applyAlignment="1">
      <alignment vertical="center" wrapText="1"/>
    </xf>
    <xf numFmtId="0" fontId="18" fillId="4" borderId="6" xfId="0" applyFont="1" applyFill="1" applyBorder="1" applyAlignment="1">
      <alignment horizontal="center" vertical="center"/>
    </xf>
    <xf numFmtId="0" fontId="16" fillId="4" borderId="6" xfId="0" applyFont="1" applyFill="1" applyBorder="1" applyAlignment="1">
      <alignment horizontal="left" vertical="center" wrapText="1"/>
    </xf>
    <xf numFmtId="0" fontId="0" fillId="14" borderId="0" xfId="0" applyFill="1" applyBorder="1" applyAlignment="1">
      <alignment horizontal="center" vertical="center"/>
    </xf>
    <xf numFmtId="0" fontId="7" fillId="14" borderId="9" xfId="0" applyFont="1" applyFill="1" applyBorder="1" applyAlignment="1">
      <alignment horizontal="center" vertical="center"/>
    </xf>
    <xf numFmtId="0" fontId="7" fillId="14" borderId="0" xfId="0" applyFont="1" applyFill="1" applyBorder="1" applyAlignment="1">
      <alignment horizontal="center" vertical="center"/>
    </xf>
    <xf numFmtId="0" fontId="7" fillId="14" borderId="10" xfId="0" applyFont="1" applyFill="1" applyBorder="1" applyAlignment="1">
      <alignment horizontal="center" vertical="center"/>
    </xf>
    <xf numFmtId="0" fontId="7" fillId="14" borderId="21" xfId="0" applyFont="1" applyFill="1" applyBorder="1" applyAlignment="1">
      <alignment horizontal="center" vertical="center"/>
    </xf>
    <xf numFmtId="0" fontId="7" fillId="14" borderId="27" xfId="0" applyFont="1" applyFill="1" applyBorder="1" applyAlignment="1">
      <alignment horizontal="center" vertical="center"/>
    </xf>
    <xf numFmtId="0" fontId="7" fillId="14" borderId="28" xfId="0" applyFont="1" applyFill="1" applyBorder="1" applyAlignment="1">
      <alignment horizontal="center" vertical="center"/>
    </xf>
    <xf numFmtId="0" fontId="0" fillId="14" borderId="19" xfId="0" applyFill="1" applyBorder="1" applyAlignment="1">
      <alignment horizontal="center" vertical="center"/>
    </xf>
    <xf numFmtId="2" fontId="0" fillId="14" borderId="20" xfId="0" applyNumberFormat="1" applyFill="1" applyBorder="1" applyAlignment="1">
      <alignment horizontal="center" vertical="center"/>
    </xf>
    <xf numFmtId="2" fontId="0" fillId="14" borderId="8" xfId="0" applyNumberFormat="1" applyFill="1" applyBorder="1" applyAlignment="1">
      <alignment horizontal="center" vertical="center"/>
    </xf>
    <xf numFmtId="2" fontId="0" fillId="14" borderId="24" xfId="0" applyNumberFormat="1" applyFill="1" applyBorder="1" applyAlignment="1">
      <alignment horizontal="center" vertical="center"/>
    </xf>
    <xf numFmtId="2" fontId="0" fillId="14" borderId="26" xfId="0" applyNumberFormat="1" applyFill="1" applyBorder="1" applyAlignment="1">
      <alignment horizontal="center" vertical="center"/>
    </xf>
    <xf numFmtId="2" fontId="0" fillId="14" borderId="41" xfId="0" applyNumberFormat="1" applyFill="1" applyBorder="1" applyAlignment="1">
      <alignment horizontal="center" vertical="center"/>
    </xf>
    <xf numFmtId="2" fontId="0" fillId="14" borderId="43" xfId="0" applyNumberFormat="1" applyFill="1" applyBorder="1" applyAlignment="1">
      <alignment horizontal="center" vertical="center"/>
    </xf>
    <xf numFmtId="2" fontId="0" fillId="4" borderId="83" xfId="0" applyNumberFormat="1" applyFill="1" applyBorder="1" applyAlignment="1">
      <alignment horizontal="center" vertical="center"/>
    </xf>
    <xf numFmtId="2" fontId="0" fillId="4" borderId="84" xfId="0" applyNumberFormat="1" applyFill="1" applyBorder="1" applyAlignment="1">
      <alignment horizontal="center" vertical="center"/>
    </xf>
    <xf numFmtId="2" fontId="0" fillId="4" borderId="85" xfId="0" applyNumberFormat="1" applyFill="1" applyBorder="1" applyAlignment="1">
      <alignment horizontal="center" vertical="center"/>
    </xf>
    <xf numFmtId="2" fontId="0" fillId="4" borderId="86" xfId="0" applyNumberFormat="1" applyFill="1" applyBorder="1" applyAlignment="1">
      <alignment horizontal="center" vertical="center"/>
    </xf>
    <xf numFmtId="2" fontId="0" fillId="4" borderId="87" xfId="0" applyNumberFormat="1" applyFill="1" applyBorder="1" applyAlignment="1">
      <alignment horizontal="center" vertical="center"/>
    </xf>
    <xf numFmtId="0" fontId="7" fillId="14" borderId="89" xfId="0" applyFont="1" applyFill="1" applyBorder="1" applyAlignment="1">
      <alignment horizontal="center" vertical="center"/>
    </xf>
    <xf numFmtId="0" fontId="0" fillId="2" borderId="90" xfId="0" applyFill="1" applyBorder="1" applyAlignment="1">
      <alignment horizontal="center" vertical="center"/>
    </xf>
    <xf numFmtId="2" fontId="0" fillId="4" borderId="91" xfId="0" applyNumberFormat="1" applyFill="1" applyBorder="1" applyAlignment="1">
      <alignment horizontal="center" vertical="center"/>
    </xf>
    <xf numFmtId="2" fontId="0" fillId="4" borderId="92" xfId="0" applyNumberFormat="1" applyFill="1" applyBorder="1" applyAlignment="1">
      <alignment horizontal="center" vertical="center"/>
    </xf>
    <xf numFmtId="0" fontId="0" fillId="4" borderId="93" xfId="0" applyFill="1" applyBorder="1" applyAlignment="1">
      <alignment horizontal="center" vertical="center"/>
    </xf>
    <xf numFmtId="2" fontId="0" fillId="4" borderId="94" xfId="0" applyNumberFormat="1" applyFill="1" applyBorder="1" applyAlignment="1">
      <alignment horizontal="center" vertical="center"/>
    </xf>
    <xf numFmtId="0" fontId="10" fillId="16" borderId="27" xfId="0" applyFont="1" applyFill="1" applyBorder="1" applyAlignment="1">
      <alignment horizontal="left" vertical="center" wrapText="1" indent="1"/>
    </xf>
    <xf numFmtId="0" fontId="10" fillId="3" borderId="28" xfId="0" applyFont="1" applyFill="1" applyBorder="1" applyAlignment="1">
      <alignment horizontal="left" vertical="center" wrapText="1" indent="1"/>
    </xf>
    <xf numFmtId="0" fontId="10" fillId="16" borderId="28" xfId="0" applyFont="1" applyFill="1" applyBorder="1" applyAlignment="1">
      <alignment horizontal="left" vertical="center" wrapText="1" indent="1"/>
    </xf>
    <xf numFmtId="0" fontId="3" fillId="16" borderId="28" xfId="0" applyFont="1" applyFill="1" applyBorder="1" applyAlignment="1">
      <alignment horizontal="left" vertical="center" wrapText="1" indent="1"/>
    </xf>
    <xf numFmtId="0" fontId="4" fillId="3" borderId="28" xfId="0" applyFont="1" applyFill="1" applyBorder="1" applyAlignment="1">
      <alignment horizontal="left" vertical="center" wrapText="1" indent="1"/>
    </xf>
    <xf numFmtId="0" fontId="10" fillId="17" borderId="28" xfId="0" applyFont="1" applyFill="1" applyBorder="1" applyAlignment="1">
      <alignment horizontal="left" vertical="center" wrapText="1" indent="1"/>
    </xf>
    <xf numFmtId="0" fontId="10" fillId="13" borderId="28" xfId="0" applyFont="1" applyFill="1" applyBorder="1" applyAlignment="1">
      <alignment horizontal="left" vertical="center" wrapText="1" indent="1"/>
    </xf>
    <xf numFmtId="0" fontId="4" fillId="14" borderId="28" xfId="0" applyFont="1" applyFill="1" applyBorder="1" applyAlignment="1">
      <alignment horizontal="left" vertical="center" wrapText="1" indent="1"/>
    </xf>
    <xf numFmtId="0" fontId="4" fillId="18" borderId="28" xfId="0" applyFont="1" applyFill="1" applyBorder="1" applyAlignment="1">
      <alignment horizontal="left" vertical="center" wrapText="1" indent="1"/>
    </xf>
    <xf numFmtId="0" fontId="2" fillId="14" borderId="28" xfId="0" applyFont="1" applyFill="1" applyBorder="1" applyAlignment="1">
      <alignment horizontal="left" vertical="center" wrapText="1" indent="1"/>
    </xf>
    <xf numFmtId="0" fontId="10" fillId="19" borderId="28" xfId="0" applyFont="1" applyFill="1" applyBorder="1" applyAlignment="1">
      <alignment horizontal="left" vertical="center" wrapText="1" indent="1"/>
    </xf>
    <xf numFmtId="0" fontId="10" fillId="20" borderId="28" xfId="0" applyFont="1" applyFill="1" applyBorder="1" applyAlignment="1">
      <alignment horizontal="left" vertical="center" wrapText="1" indent="1"/>
    </xf>
    <xf numFmtId="0" fontId="0" fillId="21" borderId="33" xfId="0" applyFill="1" applyBorder="1" applyAlignment="1">
      <alignment horizontal="center" vertical="center"/>
    </xf>
    <xf numFmtId="0" fontId="10" fillId="23" borderId="28" xfId="0" applyFont="1" applyFill="1" applyBorder="1" applyAlignment="1">
      <alignment horizontal="left" vertical="center" wrapText="1" indent="1"/>
    </xf>
    <xf numFmtId="0" fontId="4" fillId="24" borderId="28" xfId="0" applyFont="1" applyFill="1" applyBorder="1" applyAlignment="1">
      <alignment horizontal="left" vertical="center" wrapText="1" indent="1"/>
    </xf>
    <xf numFmtId="0" fontId="10" fillId="24" borderId="28" xfId="0" applyFont="1" applyFill="1" applyBorder="1" applyAlignment="1">
      <alignment horizontal="left" vertical="center" wrapText="1" indent="1"/>
    </xf>
    <xf numFmtId="0" fontId="1" fillId="24" borderId="28" xfId="0" applyFont="1" applyFill="1" applyBorder="1" applyAlignment="1">
      <alignment horizontal="left" vertical="center" wrapText="1" indent="1"/>
    </xf>
    <xf numFmtId="0" fontId="4" fillId="19" borderId="28" xfId="0" applyFont="1" applyFill="1" applyBorder="1" applyAlignment="1">
      <alignment horizontal="left" vertical="center" wrapText="1" indent="1"/>
    </xf>
    <xf numFmtId="0" fontId="10" fillId="19" borderId="89" xfId="0" applyFont="1" applyFill="1" applyBorder="1" applyAlignment="1">
      <alignment horizontal="left" vertical="center" wrapText="1" indent="1"/>
    </xf>
    <xf numFmtId="0" fontId="3" fillId="20" borderId="28" xfId="0" applyFont="1" applyFill="1" applyBorder="1" applyAlignment="1">
      <alignment horizontal="left" vertical="center" wrapText="1" indent="1"/>
    </xf>
    <xf numFmtId="0" fontId="14" fillId="22" borderId="40" xfId="0" applyFont="1" applyFill="1" applyBorder="1" applyAlignment="1">
      <alignment horizontal="left" vertical="center"/>
    </xf>
    <xf numFmtId="0" fontId="14" fillId="10" borderId="42" xfId="0" applyFont="1" applyFill="1" applyBorder="1" applyAlignment="1">
      <alignment horizontal="left" vertical="center"/>
    </xf>
    <xf numFmtId="0" fontId="0" fillId="5" borderId="33" xfId="0" applyFill="1" applyBorder="1" applyAlignment="1">
      <alignment horizontal="center" vertical="center"/>
    </xf>
    <xf numFmtId="0" fontId="0" fillId="14" borderId="76" xfId="0" applyFill="1" applyBorder="1" applyAlignment="1">
      <alignment horizontal="right" vertical="center" wrapText="1"/>
    </xf>
    <xf numFmtId="0" fontId="0" fillId="14" borderId="77" xfId="0" applyFill="1" applyBorder="1" applyAlignment="1">
      <alignment horizontal="center" vertical="center" wrapText="1"/>
    </xf>
    <xf numFmtId="0" fontId="0" fillId="14" borderId="49" xfId="0" applyFill="1" applyBorder="1" applyAlignment="1">
      <alignment horizontal="right" vertical="center" wrapText="1"/>
    </xf>
    <xf numFmtId="0" fontId="0" fillId="14" borderId="70" xfId="0" applyFill="1" applyBorder="1" applyAlignment="1">
      <alignment horizontal="center" vertical="center" wrapText="1"/>
    </xf>
    <xf numFmtId="0" fontId="0" fillId="14" borderId="71" xfId="0" applyFill="1" applyBorder="1" applyAlignment="1">
      <alignment horizontal="right" vertical="center" wrapText="1"/>
    </xf>
    <xf numFmtId="0" fontId="0" fillId="14" borderId="72" xfId="0" applyFill="1" applyBorder="1" applyAlignment="1">
      <alignment horizontal="center" vertical="center" wrapText="1"/>
    </xf>
    <xf numFmtId="0" fontId="0" fillId="14" borderId="79" xfId="0" applyFill="1" applyBorder="1" applyAlignment="1">
      <alignment horizontal="right" vertical="center" wrapText="1"/>
    </xf>
    <xf numFmtId="0" fontId="0" fillId="14" borderId="33" xfId="0" applyFill="1" applyBorder="1" applyAlignment="1">
      <alignment horizontal="right" vertical="center" wrapText="1"/>
    </xf>
    <xf numFmtId="0" fontId="0" fillId="14" borderId="81" xfId="0" applyFill="1" applyBorder="1" applyAlignment="1">
      <alignment horizontal="right" vertical="center" wrapText="1"/>
    </xf>
    <xf numFmtId="0" fontId="7" fillId="14" borderId="67" xfId="0" applyFont="1" applyFill="1" applyBorder="1" applyAlignment="1">
      <alignment horizontal="center" vertical="center"/>
    </xf>
    <xf numFmtId="0" fontId="7" fillId="14" borderId="50" xfId="0" applyFont="1" applyFill="1" applyBorder="1" applyAlignment="1">
      <alignment horizontal="center" vertical="center"/>
    </xf>
    <xf numFmtId="0" fontId="23" fillId="3" borderId="48" xfId="0" applyFont="1" applyFill="1" applyBorder="1" applyAlignment="1">
      <alignment vertical="center" wrapText="1"/>
    </xf>
    <xf numFmtId="2" fontId="17" fillId="3" borderId="63" xfId="0" applyNumberFormat="1" applyFont="1" applyFill="1" applyBorder="1" applyAlignment="1">
      <alignment horizontal="center" vertical="center"/>
    </xf>
    <xf numFmtId="2" fontId="17" fillId="3" borderId="0" xfId="0" applyNumberFormat="1" applyFont="1" applyFill="1" applyBorder="1" applyAlignment="1">
      <alignment horizontal="center" vertical="center"/>
    </xf>
    <xf numFmtId="2" fontId="17" fillId="3" borderId="52" xfId="0" applyNumberFormat="1" applyFont="1" applyFill="1" applyBorder="1" applyAlignment="1">
      <alignment horizontal="center" vertical="center"/>
    </xf>
    <xf numFmtId="2" fontId="17" fillId="13" borderId="52" xfId="0" applyNumberFormat="1" applyFont="1" applyFill="1" applyBorder="1" applyAlignment="1">
      <alignment horizontal="center" vertical="center"/>
    </xf>
    <xf numFmtId="2" fontId="17" fillId="13" borderId="0" xfId="0" applyNumberFormat="1" applyFont="1" applyFill="1" applyBorder="1" applyAlignment="1">
      <alignment horizontal="center" vertical="center"/>
    </xf>
    <xf numFmtId="2" fontId="17" fillId="13" borderId="63" xfId="0" applyNumberFormat="1" applyFont="1" applyFill="1" applyBorder="1" applyAlignment="1">
      <alignment horizontal="center" vertical="center"/>
    </xf>
    <xf numFmtId="2" fontId="17" fillId="25" borderId="0" xfId="0" applyNumberFormat="1" applyFont="1" applyFill="1" applyBorder="1" applyAlignment="1">
      <alignment horizontal="center" vertical="center"/>
    </xf>
    <xf numFmtId="0" fontId="23" fillId="26" borderId="73" xfId="0" applyFont="1" applyFill="1" applyBorder="1" applyAlignment="1">
      <alignment vertical="center"/>
    </xf>
    <xf numFmtId="2" fontId="23" fillId="26" borderId="74" xfId="0" applyNumberFormat="1" applyFont="1" applyFill="1" applyBorder="1" applyAlignment="1">
      <alignment vertical="center"/>
    </xf>
    <xf numFmtId="2" fontId="17" fillId="26" borderId="0" xfId="0" applyNumberFormat="1" applyFont="1" applyFill="1" applyBorder="1" applyAlignment="1">
      <alignment horizontal="center" vertical="center"/>
    </xf>
    <xf numFmtId="0" fontId="23" fillId="19" borderId="73" xfId="0" applyFont="1" applyFill="1" applyBorder="1" applyAlignment="1">
      <alignment vertical="center"/>
    </xf>
    <xf numFmtId="2" fontId="23" fillId="19" borderId="74" xfId="0" applyNumberFormat="1" applyFont="1" applyFill="1" applyBorder="1" applyAlignment="1">
      <alignment vertical="center"/>
    </xf>
    <xf numFmtId="2" fontId="23" fillId="19" borderId="75" xfId="0" applyNumberFormat="1" applyFont="1" applyFill="1" applyBorder="1" applyAlignment="1">
      <alignment vertical="center"/>
    </xf>
    <xf numFmtId="2" fontId="17" fillId="19" borderId="0" xfId="0" applyNumberFormat="1" applyFont="1" applyFill="1" applyBorder="1" applyAlignment="1">
      <alignment horizontal="center" vertical="center"/>
    </xf>
    <xf numFmtId="2" fontId="17" fillId="19" borderId="95" xfId="0" applyNumberFormat="1" applyFont="1" applyFill="1" applyBorder="1" applyAlignment="1">
      <alignment horizontal="center" vertical="center"/>
    </xf>
    <xf numFmtId="2" fontId="17" fillId="2" borderId="96" xfId="0" applyNumberFormat="1" applyFont="1" applyFill="1" applyBorder="1" applyAlignment="1">
      <alignment horizontal="center" vertical="center"/>
    </xf>
    <xf numFmtId="2" fontId="17" fillId="2" borderId="97" xfId="0" applyNumberFormat="1" applyFont="1" applyFill="1" applyBorder="1" applyAlignment="1">
      <alignment horizontal="center" vertical="center"/>
    </xf>
    <xf numFmtId="2" fontId="17" fillId="2" borderId="98" xfId="0" applyNumberFormat="1" applyFont="1" applyFill="1" applyBorder="1" applyAlignment="1">
      <alignment horizontal="center" vertical="center"/>
    </xf>
    <xf numFmtId="2" fontId="17" fillId="2" borderId="99" xfId="0" applyNumberFormat="1" applyFont="1" applyFill="1" applyBorder="1" applyAlignment="1">
      <alignment horizontal="center" vertical="center"/>
    </xf>
    <xf numFmtId="2" fontId="17" fillId="2" borderId="100" xfId="0" applyNumberFormat="1" applyFont="1" applyFill="1" applyBorder="1" applyAlignment="1">
      <alignment horizontal="center" vertical="center"/>
    </xf>
    <xf numFmtId="2" fontId="17" fillId="2" borderId="101" xfId="0" applyNumberFormat="1" applyFont="1" applyFill="1" applyBorder="1" applyAlignment="1">
      <alignment horizontal="center" vertical="center"/>
    </xf>
    <xf numFmtId="2" fontId="17" fillId="19" borderId="102" xfId="0" applyNumberFormat="1" applyFont="1" applyFill="1" applyBorder="1" applyAlignment="1">
      <alignment horizontal="center" vertical="center"/>
    </xf>
    <xf numFmtId="2" fontId="17" fillId="26" borderId="103" xfId="0" applyNumberFormat="1" applyFont="1" applyFill="1" applyBorder="1" applyAlignment="1">
      <alignment horizontal="center" vertical="center"/>
    </xf>
    <xf numFmtId="2" fontId="17" fillId="2" borderId="104" xfId="0" applyNumberFormat="1" applyFont="1" applyFill="1" applyBorder="1" applyAlignment="1">
      <alignment horizontal="center" vertical="center"/>
    </xf>
    <xf numFmtId="2" fontId="17" fillId="2" borderId="105" xfId="0" applyNumberFormat="1" applyFont="1" applyFill="1" applyBorder="1" applyAlignment="1">
      <alignment horizontal="center" vertical="center"/>
    </xf>
    <xf numFmtId="2" fontId="17" fillId="2" borderId="106" xfId="0" applyNumberFormat="1" applyFont="1" applyFill="1" applyBorder="1" applyAlignment="1">
      <alignment horizontal="center" vertical="center"/>
    </xf>
    <xf numFmtId="2" fontId="17" fillId="2" borderId="107" xfId="0" applyNumberFormat="1" applyFont="1" applyFill="1" applyBorder="1" applyAlignment="1">
      <alignment horizontal="center" vertical="center"/>
    </xf>
    <xf numFmtId="2" fontId="17" fillId="2" borderId="108" xfId="0" applyNumberFormat="1" applyFont="1" applyFill="1" applyBorder="1" applyAlignment="1">
      <alignment horizontal="center" vertical="center"/>
    </xf>
    <xf numFmtId="2" fontId="17" fillId="2" borderId="109" xfId="0" applyNumberFormat="1" applyFont="1" applyFill="1" applyBorder="1" applyAlignment="1">
      <alignment horizontal="center" vertical="center"/>
    </xf>
    <xf numFmtId="2" fontId="17" fillId="26" borderId="110" xfId="0" applyNumberFormat="1" applyFont="1" applyFill="1" applyBorder="1" applyAlignment="1">
      <alignment horizontal="center" vertical="center"/>
    </xf>
    <xf numFmtId="0" fontId="23" fillId="25" borderId="73" xfId="0" applyFont="1" applyFill="1" applyBorder="1" applyAlignment="1">
      <alignment vertical="center"/>
    </xf>
    <xf numFmtId="2" fontId="23" fillId="25" borderId="74" xfId="0" applyNumberFormat="1" applyFont="1" applyFill="1" applyBorder="1" applyAlignment="1">
      <alignment vertical="center"/>
    </xf>
    <xf numFmtId="2" fontId="17" fillId="25" borderId="111" xfId="0" applyNumberFormat="1" applyFont="1" applyFill="1" applyBorder="1" applyAlignment="1">
      <alignment horizontal="center" vertical="center"/>
    </xf>
    <xf numFmtId="2" fontId="17" fillId="0" borderId="112" xfId="0" applyNumberFormat="1" applyFont="1" applyFill="1" applyBorder="1" applyAlignment="1">
      <alignment horizontal="center" vertical="center"/>
    </xf>
    <xf numFmtId="2" fontId="17" fillId="0" borderId="113" xfId="0" applyNumberFormat="1" applyFont="1" applyFill="1" applyBorder="1" applyAlignment="1">
      <alignment horizontal="center" vertical="center"/>
    </xf>
    <xf numFmtId="2" fontId="17" fillId="2" borderId="114" xfId="0" applyNumberFormat="1" applyFont="1" applyFill="1" applyBorder="1" applyAlignment="1">
      <alignment horizontal="center" vertical="center"/>
    </xf>
    <xf numFmtId="2" fontId="17" fillId="0" borderId="115" xfId="0" applyNumberFormat="1" applyFont="1" applyFill="1" applyBorder="1" applyAlignment="1">
      <alignment horizontal="center" vertical="center"/>
    </xf>
    <xf numFmtId="2" fontId="17" fillId="2" borderId="116" xfId="0" applyNumberFormat="1" applyFont="1" applyFill="1" applyBorder="1" applyAlignment="1">
      <alignment horizontal="center" vertical="center"/>
    </xf>
    <xf numFmtId="2" fontId="17" fillId="2" borderId="117" xfId="0" applyNumberFormat="1" applyFont="1" applyFill="1" applyBorder="1" applyAlignment="1">
      <alignment horizontal="center" vertical="center"/>
    </xf>
    <xf numFmtId="2" fontId="17" fillId="25" borderId="118" xfId="0" applyNumberFormat="1" applyFont="1" applyFill="1" applyBorder="1" applyAlignment="1">
      <alignment horizontal="center" vertical="center"/>
    </xf>
    <xf numFmtId="2" fontId="0" fillId="19" borderId="0" xfId="0" applyNumberFormat="1" applyFill="1" applyAlignment="1"/>
    <xf numFmtId="0" fontId="0" fillId="19" borderId="0" xfId="0" applyFill="1" applyAlignment="1">
      <alignment wrapText="1"/>
    </xf>
    <xf numFmtId="2" fontId="0" fillId="19" borderId="0" xfId="0" applyNumberFormat="1" applyFill="1" applyAlignment="1">
      <alignment horizontal="center"/>
    </xf>
    <xf numFmtId="2" fontId="0" fillId="19" borderId="49" xfId="0" applyNumberFormat="1" applyFill="1" applyBorder="1" applyAlignment="1">
      <alignment horizontal="center"/>
    </xf>
    <xf numFmtId="2" fontId="0" fillId="19" borderId="49" xfId="0" applyNumberFormat="1" applyFont="1" applyFill="1" applyBorder="1" applyAlignment="1">
      <alignment horizontal="center" vertical="center"/>
    </xf>
    <xf numFmtId="2" fontId="0" fillId="19" borderId="55" xfId="0" applyNumberFormat="1" applyFill="1" applyBorder="1" applyAlignment="1">
      <alignment horizontal="center" vertical="center"/>
    </xf>
    <xf numFmtId="2" fontId="0" fillId="19" borderId="56" xfId="0" applyNumberFormat="1" applyFill="1" applyBorder="1" applyAlignment="1">
      <alignment horizontal="center" vertical="center"/>
    </xf>
    <xf numFmtId="2" fontId="0" fillId="19" borderId="57" xfId="0" applyNumberFormat="1" applyFill="1" applyBorder="1" applyAlignment="1">
      <alignment horizontal="center" vertical="center"/>
    </xf>
    <xf numFmtId="2" fontId="0" fillId="19" borderId="0" xfId="0" applyNumberFormat="1" applyFill="1" applyAlignment="1">
      <alignment horizontal="center" vertical="center"/>
    </xf>
    <xf numFmtId="2" fontId="0" fillId="19" borderId="49" xfId="0" applyNumberFormat="1" applyFill="1" applyBorder="1" applyAlignment="1">
      <alignment horizontal="center" vertical="center"/>
    </xf>
    <xf numFmtId="0" fontId="0" fillId="19" borderId="0" xfId="0" applyFill="1" applyAlignment="1">
      <alignment horizontal="center" vertical="center"/>
    </xf>
    <xf numFmtId="0" fontId="0" fillId="19" borderId="49" xfId="0" applyFill="1" applyBorder="1" applyAlignment="1">
      <alignment horizontal="center" vertical="center"/>
    </xf>
    <xf numFmtId="2" fontId="0" fillId="19" borderId="47" xfId="0" applyNumberFormat="1" applyFill="1" applyBorder="1" applyAlignment="1">
      <alignment horizontal="center" vertical="center"/>
    </xf>
    <xf numFmtId="2" fontId="0" fillId="19" borderId="0" xfId="0" applyNumberFormat="1" applyFill="1" applyBorder="1" applyAlignment="1">
      <alignment horizontal="center" vertical="center"/>
    </xf>
    <xf numFmtId="2" fontId="0" fillId="19" borderId="60" xfId="0" applyNumberFormat="1" applyFill="1" applyBorder="1" applyAlignment="1">
      <alignment horizontal="center" vertical="center"/>
    </xf>
    <xf numFmtId="2" fontId="0" fillId="19" borderId="49" xfId="0" applyNumberFormat="1" applyFill="1" applyBorder="1" applyAlignment="1">
      <alignment horizontal="center" wrapText="1"/>
    </xf>
    <xf numFmtId="2" fontId="0" fillId="19" borderId="0" xfId="0" applyNumberFormat="1" applyFill="1" applyAlignment="1">
      <alignment horizontal="center" wrapText="1"/>
    </xf>
    <xf numFmtId="2" fontId="0" fillId="19" borderId="49" xfId="0" applyNumberFormat="1" applyFont="1" applyFill="1" applyBorder="1" applyAlignment="1">
      <alignment horizontal="center" vertical="center" wrapText="1"/>
    </xf>
    <xf numFmtId="2" fontId="0" fillId="19" borderId="64" xfId="0" applyNumberFormat="1" applyFill="1" applyBorder="1" applyAlignment="1">
      <alignment horizontal="center" vertical="center"/>
    </xf>
    <xf numFmtId="2" fontId="0" fillId="19" borderId="65" xfId="0" applyNumberFormat="1" applyFill="1" applyBorder="1" applyAlignment="1">
      <alignment horizontal="center" vertical="center"/>
    </xf>
    <xf numFmtId="2" fontId="0" fillId="19" borderId="66" xfId="0" applyNumberFormat="1" applyFill="1" applyBorder="1" applyAlignment="1">
      <alignment horizontal="center" vertical="center"/>
    </xf>
    <xf numFmtId="2" fontId="0" fillId="19" borderId="0" xfId="0" applyNumberFormat="1" applyFill="1" applyAlignment="1">
      <alignment wrapText="1"/>
    </xf>
    <xf numFmtId="0" fontId="7" fillId="19" borderId="0" xfId="0" applyFont="1" applyFill="1" applyAlignment="1">
      <alignment horizontal="right" wrapText="1"/>
    </xf>
    <xf numFmtId="1" fontId="7" fillId="19" borderId="0" xfId="0" applyNumberFormat="1" applyFont="1" applyFill="1" applyAlignment="1">
      <alignment horizontal="center" wrapText="1"/>
    </xf>
    <xf numFmtId="2" fontId="7" fillId="19" borderId="49" xfId="0" applyNumberFormat="1" applyFont="1" applyFill="1" applyBorder="1" applyAlignment="1">
      <alignment horizontal="right" vertical="center"/>
    </xf>
    <xf numFmtId="2" fontId="16" fillId="26" borderId="0" xfId="0" applyNumberFormat="1" applyFont="1" applyFill="1" applyAlignment="1">
      <alignment vertical="center"/>
    </xf>
    <xf numFmtId="2" fontId="0" fillId="26" borderId="0" xfId="0" applyNumberFormat="1" applyFill="1" applyAlignment="1"/>
    <xf numFmtId="2" fontId="0" fillId="26" borderId="0" xfId="0" applyNumberFormat="1" applyFill="1" applyAlignment="1">
      <alignment horizontal="center"/>
    </xf>
    <xf numFmtId="2" fontId="0" fillId="26" borderId="49" xfId="0" applyNumberFormat="1" applyFill="1" applyBorder="1" applyAlignment="1">
      <alignment horizontal="center"/>
    </xf>
    <xf numFmtId="2" fontId="0" fillId="26" borderId="49" xfId="0" applyNumberFormat="1" applyFont="1" applyFill="1" applyBorder="1" applyAlignment="1">
      <alignment horizontal="center" vertical="center"/>
    </xf>
    <xf numFmtId="2" fontId="0" fillId="26" borderId="55" xfId="0" applyNumberFormat="1" applyFill="1" applyBorder="1" applyAlignment="1">
      <alignment horizontal="center" vertical="center"/>
    </xf>
    <xf numFmtId="2" fontId="0" fillId="26" borderId="56" xfId="0" applyNumberFormat="1" applyFill="1" applyBorder="1" applyAlignment="1">
      <alignment horizontal="center" vertical="center"/>
    </xf>
    <xf numFmtId="2" fontId="0" fillId="26" borderId="57" xfId="0" applyNumberFormat="1" applyFill="1" applyBorder="1" applyAlignment="1">
      <alignment horizontal="center" vertical="center"/>
    </xf>
    <xf numFmtId="2" fontId="0" fillId="26" borderId="0" xfId="0" applyNumberFormat="1" applyFill="1" applyBorder="1" applyAlignment="1">
      <alignment horizontal="center" vertical="center"/>
    </xf>
    <xf numFmtId="2" fontId="0" fillId="26" borderId="0" xfId="0" applyNumberFormat="1" applyFill="1" applyAlignment="1">
      <alignment horizontal="center" vertical="center"/>
    </xf>
    <xf numFmtId="2" fontId="0" fillId="26" borderId="49" xfId="0" applyNumberFormat="1" applyFill="1" applyBorder="1" applyAlignment="1">
      <alignment horizontal="center" vertical="center"/>
    </xf>
    <xf numFmtId="0" fontId="0" fillId="26" borderId="0" xfId="0" applyFill="1" applyAlignment="1">
      <alignment horizontal="center" vertical="center"/>
    </xf>
    <xf numFmtId="0" fontId="0" fillId="26" borderId="49" xfId="0" applyFill="1" applyBorder="1" applyAlignment="1">
      <alignment horizontal="center" vertical="center"/>
    </xf>
    <xf numFmtId="2" fontId="0" fillId="26" borderId="47" xfId="0" applyNumberFormat="1" applyFill="1" applyBorder="1" applyAlignment="1">
      <alignment horizontal="center" vertical="center"/>
    </xf>
    <xf numFmtId="2" fontId="0" fillId="26" borderId="60" xfId="0" applyNumberFormat="1" applyFill="1" applyBorder="1" applyAlignment="1">
      <alignment horizontal="center" vertical="center"/>
    </xf>
    <xf numFmtId="0" fontId="0" fillId="26" borderId="0" xfId="0" applyFill="1" applyAlignment="1">
      <alignment horizontal="center"/>
    </xf>
    <xf numFmtId="0" fontId="0" fillId="26" borderId="49" xfId="0" applyFill="1" applyBorder="1"/>
    <xf numFmtId="0" fontId="0" fillId="26" borderId="0" xfId="0" applyFill="1"/>
    <xf numFmtId="0" fontId="0" fillId="26" borderId="0" xfId="0" applyFill="1" applyAlignment="1">
      <alignment horizontal="center" wrapText="1"/>
    </xf>
    <xf numFmtId="0" fontId="0" fillId="26" borderId="49" xfId="0" applyFill="1" applyBorder="1" applyAlignment="1">
      <alignment wrapText="1"/>
    </xf>
    <xf numFmtId="0" fontId="0" fillId="26" borderId="0" xfId="0" applyFill="1" applyAlignment="1">
      <alignment wrapText="1"/>
    </xf>
    <xf numFmtId="2" fontId="0" fillId="26" borderId="49" xfId="0" applyNumberFormat="1" applyFont="1" applyFill="1" applyBorder="1" applyAlignment="1">
      <alignment horizontal="center" vertical="center" wrapText="1"/>
    </xf>
    <xf numFmtId="2" fontId="0" fillId="26" borderId="64" xfId="0" applyNumberFormat="1" applyFill="1" applyBorder="1" applyAlignment="1">
      <alignment horizontal="center" vertical="center"/>
    </xf>
    <xf numFmtId="2" fontId="0" fillId="26" borderId="65" xfId="0" applyNumberFormat="1" applyFill="1" applyBorder="1" applyAlignment="1">
      <alignment horizontal="center" vertical="center"/>
    </xf>
    <xf numFmtId="2" fontId="0" fillId="26" borderId="66" xfId="0" applyNumberFormat="1" applyFill="1" applyBorder="1" applyAlignment="1">
      <alignment horizontal="center" vertical="center"/>
    </xf>
    <xf numFmtId="2" fontId="7" fillId="26" borderId="0" xfId="0" applyNumberFormat="1" applyFont="1" applyFill="1" applyAlignment="1">
      <alignment horizontal="right"/>
    </xf>
    <xf numFmtId="1" fontId="7" fillId="26" borderId="0" xfId="0" applyNumberFormat="1" applyFont="1" applyFill="1" applyAlignment="1">
      <alignment horizontal="center" wrapText="1"/>
    </xf>
    <xf numFmtId="0" fontId="7" fillId="26" borderId="49" xfId="0" applyFont="1" applyFill="1" applyBorder="1" applyAlignment="1">
      <alignment horizontal="right" vertical="center"/>
    </xf>
    <xf numFmtId="2" fontId="16" fillId="14" borderId="0" xfId="0" applyNumberFormat="1" applyFont="1" applyFill="1" applyAlignment="1">
      <alignment horizontal="center" vertical="center"/>
    </xf>
    <xf numFmtId="2" fontId="16" fillId="14" borderId="49" xfId="0" applyNumberFormat="1" applyFont="1" applyFill="1" applyBorder="1" applyAlignment="1">
      <alignment horizontal="center" vertical="center"/>
    </xf>
    <xf numFmtId="2" fontId="17" fillId="14" borderId="49" xfId="0" applyNumberFormat="1" applyFont="1" applyFill="1" applyBorder="1" applyAlignment="1">
      <alignment horizontal="center" vertical="center"/>
    </xf>
    <xf numFmtId="1" fontId="16" fillId="14" borderId="0" xfId="0" applyNumberFormat="1" applyFont="1" applyFill="1" applyAlignment="1">
      <alignment horizontal="center" vertical="center"/>
    </xf>
    <xf numFmtId="2" fontId="16" fillId="14" borderId="49" xfId="0" applyNumberFormat="1" applyFont="1" applyFill="1" applyBorder="1" applyAlignment="1">
      <alignment horizontal="right" vertical="center"/>
    </xf>
    <xf numFmtId="0" fontId="0" fillId="3" borderId="0" xfId="0" applyFill="1" applyAlignment="1">
      <alignment vertical="center"/>
    </xf>
    <xf numFmtId="0" fontId="0" fillId="3" borderId="0" xfId="0" applyFill="1" applyAlignment="1">
      <alignment horizontal="center" wrapText="1"/>
    </xf>
    <xf numFmtId="0" fontId="0" fillId="3" borderId="0" xfId="0" applyFill="1" applyAlignment="1">
      <alignment horizontal="center" vertical="center" wrapText="1"/>
    </xf>
    <xf numFmtId="0" fontId="0" fillId="3" borderId="49" xfId="0" applyFill="1" applyBorder="1" applyAlignment="1">
      <alignment horizontal="center" vertical="center" wrapText="1"/>
    </xf>
    <xf numFmtId="2" fontId="0" fillId="3" borderId="49" xfId="0" applyNumberFormat="1" applyFont="1" applyFill="1" applyBorder="1" applyAlignment="1">
      <alignment horizontal="center" vertical="center" wrapText="1"/>
    </xf>
    <xf numFmtId="2" fontId="0" fillId="3" borderId="0" xfId="0" applyNumberFormat="1" applyFill="1" applyAlignment="1">
      <alignment vertical="center"/>
    </xf>
    <xf numFmtId="2" fontId="16" fillId="3" borderId="49" xfId="0" applyNumberFormat="1" applyFont="1" applyFill="1" applyBorder="1" applyAlignment="1">
      <alignment horizontal="center" vertical="center" wrapText="1"/>
    </xf>
    <xf numFmtId="2" fontId="16" fillId="3" borderId="0" xfId="0" applyNumberFormat="1" applyFont="1" applyFill="1" applyAlignment="1">
      <alignment horizontal="center" vertical="center" wrapText="1"/>
    </xf>
    <xf numFmtId="2" fontId="17" fillId="3" borderId="49" xfId="0" applyNumberFormat="1" applyFont="1" applyFill="1" applyBorder="1" applyAlignment="1">
      <alignment horizontal="center" vertical="center" wrapText="1"/>
    </xf>
    <xf numFmtId="0" fontId="7" fillId="3" borderId="0" xfId="0" applyFont="1" applyFill="1" applyAlignment="1">
      <alignment horizontal="right" vertical="center"/>
    </xf>
    <xf numFmtId="1" fontId="7" fillId="3" borderId="0" xfId="0" applyNumberFormat="1" applyFont="1" applyFill="1" applyAlignment="1">
      <alignment horizontal="center" vertical="center"/>
    </xf>
    <xf numFmtId="1" fontId="7" fillId="3" borderId="0" xfId="0" applyNumberFormat="1" applyFont="1" applyFill="1" applyAlignment="1">
      <alignment horizontal="center"/>
    </xf>
    <xf numFmtId="0" fontId="7" fillId="3" borderId="49" xfId="0" applyFont="1" applyFill="1" applyBorder="1" applyAlignment="1">
      <alignment horizontal="right" vertical="center"/>
    </xf>
    <xf numFmtId="1" fontId="16" fillId="3" borderId="0" xfId="0" applyNumberFormat="1" applyFont="1" applyFill="1" applyAlignment="1">
      <alignment horizontal="center" vertical="center" wrapText="1"/>
    </xf>
    <xf numFmtId="0" fontId="0" fillId="3" borderId="0" xfId="0" applyFill="1"/>
    <xf numFmtId="0" fontId="16" fillId="23" borderId="5" xfId="0" applyFont="1" applyFill="1" applyBorder="1" applyAlignment="1">
      <alignment horizontal="center" vertical="center" wrapText="1"/>
    </xf>
    <xf numFmtId="0" fontId="26" fillId="15" borderId="0" xfId="0" applyFont="1" applyFill="1" applyBorder="1" applyAlignment="1">
      <alignment horizontal="center" vertical="center" wrapText="1"/>
    </xf>
    <xf numFmtId="2" fontId="18" fillId="4" borderId="25" xfId="0" applyNumberFormat="1" applyFont="1" applyFill="1" applyBorder="1" applyAlignment="1">
      <alignment horizontal="center" vertical="center"/>
    </xf>
    <xf numFmtId="2" fontId="27" fillId="3" borderId="46" xfId="0" applyNumberFormat="1" applyFont="1" applyFill="1" applyBorder="1" applyAlignment="1">
      <alignment horizontal="center" vertical="center" wrapText="1"/>
    </xf>
    <xf numFmtId="2" fontId="0" fillId="14" borderId="19" xfId="0" applyNumberFormat="1" applyFill="1" applyBorder="1" applyAlignment="1">
      <alignment horizontal="center" vertical="center"/>
    </xf>
    <xf numFmtId="2" fontId="0" fillId="2" borderId="12" xfId="0" applyNumberFormat="1" applyFill="1" applyBorder="1" applyAlignment="1">
      <alignment horizontal="center" vertical="center"/>
    </xf>
    <xf numFmtId="2" fontId="0" fillId="2" borderId="90" xfId="0" applyNumberFormat="1" applyFill="1" applyBorder="1" applyAlignment="1">
      <alignment horizontal="center" vertical="center"/>
    </xf>
    <xf numFmtId="0" fontId="28" fillId="2" borderId="0" xfId="2" applyFont="1" applyFill="1" applyBorder="1" applyAlignment="1"/>
    <xf numFmtId="0" fontId="23" fillId="27" borderId="73" xfId="0" applyFont="1" applyFill="1" applyBorder="1" applyAlignment="1">
      <alignment vertical="center"/>
    </xf>
    <xf numFmtId="0" fontId="23" fillId="27" borderId="51" xfId="0" applyFont="1" applyFill="1" applyBorder="1" applyAlignment="1">
      <alignment vertical="center"/>
    </xf>
    <xf numFmtId="0" fontId="29" fillId="14" borderId="19" xfId="0" applyFont="1" applyFill="1" applyBorder="1" applyAlignment="1">
      <alignment horizontal="center" vertical="center"/>
    </xf>
    <xf numFmtId="0" fontId="29" fillId="2" borderId="12" xfId="0" applyFont="1" applyFill="1" applyBorder="1" applyAlignment="1">
      <alignment horizontal="center" vertical="center"/>
    </xf>
    <xf numFmtId="0" fontId="17" fillId="14" borderId="19" xfId="0" applyFont="1" applyFill="1" applyBorder="1" applyAlignment="1">
      <alignment horizontal="center" vertical="center"/>
    </xf>
    <xf numFmtId="0" fontId="17" fillId="2" borderId="12" xfId="0" applyFont="1" applyFill="1" applyBorder="1" applyAlignment="1">
      <alignment horizontal="center" vertical="center"/>
    </xf>
    <xf numFmtId="0" fontId="17" fillId="2" borderId="90" xfId="0" applyFont="1" applyFill="1" applyBorder="1" applyAlignment="1">
      <alignment horizontal="center" vertical="center"/>
    </xf>
    <xf numFmtId="2" fontId="0" fillId="4" borderId="0" xfId="0" applyNumberFormat="1" applyFill="1" applyBorder="1" applyAlignment="1">
      <alignment horizontal="center" vertical="center"/>
    </xf>
    <xf numFmtId="2" fontId="0" fillId="4" borderId="17" xfId="0" applyNumberFormat="1" applyFill="1" applyBorder="1" applyAlignment="1">
      <alignment horizontal="center" vertical="center"/>
    </xf>
    <xf numFmtId="2" fontId="0" fillId="4" borderId="3" xfId="0" applyNumberFormat="1" applyFill="1" applyBorder="1" applyAlignment="1">
      <alignment horizontal="center" vertical="center"/>
    </xf>
    <xf numFmtId="2" fontId="0" fillId="4" borderId="22" xfId="0" applyNumberFormat="1" applyFill="1" applyBorder="1" applyAlignment="1">
      <alignment horizontal="center" vertical="center"/>
    </xf>
    <xf numFmtId="2" fontId="0" fillId="4" borderId="15" xfId="0" applyNumberFormat="1" applyFill="1" applyBorder="1" applyAlignment="1">
      <alignment horizontal="center" vertical="center"/>
    </xf>
    <xf numFmtId="2" fontId="0" fillId="4" borderId="119" xfId="0" applyNumberFormat="1" applyFill="1" applyBorder="1" applyAlignment="1">
      <alignment horizontal="center" vertical="center"/>
    </xf>
    <xf numFmtId="0" fontId="7" fillId="14" borderId="125" xfId="0" applyFont="1" applyFill="1" applyBorder="1" applyAlignment="1">
      <alignment horizontal="center" vertical="center"/>
    </xf>
    <xf numFmtId="0" fontId="7" fillId="14" borderId="126" xfId="0" applyFont="1" applyFill="1" applyBorder="1" applyAlignment="1">
      <alignment horizontal="center" vertical="center"/>
    </xf>
    <xf numFmtId="0" fontId="7" fillId="14" borderId="127" xfId="0" applyFont="1" applyFill="1" applyBorder="1" applyAlignment="1">
      <alignment horizontal="center" vertical="center"/>
    </xf>
    <xf numFmtId="2" fontId="0" fillId="4" borderId="130" xfId="0" applyNumberFormat="1" applyFill="1" applyBorder="1" applyAlignment="1">
      <alignment horizontal="center" vertical="center"/>
    </xf>
    <xf numFmtId="1" fontId="0" fillId="4" borderId="120" xfId="0" applyNumberFormat="1" applyFill="1" applyBorder="1" applyAlignment="1">
      <alignment horizontal="center" vertical="center"/>
    </xf>
    <xf numFmtId="1" fontId="0" fillId="14" borderId="20" xfId="0" applyNumberFormat="1" applyFill="1" applyBorder="1" applyAlignment="1">
      <alignment horizontal="center" vertical="center"/>
    </xf>
    <xf numFmtId="1" fontId="0" fillId="4" borderId="128" xfId="0" applyNumberFormat="1" applyFill="1" applyBorder="1" applyAlignment="1">
      <alignment horizontal="center" vertical="center"/>
    </xf>
    <xf numFmtId="1" fontId="0" fillId="4" borderId="121" xfId="0" applyNumberFormat="1" applyFill="1" applyBorder="1" applyAlignment="1">
      <alignment horizontal="center" vertical="center"/>
    </xf>
    <xf numFmtId="1" fontId="0" fillId="14" borderId="8" xfId="0" applyNumberFormat="1" applyFill="1" applyBorder="1" applyAlignment="1">
      <alignment horizontal="center" vertical="center"/>
    </xf>
    <xf numFmtId="1" fontId="0" fillId="4" borderId="122" xfId="0" applyNumberFormat="1" applyFill="1" applyBorder="1" applyAlignment="1">
      <alignment horizontal="center" vertical="center"/>
    </xf>
    <xf numFmtId="1" fontId="0" fillId="14" borderId="24" xfId="0" applyNumberFormat="1" applyFill="1" applyBorder="1" applyAlignment="1">
      <alignment horizontal="center" vertical="center"/>
    </xf>
    <xf numFmtId="1" fontId="0" fillId="4" borderId="123" xfId="0" applyNumberFormat="1" applyFill="1" applyBorder="1" applyAlignment="1">
      <alignment horizontal="center" vertical="center"/>
    </xf>
    <xf numFmtId="1" fontId="0" fillId="4" borderId="124" xfId="0" applyNumberFormat="1" applyFill="1" applyBorder="1" applyAlignment="1">
      <alignment horizontal="center" vertical="center"/>
    </xf>
    <xf numFmtId="1" fontId="0" fillId="4" borderId="129" xfId="0" applyNumberFormat="1" applyFill="1" applyBorder="1" applyAlignment="1">
      <alignment horizontal="center" vertical="center"/>
    </xf>
    <xf numFmtId="1" fontId="0" fillId="4" borderId="131" xfId="0" applyNumberFormat="1" applyFill="1" applyBorder="1" applyAlignment="1">
      <alignment horizontal="center" vertical="center"/>
    </xf>
    <xf numFmtId="16" fontId="0" fillId="2" borderId="0" xfId="0" applyNumberFormat="1" applyFill="1"/>
    <xf numFmtId="0" fontId="16" fillId="7" borderId="5" xfId="0" applyFont="1" applyFill="1" applyBorder="1" applyAlignment="1">
      <alignment horizontal="left" vertical="center" wrapText="1"/>
    </xf>
    <xf numFmtId="0" fontId="15" fillId="6" borderId="0" xfId="0" applyFont="1" applyFill="1" applyAlignment="1">
      <alignment vertical="center"/>
    </xf>
    <xf numFmtId="0" fontId="12" fillId="9" borderId="0" xfId="0" applyFont="1" applyFill="1" applyBorder="1" applyAlignment="1">
      <alignment horizontal="center" vertical="center"/>
    </xf>
    <xf numFmtId="0" fontId="12" fillId="15" borderId="67" xfId="0" applyFont="1" applyFill="1" applyBorder="1" applyAlignment="1">
      <alignment horizontal="center" vertical="center"/>
    </xf>
    <xf numFmtId="0" fontId="12" fillId="15" borderId="6" xfId="0" applyFont="1" applyFill="1" applyBorder="1" applyAlignment="1">
      <alignment horizontal="center" vertical="center"/>
    </xf>
    <xf numFmtId="0" fontId="12" fillId="9" borderId="82" xfId="0" applyFont="1" applyFill="1" applyBorder="1" applyAlignment="1">
      <alignment horizontal="center" vertical="center"/>
    </xf>
    <xf numFmtId="0" fontId="15" fillId="6" borderId="44" xfId="0" applyFont="1" applyFill="1" applyBorder="1" applyAlignment="1">
      <alignment horizontal="center" vertical="center" textRotation="90" wrapText="1"/>
    </xf>
    <xf numFmtId="0" fontId="15" fillId="6" borderId="10" xfId="0" applyFont="1" applyFill="1" applyBorder="1" applyAlignment="1">
      <alignment horizontal="center" vertical="center" textRotation="90" wrapText="1"/>
    </xf>
    <xf numFmtId="0" fontId="15" fillId="6" borderId="45" xfId="0" applyFont="1" applyFill="1" applyBorder="1" applyAlignment="1">
      <alignment horizontal="center" vertical="center" textRotation="90" wrapText="1"/>
    </xf>
    <xf numFmtId="0" fontId="15" fillId="10" borderId="7" xfId="0" applyFont="1" applyFill="1" applyBorder="1" applyAlignment="1">
      <alignment horizontal="center" vertical="center" textRotation="90" wrapText="1"/>
    </xf>
    <xf numFmtId="0" fontId="15" fillId="10" borderId="0" xfId="0" applyFont="1" applyFill="1" applyBorder="1" applyAlignment="1">
      <alignment horizontal="center" vertical="center" textRotation="90" wrapText="1"/>
    </xf>
    <xf numFmtId="0" fontId="15" fillId="10" borderId="88" xfId="0" applyFont="1" applyFill="1" applyBorder="1" applyAlignment="1">
      <alignment horizontal="center" vertical="center" textRotation="90" wrapText="1"/>
    </xf>
    <xf numFmtId="0" fontId="15" fillId="22" borderId="0" xfId="0" applyFont="1" applyFill="1" applyBorder="1" applyAlignment="1">
      <alignment horizontal="center" vertical="center" textRotation="90" wrapText="1"/>
    </xf>
    <xf numFmtId="0" fontId="15" fillId="22" borderId="11" xfId="0" applyFont="1" applyFill="1" applyBorder="1" applyAlignment="1">
      <alignment horizontal="center" vertical="center" textRotation="90" wrapText="1"/>
    </xf>
    <xf numFmtId="0" fontId="15" fillId="6" borderId="9" xfId="0" applyFont="1" applyFill="1" applyBorder="1" applyAlignment="1">
      <alignment horizontal="center" vertical="center"/>
    </xf>
    <xf numFmtId="0" fontId="15" fillId="6" borderId="0" xfId="0" applyFont="1" applyFill="1" applyBorder="1" applyAlignment="1">
      <alignment horizontal="center" vertical="center"/>
    </xf>
    <xf numFmtId="0" fontId="15" fillId="6" borderId="0" xfId="0" applyFont="1" applyFill="1" applyAlignment="1">
      <alignment horizontal="center" vertical="center"/>
    </xf>
    <xf numFmtId="0" fontId="15" fillId="5" borderId="17" xfId="2" applyFont="1" applyFill="1" applyBorder="1" applyAlignment="1">
      <alignment horizontal="center" vertical="center" textRotation="90" wrapText="1"/>
    </xf>
    <xf numFmtId="0" fontId="15" fillId="5" borderId="3" xfId="2" applyFont="1" applyFill="1" applyBorder="1" applyAlignment="1">
      <alignment horizontal="center" vertical="center" textRotation="90" wrapText="1"/>
    </xf>
    <xf numFmtId="0" fontId="15" fillId="5" borderId="22" xfId="2" applyFont="1" applyFill="1" applyBorder="1" applyAlignment="1">
      <alignment horizontal="center" vertical="center" textRotation="90" wrapText="1"/>
    </xf>
    <xf numFmtId="0" fontId="15" fillId="8" borderId="17" xfId="0" applyFont="1" applyFill="1" applyBorder="1" applyAlignment="1">
      <alignment horizontal="center" vertical="center" textRotation="90" wrapText="1"/>
    </xf>
    <xf numFmtId="0" fontId="15" fillId="8" borderId="3" xfId="0" applyFont="1" applyFill="1" applyBorder="1" applyAlignment="1">
      <alignment horizontal="center" vertical="center" textRotation="90" wrapText="1"/>
    </xf>
    <xf numFmtId="0" fontId="15" fillId="8" borderId="15" xfId="0" applyFont="1" applyFill="1" applyBorder="1" applyAlignment="1">
      <alignment horizontal="center" vertical="center" textRotation="90" wrapText="1"/>
    </xf>
    <xf numFmtId="0" fontId="15" fillId="6" borderId="10" xfId="0" applyFont="1" applyFill="1" applyBorder="1" applyAlignment="1">
      <alignment horizontal="center" vertical="center"/>
    </xf>
    <xf numFmtId="0" fontId="15" fillId="5" borderId="0" xfId="2" applyFont="1" applyFill="1" applyBorder="1" applyAlignment="1">
      <alignment horizontal="center" vertical="center" textRotation="90"/>
    </xf>
    <xf numFmtId="0" fontId="15" fillId="8" borderId="67" xfId="0" applyFont="1" applyFill="1" applyBorder="1" applyAlignment="1">
      <alignment horizontal="center" vertical="center" textRotation="90" wrapText="1"/>
    </xf>
    <xf numFmtId="0" fontId="15" fillId="8" borderId="22" xfId="0" applyFont="1" applyFill="1" applyBorder="1" applyAlignment="1">
      <alignment horizontal="center" vertical="center" textRotation="90" wrapText="1"/>
    </xf>
    <xf numFmtId="0" fontId="15" fillId="6" borderId="0" xfId="0" applyFont="1" applyFill="1" applyBorder="1" applyAlignment="1">
      <alignment horizontal="center" vertical="center" textRotation="90" wrapText="1"/>
    </xf>
    <xf numFmtId="0" fontId="15" fillId="22" borderId="67" xfId="0" applyFont="1" applyFill="1" applyBorder="1" applyAlignment="1">
      <alignment horizontal="center" vertical="center" textRotation="90"/>
    </xf>
    <xf numFmtId="0" fontId="15" fillId="22" borderId="3" xfId="0" applyFont="1" applyFill="1" applyBorder="1" applyAlignment="1">
      <alignment horizontal="center" vertical="center" textRotation="90"/>
    </xf>
    <xf numFmtId="0" fontId="15" fillId="22" borderId="22" xfId="0" applyFont="1" applyFill="1" applyBorder="1" applyAlignment="1">
      <alignment horizontal="center" vertical="center" textRotation="90"/>
    </xf>
    <xf numFmtId="0" fontId="15" fillId="10" borderId="0" xfId="0" applyFont="1" applyFill="1" applyBorder="1" applyAlignment="1">
      <alignment horizontal="center" vertical="center" textRotation="90"/>
    </xf>
  </cellXfs>
  <cellStyles count="3">
    <cellStyle name="Heading 1" xfId="1" builtinId="16"/>
    <cellStyle name="Heading 2" xfId="2" builtinId="17"/>
    <cellStyle name="Normal" xfId="0" builtinId="0"/>
  </cellStyles>
  <dxfs count="44">
    <dxf>
      <font>
        <color rgb="FFFF0000"/>
      </font>
    </dxf>
    <dxf>
      <font>
        <b/>
        <i/>
      </font>
    </dxf>
    <dxf>
      <font>
        <color rgb="FFFF0000"/>
      </font>
    </dxf>
    <dxf>
      <font>
        <b/>
        <i/>
      </font>
    </dxf>
    <dxf>
      <font>
        <color rgb="FFFF0000"/>
      </font>
    </dxf>
    <dxf>
      <font>
        <b/>
        <i/>
      </font>
    </dxf>
    <dxf>
      <font>
        <color rgb="FFFF0000"/>
      </font>
    </dxf>
    <dxf>
      <font>
        <b/>
        <i/>
      </font>
    </dxf>
    <dxf>
      <font>
        <color rgb="FFFF0000"/>
      </font>
    </dxf>
    <dxf>
      <font>
        <b/>
        <i/>
      </font>
    </dxf>
    <dxf>
      <font>
        <color rgb="FFFF0000"/>
      </font>
    </dxf>
    <dxf>
      <font>
        <b/>
        <i/>
      </font>
    </dxf>
    <dxf>
      <font>
        <color rgb="FFFF0000"/>
      </font>
    </dxf>
    <dxf>
      <font>
        <b/>
        <i/>
      </font>
    </dxf>
    <dxf>
      <font>
        <color rgb="FFFF0000"/>
      </font>
    </dxf>
    <dxf>
      <font>
        <b/>
        <i/>
      </font>
    </dxf>
    <dxf>
      <font>
        <color rgb="FFFF0000"/>
      </font>
    </dxf>
    <dxf>
      <font>
        <b/>
        <i/>
      </font>
    </dxf>
    <dxf>
      <font>
        <color rgb="FFFF0000"/>
      </font>
    </dxf>
    <dxf>
      <font>
        <b/>
        <i/>
      </font>
    </dxf>
    <dxf>
      <font>
        <color rgb="FFFF0000"/>
      </font>
    </dxf>
    <dxf>
      <font>
        <b/>
        <i/>
      </font>
    </dxf>
    <dxf>
      <font>
        <color rgb="FFFF0000"/>
      </font>
    </dxf>
    <dxf>
      <font>
        <b/>
        <i/>
      </font>
    </dxf>
    <dxf>
      <font>
        <color rgb="FFFF0000"/>
      </font>
    </dxf>
    <dxf>
      <font>
        <b/>
        <i/>
      </font>
    </dxf>
    <dxf>
      <font>
        <color rgb="FFFF0000"/>
      </font>
    </dxf>
    <dxf>
      <font>
        <b/>
        <i/>
      </font>
    </dxf>
    <dxf>
      <font>
        <color rgb="FFFF0000"/>
      </font>
    </dxf>
    <dxf>
      <font>
        <b/>
        <i/>
      </font>
    </dxf>
    <dxf>
      <font>
        <color rgb="FFFF0000"/>
      </font>
    </dxf>
    <dxf>
      <font>
        <b/>
        <i/>
      </font>
    </dxf>
    <dxf>
      <font>
        <color rgb="FFFF0000"/>
      </font>
    </dxf>
    <dxf>
      <font>
        <b/>
        <i/>
      </font>
    </dxf>
    <dxf>
      <font>
        <color rgb="FFFF0000"/>
      </font>
    </dxf>
    <dxf>
      <font>
        <b/>
        <i/>
      </font>
    </dxf>
    <dxf>
      <font>
        <color rgb="FFFF0000"/>
      </font>
    </dxf>
    <dxf>
      <font>
        <b/>
        <i/>
      </font>
    </dxf>
    <dxf>
      <font>
        <color rgb="FFFF0000"/>
      </font>
    </dxf>
    <dxf>
      <font>
        <b/>
        <i/>
      </font>
    </dxf>
    <dxf>
      <font>
        <color rgb="FFFF0000"/>
      </font>
    </dxf>
    <dxf>
      <font>
        <b/>
        <i/>
      </font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Details!$E$17</c:f>
              <c:strCache>
                <c:ptCount val="1"/>
                <c:pt idx="0">
                  <c:v>Years of experience in current role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Details!$D$18:$D$22</c:f>
              <c:strCache>
                <c:ptCount val="5"/>
                <c:pt idx="0">
                  <c:v>&gt;20</c:v>
                </c:pt>
                <c:pt idx="1">
                  <c:v>15 to 20</c:v>
                </c:pt>
                <c:pt idx="2">
                  <c:v>10 to 14</c:v>
                </c:pt>
                <c:pt idx="3">
                  <c:v>5 to 9</c:v>
                </c:pt>
                <c:pt idx="4">
                  <c:v>&lt;5</c:v>
                </c:pt>
              </c:strCache>
            </c:strRef>
          </c:cat>
          <c:val>
            <c:numRef>
              <c:f>Details!$E$18:$E$22</c:f>
              <c:numCache>
                <c:formatCode>General</c:formatCode>
                <c:ptCount val="5"/>
                <c:pt idx="0">
                  <c:v>3</c:v>
                </c:pt>
                <c:pt idx="1">
                  <c:v>1</c:v>
                </c:pt>
                <c:pt idx="2">
                  <c:v>0</c:v>
                </c:pt>
                <c:pt idx="3">
                  <c:v>1</c:v>
                </c:pt>
                <c:pt idx="4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BA8-47FE-9A90-783F9B46357D}"/>
            </c:ext>
          </c:extLst>
        </c:ser>
        <c:ser>
          <c:idx val="1"/>
          <c:order val="1"/>
          <c:tx>
            <c:strRef>
              <c:f>Details!$F$17</c:f>
              <c:strCache>
                <c:ptCount val="1"/>
                <c:pt idx="0">
                  <c:v>Relevant experience prior to current role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Details!$D$18:$D$22</c:f>
              <c:strCache>
                <c:ptCount val="5"/>
                <c:pt idx="0">
                  <c:v>&gt;20</c:v>
                </c:pt>
                <c:pt idx="1">
                  <c:v>15 to 20</c:v>
                </c:pt>
                <c:pt idx="2">
                  <c:v>10 to 14</c:v>
                </c:pt>
                <c:pt idx="3">
                  <c:v>5 to 9</c:v>
                </c:pt>
                <c:pt idx="4">
                  <c:v>&lt;5</c:v>
                </c:pt>
              </c:strCache>
            </c:strRef>
          </c:cat>
          <c:val>
            <c:numRef>
              <c:f>Details!$F$18:$F$22</c:f>
              <c:numCache>
                <c:formatCode>General</c:formatCode>
                <c:ptCount val="5"/>
                <c:pt idx="0">
                  <c:v>2</c:v>
                </c:pt>
                <c:pt idx="1">
                  <c:v>2</c:v>
                </c:pt>
                <c:pt idx="2">
                  <c:v>1</c:v>
                </c:pt>
                <c:pt idx="3">
                  <c:v>2</c:v>
                </c:pt>
                <c:pt idx="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8C5-4F61-B241-54DA62E558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577828040"/>
        <c:axId val="577824760"/>
      </c:barChart>
      <c:catAx>
        <c:axId val="577828040"/>
        <c:scaling>
          <c:orientation val="maxMin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Years of experience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7824760"/>
        <c:crosses val="autoZero"/>
        <c:auto val="1"/>
        <c:lblAlgn val="ctr"/>
        <c:lblOffset val="100"/>
        <c:noMultiLvlLbl val="0"/>
      </c:catAx>
      <c:valAx>
        <c:axId val="5778247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No. of respondents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7828040"/>
        <c:crosses val="max"/>
        <c:crossBetween val="between"/>
        <c:majorUnit val="1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'Influencing Factors'!$O$5</c:f>
              <c:strCache>
                <c:ptCount val="1"/>
                <c:pt idx="0">
                  <c:v>Mean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multiLvlStrRef>
              <c:f>'Influencing Factors'!$B$17:$C$22</c:f>
              <c:multiLvlStrCache>
                <c:ptCount val="6"/>
                <c:lvl>
                  <c:pt idx="0">
                    <c:v>12</c:v>
                  </c:pt>
                  <c:pt idx="1">
                    <c:v>13</c:v>
                  </c:pt>
                  <c:pt idx="2">
                    <c:v>14</c:v>
                  </c:pt>
                  <c:pt idx="3">
                    <c:v>15</c:v>
                  </c:pt>
                  <c:pt idx="4">
                    <c:v>16</c:v>
                  </c:pt>
                  <c:pt idx="5">
                    <c:v>17</c:v>
                  </c:pt>
                </c:lvl>
                <c:lvl>
                  <c:pt idx="0">
                    <c:v>Maintainer performance</c:v>
                  </c:pt>
                </c:lvl>
              </c:multiLvlStrCache>
            </c:multiLvlStrRef>
          </c:cat>
          <c:val>
            <c:numRef>
              <c:f>'Influencing Factors'!$O$17:$O$22</c:f>
              <c:numCache>
                <c:formatCode>0.00</c:formatCode>
                <c:ptCount val="6"/>
                <c:pt idx="0">
                  <c:v>6.1111111111111107</c:v>
                </c:pt>
                <c:pt idx="1">
                  <c:v>5.8888888888888893</c:v>
                </c:pt>
                <c:pt idx="2">
                  <c:v>5.8888888888888893</c:v>
                </c:pt>
                <c:pt idx="3">
                  <c:v>4.8888888888888893</c:v>
                </c:pt>
                <c:pt idx="4">
                  <c:v>6.1111111111111107</c:v>
                </c:pt>
                <c:pt idx="5">
                  <c:v>4.7777777777777777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E7E-4681-8534-920F0293C4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19171600"/>
        <c:axId val="519169632"/>
      </c:barChart>
      <c:lineChart>
        <c:grouping val="standard"/>
        <c:varyColors val="0"/>
        <c:ser>
          <c:idx val="1"/>
          <c:order val="1"/>
          <c:tx>
            <c:v>Level of agreement between respondents</c:v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val>
            <c:numRef>
              <c:f>'Influencing Factors'!$Q$17:$Q$22</c:f>
              <c:numCache>
                <c:formatCode>General</c:formatCode>
                <c:ptCount val="6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3</c:v>
                </c:pt>
                <c:pt idx="4">
                  <c:v>3</c:v>
                </c:pt>
                <c:pt idx="5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E7E-4681-8534-920F0293C4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19171600"/>
        <c:axId val="519169632"/>
      </c:lineChart>
      <c:catAx>
        <c:axId val="519171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9169632"/>
        <c:crosses val="autoZero"/>
        <c:auto val="1"/>
        <c:lblAlgn val="ctr"/>
        <c:lblOffset val="100"/>
        <c:noMultiLvlLbl val="0"/>
      </c:catAx>
      <c:valAx>
        <c:axId val="5191696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Mean uncertainty influence score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91716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0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'Influencing Factors'!$O$5</c:f>
              <c:strCache>
                <c:ptCount val="1"/>
                <c:pt idx="0">
                  <c:v>Mean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'Influencing Factors'!$B$23:$C$30</c:f>
              <c:multiLvlStrCache>
                <c:ptCount val="8"/>
                <c:lvl>
                  <c:pt idx="0">
                    <c:v>18</c:v>
                  </c:pt>
                  <c:pt idx="1">
                    <c:v>19</c:v>
                  </c:pt>
                  <c:pt idx="2">
                    <c:v>20</c:v>
                  </c:pt>
                  <c:pt idx="3">
                    <c:v>21</c:v>
                  </c:pt>
                  <c:pt idx="4">
                    <c:v>22</c:v>
                  </c:pt>
                  <c:pt idx="5">
                    <c:v>23</c:v>
                  </c:pt>
                  <c:pt idx="6">
                    <c:v>24</c:v>
                  </c:pt>
                  <c:pt idx="7">
                    <c:v>25</c:v>
                  </c:pt>
                </c:lvl>
                <c:lvl>
                  <c:pt idx="0">
                    <c:v>Operational</c:v>
                  </c:pt>
                </c:lvl>
              </c:multiLvlStrCache>
            </c:multiLvlStrRef>
          </c:cat>
          <c:val>
            <c:numRef>
              <c:f>'Influencing Factors'!$O$23:$O$30</c:f>
              <c:numCache>
                <c:formatCode>0.00</c:formatCode>
                <c:ptCount val="8"/>
                <c:pt idx="0">
                  <c:v>6.5555555555555554</c:v>
                </c:pt>
                <c:pt idx="1">
                  <c:v>5.5555555555555554</c:v>
                </c:pt>
                <c:pt idx="2">
                  <c:v>5.8888888888888893</c:v>
                </c:pt>
                <c:pt idx="3">
                  <c:v>5.2222222222222223</c:v>
                </c:pt>
                <c:pt idx="4">
                  <c:v>5.4444444444444446</c:v>
                </c:pt>
                <c:pt idx="5">
                  <c:v>4.1111111111111107</c:v>
                </c:pt>
                <c:pt idx="6">
                  <c:v>5</c:v>
                </c:pt>
                <c:pt idx="7">
                  <c:v>4.666666666666667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99B-42A2-9B41-AC74A607C9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19171600"/>
        <c:axId val="519169632"/>
      </c:barChart>
      <c:lineChart>
        <c:grouping val="standard"/>
        <c:varyColors val="0"/>
        <c:ser>
          <c:idx val="1"/>
          <c:order val="1"/>
          <c:tx>
            <c:v>Level of agreement between respondents</c:v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val>
            <c:numRef>
              <c:f>'Influencing Factors'!$Q$23:$Q$30</c:f>
              <c:numCache>
                <c:formatCode>General</c:formatCode>
                <c:ptCount val="8"/>
                <c:pt idx="0">
                  <c:v>2</c:v>
                </c:pt>
                <c:pt idx="1">
                  <c:v>4</c:v>
                </c:pt>
                <c:pt idx="2">
                  <c:v>3</c:v>
                </c:pt>
                <c:pt idx="3">
                  <c:v>3</c:v>
                </c:pt>
                <c:pt idx="4">
                  <c:v>3</c:v>
                </c:pt>
                <c:pt idx="5">
                  <c:v>4</c:v>
                </c:pt>
                <c:pt idx="6">
                  <c:v>4</c:v>
                </c:pt>
                <c:pt idx="7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99B-42A2-9B41-AC74A607C9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19171600"/>
        <c:axId val="519169632"/>
      </c:lineChart>
      <c:catAx>
        <c:axId val="519171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9169632"/>
        <c:crosses val="autoZero"/>
        <c:auto val="1"/>
        <c:lblAlgn val="ctr"/>
        <c:lblOffset val="100"/>
        <c:noMultiLvlLbl val="0"/>
      </c:catAx>
      <c:valAx>
        <c:axId val="5191696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Mean uncertainty influence score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91716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0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'Influencing Factors'!$O$5</c:f>
              <c:strCache>
                <c:ptCount val="1"/>
                <c:pt idx="0">
                  <c:v>Mean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multiLvlStrRef>
              <c:f>'Influencing Factors'!$B$31:$C$38</c:f>
              <c:multiLvlStrCache>
                <c:ptCount val="7"/>
                <c:lvl>
                  <c:pt idx="0">
                    <c:v>26</c:v>
                  </c:pt>
                  <c:pt idx="1">
                    <c:v>27</c:v>
                  </c:pt>
                  <c:pt idx="2">
                    <c:v>28</c:v>
                  </c:pt>
                  <c:pt idx="3">
                    <c:v>29</c:v>
                  </c:pt>
                  <c:pt idx="4">
                    <c:v>30</c:v>
                  </c:pt>
                  <c:pt idx="5">
                    <c:v>31</c:v>
                  </c:pt>
                  <c:pt idx="6">
                    <c:v>32</c:v>
                  </c:pt>
                </c:lvl>
                <c:lvl>
                  <c:pt idx="0">
                    <c:v>Engineering</c:v>
                  </c:pt>
                </c:lvl>
              </c:multiLvlStrCache>
            </c:multiLvlStrRef>
          </c:cat>
          <c:val>
            <c:numRef>
              <c:f>'Influencing Factors'!$O$31:$O$37</c:f>
              <c:numCache>
                <c:formatCode>0.00</c:formatCode>
                <c:ptCount val="7"/>
                <c:pt idx="0">
                  <c:v>4.666666666666667</c:v>
                </c:pt>
                <c:pt idx="1">
                  <c:v>5.4444444444444446</c:v>
                </c:pt>
                <c:pt idx="2">
                  <c:v>4.5555555555555554</c:v>
                </c:pt>
                <c:pt idx="3">
                  <c:v>6.1111111111111107</c:v>
                </c:pt>
                <c:pt idx="4">
                  <c:v>5.2222222222222223</c:v>
                </c:pt>
                <c:pt idx="5">
                  <c:v>4.7777777777777777</c:v>
                </c:pt>
                <c:pt idx="6">
                  <c:v>5.666666666666667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5F8-4A6F-BCA3-0ACBB46884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19171600"/>
        <c:axId val="519169632"/>
      </c:barChart>
      <c:lineChart>
        <c:grouping val="standard"/>
        <c:varyColors val="0"/>
        <c:ser>
          <c:idx val="1"/>
          <c:order val="1"/>
          <c:tx>
            <c:v>Level of agreement between respondents</c:v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val>
            <c:numRef>
              <c:f>'Influencing Factors'!$Q$31:$Q$37</c:f>
              <c:numCache>
                <c:formatCode>General</c:formatCode>
                <c:ptCount val="7"/>
                <c:pt idx="0">
                  <c:v>5</c:v>
                </c:pt>
                <c:pt idx="1">
                  <c:v>3</c:v>
                </c:pt>
                <c:pt idx="2">
                  <c:v>4</c:v>
                </c:pt>
                <c:pt idx="3">
                  <c:v>2</c:v>
                </c:pt>
                <c:pt idx="4">
                  <c:v>3</c:v>
                </c:pt>
                <c:pt idx="5">
                  <c:v>2</c:v>
                </c:pt>
                <c:pt idx="6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5F8-4A6F-BCA3-0ACBB46884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19171600"/>
        <c:axId val="519169632"/>
      </c:lineChart>
      <c:catAx>
        <c:axId val="519171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9169632"/>
        <c:crosses val="autoZero"/>
        <c:auto val="1"/>
        <c:lblAlgn val="ctr"/>
        <c:lblOffset val="100"/>
        <c:noMultiLvlLbl val="0"/>
      </c:catAx>
      <c:valAx>
        <c:axId val="5191696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Mean uncertainty influence score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91716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0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'Influencing Factors'!$X$27</c:f>
              <c:strCache>
                <c:ptCount val="1"/>
                <c:pt idx="0">
                  <c:v>Mean cat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1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7AC9-4FF5-96AC-AC4F85C60A53}"/>
              </c:ext>
            </c:extLst>
          </c:dPt>
          <c:dPt>
            <c:idx val="2"/>
            <c:invertIfNegative val="0"/>
            <c:bubble3D val="0"/>
            <c:spPr>
              <a:solidFill>
                <a:srgbClr val="00206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7AC9-4FF5-96AC-AC4F85C60A53}"/>
              </c:ext>
            </c:extLst>
          </c:dPt>
          <c:dPt>
            <c:idx val="3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7AC9-4FF5-96AC-AC4F85C60A53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14FE-41F1-AF43-50DD632BDFC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'Influencing Factors'!$X$28:$X$32</c:f>
              <c:strCache>
                <c:ptCount val="5"/>
                <c:pt idx="0">
                  <c:v>Commercial</c:v>
                </c:pt>
                <c:pt idx="1">
                  <c:v>Affordability</c:v>
                </c:pt>
                <c:pt idx="2">
                  <c:v>Maintainer performance</c:v>
                </c:pt>
                <c:pt idx="3">
                  <c:v>Operational</c:v>
                </c:pt>
                <c:pt idx="4">
                  <c:v>Engineering</c:v>
                </c:pt>
              </c:strCache>
            </c:strRef>
          </c:cat>
          <c:val>
            <c:numRef>
              <c:f>'Influencing Factors'!$Y$28:$Y$32</c:f>
              <c:numCache>
                <c:formatCode>0.00</c:formatCode>
                <c:ptCount val="5"/>
                <c:pt idx="0">
                  <c:v>4.9861111111111116</c:v>
                </c:pt>
                <c:pt idx="1">
                  <c:v>5.814814814814814</c:v>
                </c:pt>
                <c:pt idx="2">
                  <c:v>5.6111111111111107</c:v>
                </c:pt>
                <c:pt idx="3">
                  <c:v>5.3055555555555545</c:v>
                </c:pt>
                <c:pt idx="4">
                  <c:v>5.2063492063492065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AC9-4FF5-96AC-AC4F85C60A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38696568"/>
        <c:axId val="538693616"/>
      </c:barChart>
      <c:lineChart>
        <c:grouping val="standard"/>
        <c:varyColors val="0"/>
        <c:ser>
          <c:idx val="1"/>
          <c:order val="1"/>
          <c:tx>
            <c:v>Level of disagreement between respondents</c:v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val>
            <c:numRef>
              <c:f>('Influencing Factors'!$R$13,'Influencing Factors'!$R$16,'Influencing Factors'!$R$22,'Influencing Factors'!$R$30,'Influencing Factors'!$R$37)</c:f>
              <c:numCache>
                <c:formatCode>0.00</c:formatCode>
                <c:ptCount val="5"/>
                <c:pt idx="0">
                  <c:v>3.5</c:v>
                </c:pt>
                <c:pt idx="1">
                  <c:v>3.3333333333333335</c:v>
                </c:pt>
                <c:pt idx="2">
                  <c:v>2.1666666666666665</c:v>
                </c:pt>
                <c:pt idx="3">
                  <c:v>3.25</c:v>
                </c:pt>
                <c:pt idx="4">
                  <c:v>3.1428571428571428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7AC9-4FF5-96AC-AC4F85C60A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8696568"/>
        <c:axId val="538693616"/>
      </c:lineChart>
      <c:catAx>
        <c:axId val="538696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38693616"/>
        <c:crosses val="autoZero"/>
        <c:auto val="1"/>
        <c:lblAlgn val="ctr"/>
        <c:lblOffset val="100"/>
        <c:noMultiLvlLbl val="0"/>
      </c:catAx>
      <c:valAx>
        <c:axId val="5386936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Mean uncertainty influence score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386965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0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'Influencing Factors'!$T$5</c:f>
              <c:strCache>
                <c:ptCount val="1"/>
                <c:pt idx="0">
                  <c:v>MODE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8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1-96DE-4A67-B9C3-D79EB7E875F1}"/>
              </c:ext>
            </c:extLst>
          </c:dPt>
          <c:dPt>
            <c:idx val="9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3-96DE-4A67-B9C3-D79EB7E875F1}"/>
              </c:ext>
            </c:extLst>
          </c:dPt>
          <c:dPt>
            <c:idx val="10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5-96DE-4A67-B9C3-D79EB7E875F1}"/>
              </c:ext>
            </c:extLst>
          </c:dPt>
          <c:dPt>
            <c:idx val="11"/>
            <c:invertIfNegative val="0"/>
            <c:bubble3D val="0"/>
            <c:spPr>
              <a:solidFill>
                <a:srgbClr val="00206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9-96DE-4A67-B9C3-D79EB7E875F1}"/>
              </c:ext>
            </c:extLst>
          </c:dPt>
          <c:dPt>
            <c:idx val="12"/>
            <c:invertIfNegative val="0"/>
            <c:bubble3D val="0"/>
            <c:spPr>
              <a:solidFill>
                <a:srgbClr val="00206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E-96DE-4A67-B9C3-D79EB7E875F1}"/>
              </c:ext>
            </c:extLst>
          </c:dPt>
          <c:dPt>
            <c:idx val="13"/>
            <c:invertIfNegative val="0"/>
            <c:bubble3D val="0"/>
            <c:spPr>
              <a:solidFill>
                <a:srgbClr val="00206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42-96DE-4A67-B9C3-D79EB7E875F1}"/>
              </c:ext>
            </c:extLst>
          </c:dPt>
          <c:dPt>
            <c:idx val="14"/>
            <c:invertIfNegative val="0"/>
            <c:bubble3D val="0"/>
            <c:spPr>
              <a:solidFill>
                <a:srgbClr val="00206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46-96DE-4A67-B9C3-D79EB7E875F1}"/>
              </c:ext>
            </c:extLst>
          </c:dPt>
          <c:dPt>
            <c:idx val="15"/>
            <c:invertIfNegative val="0"/>
            <c:bubble3D val="0"/>
            <c:spPr>
              <a:solidFill>
                <a:srgbClr val="00206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4B-96DE-4A67-B9C3-D79EB7E875F1}"/>
              </c:ext>
            </c:extLst>
          </c:dPt>
          <c:dPt>
            <c:idx val="16"/>
            <c:invertIfNegative val="0"/>
            <c:bubble3D val="0"/>
            <c:spPr>
              <a:solidFill>
                <a:srgbClr val="00206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50-96DE-4A67-B9C3-D79EB7E875F1}"/>
              </c:ext>
            </c:extLst>
          </c:dPt>
          <c:dPt>
            <c:idx val="17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7-96DE-4A67-B9C3-D79EB7E875F1}"/>
              </c:ext>
            </c:extLst>
          </c:dPt>
          <c:dPt>
            <c:idx val="18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9-96DE-4A67-B9C3-D79EB7E875F1}"/>
              </c:ext>
            </c:extLst>
          </c:dPt>
          <c:dPt>
            <c:idx val="19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B-96DE-4A67-B9C3-D79EB7E875F1}"/>
              </c:ext>
            </c:extLst>
          </c:dPt>
          <c:dPt>
            <c:idx val="20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D-96DE-4A67-B9C3-D79EB7E875F1}"/>
              </c:ext>
            </c:extLst>
          </c:dPt>
          <c:dPt>
            <c:idx val="21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F-96DE-4A67-B9C3-D79EB7E875F1}"/>
              </c:ext>
            </c:extLst>
          </c:dPt>
          <c:dPt>
            <c:idx val="22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1-96DE-4A67-B9C3-D79EB7E875F1}"/>
              </c:ext>
            </c:extLst>
          </c:dPt>
          <c:dPt>
            <c:idx val="23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3-96DE-4A67-B9C3-D79EB7E875F1}"/>
              </c:ext>
            </c:extLst>
          </c:dPt>
          <c:dPt>
            <c:idx val="24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5-96DE-4A67-B9C3-D79EB7E875F1}"/>
              </c:ext>
            </c:extLst>
          </c:dPt>
          <c:dPt>
            <c:idx val="25"/>
            <c:invertIfNegative val="0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7-96DE-4A67-B9C3-D79EB7E875F1}"/>
              </c:ext>
            </c:extLst>
          </c:dPt>
          <c:dPt>
            <c:idx val="26"/>
            <c:invertIfNegative val="0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9-96DE-4A67-B9C3-D79EB7E875F1}"/>
              </c:ext>
            </c:extLst>
          </c:dPt>
          <c:dPt>
            <c:idx val="27"/>
            <c:invertIfNegative val="0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B-96DE-4A67-B9C3-D79EB7E875F1}"/>
              </c:ext>
            </c:extLst>
          </c:dPt>
          <c:dPt>
            <c:idx val="28"/>
            <c:invertIfNegative val="0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D-96DE-4A67-B9C3-D79EB7E875F1}"/>
              </c:ext>
            </c:extLst>
          </c:dPt>
          <c:dPt>
            <c:idx val="29"/>
            <c:invertIfNegative val="0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F-96DE-4A67-B9C3-D79EB7E875F1}"/>
              </c:ext>
            </c:extLst>
          </c:dPt>
          <c:dPt>
            <c:idx val="30"/>
            <c:invertIfNegative val="0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1-96DE-4A67-B9C3-D79EB7E875F1}"/>
              </c:ext>
            </c:extLst>
          </c:dPt>
          <c:dPt>
            <c:idx val="31"/>
            <c:invertIfNegative val="0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3-96DE-4A67-B9C3-D79EB7E875F1}"/>
              </c:ext>
            </c:extLst>
          </c:dPt>
          <c:cat>
            <c:multiLvlStrRef>
              <c:f>'Influencing Factors'!$B$6:$C$38</c:f>
              <c:multiLvlStrCache>
                <c:ptCount val="32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13</c:v>
                  </c:pt>
                  <c:pt idx="13">
                    <c:v>14</c:v>
                  </c:pt>
                  <c:pt idx="14">
                    <c:v>15</c:v>
                  </c:pt>
                  <c:pt idx="15">
                    <c:v>16</c:v>
                  </c:pt>
                  <c:pt idx="16">
                    <c:v>17</c:v>
                  </c:pt>
                  <c:pt idx="17">
                    <c:v>18</c:v>
                  </c:pt>
                  <c:pt idx="18">
                    <c:v>19</c:v>
                  </c:pt>
                  <c:pt idx="19">
                    <c:v>20</c:v>
                  </c:pt>
                  <c:pt idx="20">
                    <c:v>21</c:v>
                  </c:pt>
                  <c:pt idx="21">
                    <c:v>22</c:v>
                  </c:pt>
                  <c:pt idx="22">
                    <c:v>23</c:v>
                  </c:pt>
                  <c:pt idx="23">
                    <c:v>24</c:v>
                  </c:pt>
                  <c:pt idx="24">
                    <c:v>25</c:v>
                  </c:pt>
                  <c:pt idx="25">
                    <c:v>26</c:v>
                  </c:pt>
                  <c:pt idx="26">
                    <c:v>27</c:v>
                  </c:pt>
                  <c:pt idx="27">
                    <c:v>28</c:v>
                  </c:pt>
                  <c:pt idx="28">
                    <c:v>29</c:v>
                  </c:pt>
                  <c:pt idx="29">
                    <c:v>30</c:v>
                  </c:pt>
                  <c:pt idx="30">
                    <c:v>31</c:v>
                  </c:pt>
                  <c:pt idx="31">
                    <c:v>32</c:v>
                  </c:pt>
                </c:lvl>
                <c:lvl>
                  <c:pt idx="0">
                    <c:v>Commercial</c:v>
                  </c:pt>
                  <c:pt idx="8">
                    <c:v>Affordability</c:v>
                  </c:pt>
                  <c:pt idx="11">
                    <c:v>Maintainer performance</c:v>
                  </c:pt>
                  <c:pt idx="17">
                    <c:v>Operational</c:v>
                  </c:pt>
                  <c:pt idx="25">
                    <c:v>Engineering</c:v>
                  </c:pt>
                </c:lvl>
              </c:multiLvlStrCache>
            </c:multiLvlStrRef>
          </c:cat>
          <c:val>
            <c:numRef>
              <c:f>'Influencing Factors'!$T$6:$T$37</c:f>
              <c:numCache>
                <c:formatCode>0</c:formatCode>
                <c:ptCount val="32"/>
                <c:pt idx="0">
                  <c:v>4</c:v>
                </c:pt>
                <c:pt idx="1">
                  <c:v>5</c:v>
                </c:pt>
                <c:pt idx="2">
                  <c:v>4</c:v>
                </c:pt>
                <c:pt idx="3">
                  <c:v>4</c:v>
                </c:pt>
                <c:pt idx="4">
                  <c:v>4</c:v>
                </c:pt>
                <c:pt idx="5">
                  <c:v>4</c:v>
                </c:pt>
                <c:pt idx="6">
                  <c:v>7</c:v>
                </c:pt>
                <c:pt idx="7">
                  <c:v>6</c:v>
                </c:pt>
                <c:pt idx="8">
                  <c:v>6</c:v>
                </c:pt>
                <c:pt idx="9">
                  <c:v>5</c:v>
                </c:pt>
                <c:pt idx="10">
                  <c:v>7</c:v>
                </c:pt>
                <c:pt idx="11">
                  <c:v>6</c:v>
                </c:pt>
                <c:pt idx="12">
                  <c:v>5</c:v>
                </c:pt>
                <c:pt idx="13">
                  <c:v>5</c:v>
                </c:pt>
                <c:pt idx="14">
                  <c:v>5</c:v>
                </c:pt>
                <c:pt idx="15">
                  <c:v>7</c:v>
                </c:pt>
                <c:pt idx="16">
                  <c:v>5</c:v>
                </c:pt>
                <c:pt idx="17">
                  <c:v>7</c:v>
                </c:pt>
                <c:pt idx="18">
                  <c:v>6</c:v>
                </c:pt>
                <c:pt idx="19">
                  <c:v>7</c:v>
                </c:pt>
                <c:pt idx="20">
                  <c:v>5</c:v>
                </c:pt>
                <c:pt idx="21">
                  <c:v>6</c:v>
                </c:pt>
                <c:pt idx="22">
                  <c:v>4</c:v>
                </c:pt>
                <c:pt idx="23">
                  <c:v>5</c:v>
                </c:pt>
                <c:pt idx="24">
                  <c:v>4</c:v>
                </c:pt>
                <c:pt idx="25">
                  <c:v>5</c:v>
                </c:pt>
                <c:pt idx="26">
                  <c:v>5</c:v>
                </c:pt>
                <c:pt idx="27">
                  <c:v>5</c:v>
                </c:pt>
                <c:pt idx="28">
                  <c:v>6</c:v>
                </c:pt>
                <c:pt idx="29">
                  <c:v>5</c:v>
                </c:pt>
                <c:pt idx="30">
                  <c:v>5</c:v>
                </c:pt>
                <c:pt idx="31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4-96DE-4A67-B9C3-D79EB7E875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19171600"/>
        <c:axId val="519169632"/>
      </c:barChart>
      <c:lineChart>
        <c:grouping val="standard"/>
        <c:varyColors val="0"/>
        <c:ser>
          <c:idx val="1"/>
          <c:order val="1"/>
          <c:tx>
            <c:v>Level of disagreement between respondents</c:v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val>
            <c:numRef>
              <c:f>'Influencing Factors'!$Q$6:$Q$37</c:f>
              <c:numCache>
                <c:formatCode>General</c:formatCode>
                <c:ptCount val="32"/>
                <c:pt idx="0">
                  <c:v>4</c:v>
                </c:pt>
                <c:pt idx="1">
                  <c:v>4</c:v>
                </c:pt>
                <c:pt idx="2">
                  <c:v>5</c:v>
                </c:pt>
                <c:pt idx="3">
                  <c:v>3</c:v>
                </c:pt>
                <c:pt idx="4">
                  <c:v>3</c:v>
                </c:pt>
                <c:pt idx="5">
                  <c:v>2</c:v>
                </c:pt>
                <c:pt idx="6">
                  <c:v>3</c:v>
                </c:pt>
                <c:pt idx="7">
                  <c:v>4</c:v>
                </c:pt>
                <c:pt idx="8">
                  <c:v>4</c:v>
                </c:pt>
                <c:pt idx="9">
                  <c:v>3</c:v>
                </c:pt>
                <c:pt idx="10">
                  <c:v>3</c:v>
                </c:pt>
                <c:pt idx="11">
                  <c:v>2</c:v>
                </c:pt>
                <c:pt idx="12">
                  <c:v>2</c:v>
                </c:pt>
                <c:pt idx="13">
                  <c:v>2</c:v>
                </c:pt>
                <c:pt idx="14">
                  <c:v>3</c:v>
                </c:pt>
                <c:pt idx="15">
                  <c:v>3</c:v>
                </c:pt>
                <c:pt idx="16">
                  <c:v>1</c:v>
                </c:pt>
                <c:pt idx="17">
                  <c:v>2</c:v>
                </c:pt>
                <c:pt idx="18">
                  <c:v>4</c:v>
                </c:pt>
                <c:pt idx="19">
                  <c:v>3</c:v>
                </c:pt>
                <c:pt idx="20">
                  <c:v>3</c:v>
                </c:pt>
                <c:pt idx="21">
                  <c:v>3</c:v>
                </c:pt>
                <c:pt idx="22">
                  <c:v>4</c:v>
                </c:pt>
                <c:pt idx="23">
                  <c:v>4</c:v>
                </c:pt>
                <c:pt idx="24">
                  <c:v>3</c:v>
                </c:pt>
                <c:pt idx="25">
                  <c:v>5</c:v>
                </c:pt>
                <c:pt idx="26">
                  <c:v>3</c:v>
                </c:pt>
                <c:pt idx="27">
                  <c:v>4</c:v>
                </c:pt>
                <c:pt idx="28">
                  <c:v>2</c:v>
                </c:pt>
                <c:pt idx="29">
                  <c:v>3</c:v>
                </c:pt>
                <c:pt idx="30">
                  <c:v>2</c:v>
                </c:pt>
                <c:pt idx="31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5-96DE-4A67-B9C3-D79EB7E875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19171600"/>
        <c:axId val="519169632"/>
      </c:lineChart>
      <c:catAx>
        <c:axId val="519171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9169632"/>
        <c:crosses val="autoZero"/>
        <c:auto val="1"/>
        <c:lblAlgn val="ctr"/>
        <c:lblOffset val="100"/>
        <c:noMultiLvlLbl val="0"/>
      </c:catAx>
      <c:valAx>
        <c:axId val="5191696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Mode of uncertainty influence score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91716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0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'Infl factors w. pedigree'!$N$5</c:f>
              <c:strCache>
                <c:ptCount val="1"/>
                <c:pt idx="0">
                  <c:v>Mean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B7FD-4884-B713-95FF9B00365A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B7FD-4884-B713-95FF9B00365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B7FD-4884-B713-95FF9B00365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B7FD-4884-B713-95FF9B00365A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B7FD-4884-B713-95FF9B00365A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B7FD-4884-B713-95FF9B00365A}"/>
              </c:ext>
            </c:extLst>
          </c:dPt>
          <c:dPt>
            <c:idx val="6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B7FD-4884-B713-95FF9B00365A}"/>
              </c:ext>
            </c:extLst>
          </c:dPt>
          <c:dPt>
            <c:idx val="7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F-B7FD-4884-B713-95FF9B00365A}"/>
              </c:ext>
            </c:extLst>
          </c:dPt>
          <c:dPt>
            <c:idx val="8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1-B7FD-4884-B713-95FF9B00365A}"/>
              </c:ext>
            </c:extLst>
          </c:dPt>
          <c:dPt>
            <c:idx val="9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3-B7FD-4884-B713-95FF9B00365A}"/>
              </c:ext>
            </c:extLst>
          </c:dPt>
          <c:dPt>
            <c:idx val="10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5-B7FD-4884-B713-95FF9B00365A}"/>
              </c:ext>
            </c:extLst>
          </c:dPt>
          <c:dPt>
            <c:idx val="17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7-B7FD-4884-B713-95FF9B00365A}"/>
              </c:ext>
            </c:extLst>
          </c:dPt>
          <c:dPt>
            <c:idx val="18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9-B7FD-4884-B713-95FF9B00365A}"/>
              </c:ext>
            </c:extLst>
          </c:dPt>
          <c:dPt>
            <c:idx val="19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B-B7FD-4884-B713-95FF9B00365A}"/>
              </c:ext>
            </c:extLst>
          </c:dPt>
          <c:dPt>
            <c:idx val="20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D-B7FD-4884-B713-95FF9B00365A}"/>
              </c:ext>
            </c:extLst>
          </c:dPt>
          <c:dPt>
            <c:idx val="21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F-B7FD-4884-B713-95FF9B00365A}"/>
              </c:ext>
            </c:extLst>
          </c:dPt>
          <c:dPt>
            <c:idx val="22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1-B7FD-4884-B713-95FF9B00365A}"/>
              </c:ext>
            </c:extLst>
          </c:dPt>
          <c:dPt>
            <c:idx val="23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3-B7FD-4884-B713-95FF9B00365A}"/>
              </c:ext>
            </c:extLst>
          </c:dPt>
          <c:dPt>
            <c:idx val="24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5-B7FD-4884-B713-95FF9B00365A}"/>
              </c:ext>
            </c:extLst>
          </c:dPt>
          <c:dPt>
            <c:idx val="25"/>
            <c:invertIfNegative val="0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7-B7FD-4884-B713-95FF9B00365A}"/>
              </c:ext>
            </c:extLst>
          </c:dPt>
          <c:dPt>
            <c:idx val="26"/>
            <c:invertIfNegative val="0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9-B7FD-4884-B713-95FF9B00365A}"/>
              </c:ext>
            </c:extLst>
          </c:dPt>
          <c:dPt>
            <c:idx val="27"/>
            <c:invertIfNegative val="0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B-B7FD-4884-B713-95FF9B00365A}"/>
              </c:ext>
            </c:extLst>
          </c:dPt>
          <c:dPt>
            <c:idx val="28"/>
            <c:invertIfNegative val="0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D-B7FD-4884-B713-95FF9B00365A}"/>
              </c:ext>
            </c:extLst>
          </c:dPt>
          <c:dPt>
            <c:idx val="29"/>
            <c:invertIfNegative val="0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F-B7FD-4884-B713-95FF9B00365A}"/>
              </c:ext>
            </c:extLst>
          </c:dPt>
          <c:dPt>
            <c:idx val="30"/>
            <c:invertIfNegative val="0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1-B7FD-4884-B713-95FF9B00365A}"/>
              </c:ext>
            </c:extLst>
          </c:dPt>
          <c:dPt>
            <c:idx val="31"/>
            <c:invertIfNegative val="0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3-B7FD-4884-B713-95FF9B00365A}"/>
              </c:ext>
            </c:extLst>
          </c:dPt>
          <c:cat>
            <c:multiLvlStrRef>
              <c:f>'Infl factors w. pedigree'!$B$6:$C$38</c:f>
              <c:multiLvlStrCache>
                <c:ptCount val="32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13</c:v>
                  </c:pt>
                  <c:pt idx="13">
                    <c:v>14</c:v>
                  </c:pt>
                  <c:pt idx="14">
                    <c:v>15</c:v>
                  </c:pt>
                  <c:pt idx="15">
                    <c:v>16</c:v>
                  </c:pt>
                  <c:pt idx="16">
                    <c:v>17</c:v>
                  </c:pt>
                  <c:pt idx="17">
                    <c:v>18</c:v>
                  </c:pt>
                  <c:pt idx="18">
                    <c:v>19</c:v>
                  </c:pt>
                  <c:pt idx="19">
                    <c:v>20</c:v>
                  </c:pt>
                  <c:pt idx="20">
                    <c:v>21</c:v>
                  </c:pt>
                  <c:pt idx="21">
                    <c:v>22</c:v>
                  </c:pt>
                  <c:pt idx="22">
                    <c:v>23</c:v>
                  </c:pt>
                  <c:pt idx="23">
                    <c:v>24</c:v>
                  </c:pt>
                  <c:pt idx="24">
                    <c:v>25</c:v>
                  </c:pt>
                  <c:pt idx="25">
                    <c:v>26</c:v>
                  </c:pt>
                  <c:pt idx="26">
                    <c:v>27</c:v>
                  </c:pt>
                  <c:pt idx="27">
                    <c:v>28</c:v>
                  </c:pt>
                  <c:pt idx="28">
                    <c:v>29</c:v>
                  </c:pt>
                  <c:pt idx="29">
                    <c:v>30</c:v>
                  </c:pt>
                  <c:pt idx="30">
                    <c:v>31</c:v>
                  </c:pt>
                  <c:pt idx="31">
                    <c:v>32</c:v>
                  </c:pt>
                </c:lvl>
                <c:lvl>
                  <c:pt idx="0">
                    <c:v>Commercial</c:v>
                  </c:pt>
                  <c:pt idx="8">
                    <c:v>Affordability</c:v>
                  </c:pt>
                  <c:pt idx="11">
                    <c:v>Maintainer performance</c:v>
                  </c:pt>
                  <c:pt idx="17">
                    <c:v>Operational</c:v>
                  </c:pt>
                  <c:pt idx="25">
                    <c:v>Engineering</c:v>
                  </c:pt>
                </c:lvl>
              </c:multiLvlStrCache>
            </c:multiLvlStrRef>
          </c:cat>
          <c:val>
            <c:numRef>
              <c:f>'Infl factors w. pedigree'!$N$6:$N$37</c:f>
              <c:numCache>
                <c:formatCode>0.00</c:formatCode>
                <c:ptCount val="32"/>
                <c:pt idx="0">
                  <c:v>4.666666666666667</c:v>
                </c:pt>
                <c:pt idx="1">
                  <c:v>4.333333333333333</c:v>
                </c:pt>
                <c:pt idx="2">
                  <c:v>4.1111111111111107</c:v>
                </c:pt>
                <c:pt idx="3">
                  <c:v>5</c:v>
                </c:pt>
                <c:pt idx="4">
                  <c:v>4.8888888888888893</c:v>
                </c:pt>
                <c:pt idx="5">
                  <c:v>5.1111111111111107</c:v>
                </c:pt>
                <c:pt idx="6">
                  <c:v>6.2222222222222223</c:v>
                </c:pt>
                <c:pt idx="7">
                  <c:v>5.5555555555555554</c:v>
                </c:pt>
                <c:pt idx="8">
                  <c:v>5.666666666666667</c:v>
                </c:pt>
                <c:pt idx="9">
                  <c:v>5.666666666666667</c:v>
                </c:pt>
                <c:pt idx="10">
                  <c:v>6.1111111111111107</c:v>
                </c:pt>
                <c:pt idx="11">
                  <c:v>6.1111111111111107</c:v>
                </c:pt>
                <c:pt idx="12">
                  <c:v>5.8888888888888893</c:v>
                </c:pt>
                <c:pt idx="13">
                  <c:v>5.8888888888888893</c:v>
                </c:pt>
                <c:pt idx="14">
                  <c:v>4.8888888888888893</c:v>
                </c:pt>
                <c:pt idx="15">
                  <c:v>6.1111111111111107</c:v>
                </c:pt>
                <c:pt idx="16">
                  <c:v>4.7777777777777777</c:v>
                </c:pt>
                <c:pt idx="17">
                  <c:v>6.5555555555555554</c:v>
                </c:pt>
                <c:pt idx="18">
                  <c:v>5.5555555555555554</c:v>
                </c:pt>
                <c:pt idx="19">
                  <c:v>5.8888888888888893</c:v>
                </c:pt>
                <c:pt idx="20">
                  <c:v>5.2222222222222223</c:v>
                </c:pt>
                <c:pt idx="21">
                  <c:v>5.4444444444444446</c:v>
                </c:pt>
                <c:pt idx="22">
                  <c:v>4.1111111111111107</c:v>
                </c:pt>
                <c:pt idx="23">
                  <c:v>5</c:v>
                </c:pt>
                <c:pt idx="24">
                  <c:v>4.666666666666667</c:v>
                </c:pt>
                <c:pt idx="25">
                  <c:v>4.666666666666667</c:v>
                </c:pt>
                <c:pt idx="26">
                  <c:v>5.4444444444444446</c:v>
                </c:pt>
                <c:pt idx="27">
                  <c:v>4.5555555555555554</c:v>
                </c:pt>
                <c:pt idx="28">
                  <c:v>6.1111111111111107</c:v>
                </c:pt>
                <c:pt idx="29">
                  <c:v>5.2222222222222223</c:v>
                </c:pt>
                <c:pt idx="30">
                  <c:v>4.7777777777777777</c:v>
                </c:pt>
                <c:pt idx="31">
                  <c:v>5.666666666666667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4-B7FD-4884-B713-95FF9B0036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7"/>
        <c:axId val="519171600"/>
        <c:axId val="519169632"/>
      </c:barChart>
      <c:lineChart>
        <c:grouping val="standard"/>
        <c:varyColors val="0"/>
        <c:ser>
          <c:idx val="1"/>
          <c:order val="1"/>
          <c:tx>
            <c:v>Level of disagreement between respondents</c:v>
          </c:tx>
          <c:spPr>
            <a:ln w="127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val>
            <c:numRef>
              <c:f>'Infl factors w. pedigree'!$P$6:$P$37</c:f>
              <c:numCache>
                <c:formatCode>General</c:formatCode>
                <c:ptCount val="32"/>
                <c:pt idx="0">
                  <c:v>4</c:v>
                </c:pt>
                <c:pt idx="1">
                  <c:v>4</c:v>
                </c:pt>
                <c:pt idx="2">
                  <c:v>5</c:v>
                </c:pt>
                <c:pt idx="3">
                  <c:v>3</c:v>
                </c:pt>
                <c:pt idx="4">
                  <c:v>3</c:v>
                </c:pt>
                <c:pt idx="5">
                  <c:v>2</c:v>
                </c:pt>
                <c:pt idx="6">
                  <c:v>3</c:v>
                </c:pt>
                <c:pt idx="7">
                  <c:v>4</c:v>
                </c:pt>
                <c:pt idx="8">
                  <c:v>4</c:v>
                </c:pt>
                <c:pt idx="9">
                  <c:v>3</c:v>
                </c:pt>
                <c:pt idx="10">
                  <c:v>3</c:v>
                </c:pt>
                <c:pt idx="11">
                  <c:v>2</c:v>
                </c:pt>
                <c:pt idx="12">
                  <c:v>2</c:v>
                </c:pt>
                <c:pt idx="13">
                  <c:v>2</c:v>
                </c:pt>
                <c:pt idx="14">
                  <c:v>3</c:v>
                </c:pt>
                <c:pt idx="15">
                  <c:v>3</c:v>
                </c:pt>
                <c:pt idx="16">
                  <c:v>1</c:v>
                </c:pt>
                <c:pt idx="17">
                  <c:v>2</c:v>
                </c:pt>
                <c:pt idx="18">
                  <c:v>4</c:v>
                </c:pt>
                <c:pt idx="19">
                  <c:v>3</c:v>
                </c:pt>
                <c:pt idx="20">
                  <c:v>3</c:v>
                </c:pt>
                <c:pt idx="21">
                  <c:v>3</c:v>
                </c:pt>
                <c:pt idx="22">
                  <c:v>4</c:v>
                </c:pt>
                <c:pt idx="23">
                  <c:v>4</c:v>
                </c:pt>
                <c:pt idx="24">
                  <c:v>3</c:v>
                </c:pt>
                <c:pt idx="25">
                  <c:v>5</c:v>
                </c:pt>
                <c:pt idx="26">
                  <c:v>3</c:v>
                </c:pt>
                <c:pt idx="27">
                  <c:v>4</c:v>
                </c:pt>
                <c:pt idx="28">
                  <c:v>2</c:v>
                </c:pt>
                <c:pt idx="29">
                  <c:v>3</c:v>
                </c:pt>
                <c:pt idx="30">
                  <c:v>2</c:v>
                </c:pt>
                <c:pt idx="31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5-B7FD-4884-B713-95FF9B0036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19171600"/>
        <c:axId val="519169632"/>
      </c:lineChart>
      <c:catAx>
        <c:axId val="519171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9169632"/>
        <c:crosses val="autoZero"/>
        <c:auto val="1"/>
        <c:lblAlgn val="ctr"/>
        <c:lblOffset val="100"/>
        <c:noMultiLvlLbl val="0"/>
      </c:catAx>
      <c:valAx>
        <c:axId val="5191696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Mean uncertainty influence score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91716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0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'Infl factors w. pedigree'!$N$5</c:f>
              <c:strCache>
                <c:ptCount val="1"/>
                <c:pt idx="0">
                  <c:v>Mean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C68B-427C-8DEB-E61D2C64D7A5}"/>
              </c:ext>
            </c:extLst>
          </c:dPt>
          <c:cat>
            <c:multiLvlStrRef>
              <c:f>'Infl factors w. pedigree'!$B$6:$C$13</c:f>
              <c:multiLvlStrCache>
                <c:ptCount val="8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</c:lvl>
                <c:lvl>
                  <c:pt idx="0">
                    <c:v>Commercial</c:v>
                  </c:pt>
                </c:lvl>
              </c:multiLvlStrCache>
            </c:multiLvlStrRef>
          </c:cat>
          <c:val>
            <c:numRef>
              <c:f>'Infl factors w. pedigree'!$N$6:$N$13</c:f>
              <c:numCache>
                <c:formatCode>0.00</c:formatCode>
                <c:ptCount val="8"/>
                <c:pt idx="0">
                  <c:v>4.666666666666667</c:v>
                </c:pt>
                <c:pt idx="1">
                  <c:v>4.333333333333333</c:v>
                </c:pt>
                <c:pt idx="2">
                  <c:v>4.1111111111111107</c:v>
                </c:pt>
                <c:pt idx="3">
                  <c:v>5</c:v>
                </c:pt>
                <c:pt idx="4">
                  <c:v>4.8888888888888893</c:v>
                </c:pt>
                <c:pt idx="5">
                  <c:v>5.1111111111111107</c:v>
                </c:pt>
                <c:pt idx="6">
                  <c:v>6.2222222222222223</c:v>
                </c:pt>
                <c:pt idx="7">
                  <c:v>5.5555555555555554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68B-427C-8DEB-E61D2C64D7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19171600"/>
        <c:axId val="519169632"/>
      </c:barChart>
      <c:lineChart>
        <c:grouping val="standard"/>
        <c:varyColors val="0"/>
        <c:ser>
          <c:idx val="1"/>
          <c:order val="1"/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val>
            <c:numRef>
              <c:f>'Infl factors w. pedigree'!$P$6:$P$13</c:f>
              <c:numCache>
                <c:formatCode>General</c:formatCode>
                <c:ptCount val="8"/>
                <c:pt idx="0">
                  <c:v>4</c:v>
                </c:pt>
                <c:pt idx="1">
                  <c:v>4</c:v>
                </c:pt>
                <c:pt idx="2">
                  <c:v>5</c:v>
                </c:pt>
                <c:pt idx="3">
                  <c:v>3</c:v>
                </c:pt>
                <c:pt idx="4">
                  <c:v>3</c:v>
                </c:pt>
                <c:pt idx="5">
                  <c:v>2</c:v>
                </c:pt>
                <c:pt idx="6">
                  <c:v>3</c:v>
                </c:pt>
                <c:pt idx="7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68B-427C-8DEB-E61D2C64D7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19171600"/>
        <c:axId val="519169632"/>
      </c:lineChart>
      <c:catAx>
        <c:axId val="519171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9169632"/>
        <c:crosses val="autoZero"/>
        <c:auto val="1"/>
        <c:lblAlgn val="ctr"/>
        <c:lblOffset val="100"/>
        <c:noMultiLvlLbl val="0"/>
      </c:catAx>
      <c:valAx>
        <c:axId val="5191696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Mean uncertainty influence score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91716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0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'Infl factors w. pedigree'!$N$5</c:f>
              <c:strCache>
                <c:ptCount val="1"/>
                <c:pt idx="0">
                  <c:v>Mean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'Infl factors w. pedigree'!$B$14:$C$16</c:f>
              <c:multiLvlStrCache>
                <c:ptCount val="3"/>
                <c:lvl>
                  <c:pt idx="0">
                    <c:v>9</c:v>
                  </c:pt>
                  <c:pt idx="1">
                    <c:v>10</c:v>
                  </c:pt>
                  <c:pt idx="2">
                    <c:v>11</c:v>
                  </c:pt>
                </c:lvl>
                <c:lvl>
                  <c:pt idx="0">
                    <c:v>Affordability</c:v>
                  </c:pt>
                </c:lvl>
              </c:multiLvlStrCache>
            </c:multiLvlStrRef>
          </c:cat>
          <c:val>
            <c:numRef>
              <c:f>'Infl factors w. pedigree'!$N$14:$N$16</c:f>
              <c:numCache>
                <c:formatCode>0.00</c:formatCode>
                <c:ptCount val="3"/>
                <c:pt idx="0">
                  <c:v>5.666666666666667</c:v>
                </c:pt>
                <c:pt idx="1">
                  <c:v>5.666666666666667</c:v>
                </c:pt>
                <c:pt idx="2">
                  <c:v>6.1111111111111107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EED-4B60-8680-C8746915DB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19171600"/>
        <c:axId val="519169632"/>
      </c:barChart>
      <c:lineChart>
        <c:grouping val="standard"/>
        <c:varyColors val="0"/>
        <c:ser>
          <c:idx val="1"/>
          <c:order val="1"/>
          <c:tx>
            <c:v>Level of agreement between respondents</c:v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val>
            <c:numRef>
              <c:f>'Infl factors w. pedigree'!$P$14:$P$16</c:f>
              <c:numCache>
                <c:formatCode>General</c:formatCode>
                <c:ptCount val="3"/>
                <c:pt idx="0">
                  <c:v>4</c:v>
                </c:pt>
                <c:pt idx="1">
                  <c:v>3</c:v>
                </c:pt>
                <c:pt idx="2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EED-4B60-8680-C8746915DB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19171600"/>
        <c:axId val="519169632"/>
      </c:lineChart>
      <c:catAx>
        <c:axId val="519171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9169632"/>
        <c:crosses val="autoZero"/>
        <c:auto val="1"/>
        <c:lblAlgn val="ctr"/>
        <c:lblOffset val="100"/>
        <c:noMultiLvlLbl val="0"/>
      </c:catAx>
      <c:valAx>
        <c:axId val="5191696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Mean uncertainty influence score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91716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0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'Infl factors w. pedigree'!$N$5</c:f>
              <c:strCache>
                <c:ptCount val="1"/>
                <c:pt idx="0">
                  <c:v>Mean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multiLvlStrRef>
              <c:f>'Infl factors w. pedigree'!$B$17:$C$22</c:f>
              <c:multiLvlStrCache>
                <c:ptCount val="6"/>
                <c:lvl>
                  <c:pt idx="0">
                    <c:v>12</c:v>
                  </c:pt>
                  <c:pt idx="1">
                    <c:v>13</c:v>
                  </c:pt>
                  <c:pt idx="2">
                    <c:v>14</c:v>
                  </c:pt>
                  <c:pt idx="3">
                    <c:v>15</c:v>
                  </c:pt>
                  <c:pt idx="4">
                    <c:v>16</c:v>
                  </c:pt>
                  <c:pt idx="5">
                    <c:v>17</c:v>
                  </c:pt>
                </c:lvl>
                <c:lvl>
                  <c:pt idx="0">
                    <c:v>Maintainer performance</c:v>
                  </c:pt>
                </c:lvl>
              </c:multiLvlStrCache>
            </c:multiLvlStrRef>
          </c:cat>
          <c:val>
            <c:numRef>
              <c:f>'Infl factors w. pedigree'!$N$17:$N$22</c:f>
              <c:numCache>
                <c:formatCode>0.00</c:formatCode>
                <c:ptCount val="6"/>
                <c:pt idx="0">
                  <c:v>6.1111111111111107</c:v>
                </c:pt>
                <c:pt idx="1">
                  <c:v>5.8888888888888893</c:v>
                </c:pt>
                <c:pt idx="2">
                  <c:v>5.8888888888888893</c:v>
                </c:pt>
                <c:pt idx="3">
                  <c:v>4.8888888888888893</c:v>
                </c:pt>
                <c:pt idx="4">
                  <c:v>6.1111111111111107</c:v>
                </c:pt>
                <c:pt idx="5">
                  <c:v>4.7777777777777777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825-4015-8598-50FA210D75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19171600"/>
        <c:axId val="519169632"/>
      </c:barChart>
      <c:lineChart>
        <c:grouping val="standard"/>
        <c:varyColors val="0"/>
        <c:ser>
          <c:idx val="1"/>
          <c:order val="1"/>
          <c:tx>
            <c:v>Level of agreement between respondents</c:v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val>
            <c:numRef>
              <c:f>'Infl factors w. pedigree'!$P$17:$P$22</c:f>
              <c:numCache>
                <c:formatCode>General</c:formatCode>
                <c:ptCount val="6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3</c:v>
                </c:pt>
                <c:pt idx="4">
                  <c:v>3</c:v>
                </c:pt>
                <c:pt idx="5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825-4015-8598-50FA210D75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19171600"/>
        <c:axId val="519169632"/>
      </c:lineChart>
      <c:catAx>
        <c:axId val="519171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9169632"/>
        <c:crosses val="autoZero"/>
        <c:auto val="1"/>
        <c:lblAlgn val="ctr"/>
        <c:lblOffset val="100"/>
        <c:noMultiLvlLbl val="0"/>
      </c:catAx>
      <c:valAx>
        <c:axId val="5191696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Mean uncertainty influence score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91716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0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'Infl factors w. pedigree'!$N$5</c:f>
              <c:strCache>
                <c:ptCount val="1"/>
                <c:pt idx="0">
                  <c:v>Mean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'Infl factors w. pedigree'!$B$23:$C$30</c:f>
              <c:multiLvlStrCache>
                <c:ptCount val="8"/>
                <c:lvl>
                  <c:pt idx="0">
                    <c:v>18</c:v>
                  </c:pt>
                  <c:pt idx="1">
                    <c:v>19</c:v>
                  </c:pt>
                  <c:pt idx="2">
                    <c:v>20</c:v>
                  </c:pt>
                  <c:pt idx="3">
                    <c:v>21</c:v>
                  </c:pt>
                  <c:pt idx="4">
                    <c:v>22</c:v>
                  </c:pt>
                  <c:pt idx="5">
                    <c:v>23</c:v>
                  </c:pt>
                  <c:pt idx="6">
                    <c:v>24</c:v>
                  </c:pt>
                  <c:pt idx="7">
                    <c:v>25</c:v>
                  </c:pt>
                </c:lvl>
                <c:lvl>
                  <c:pt idx="0">
                    <c:v>Operational</c:v>
                  </c:pt>
                </c:lvl>
              </c:multiLvlStrCache>
            </c:multiLvlStrRef>
          </c:cat>
          <c:val>
            <c:numRef>
              <c:f>'Infl factors w. pedigree'!$N$23:$N$30</c:f>
              <c:numCache>
                <c:formatCode>0.00</c:formatCode>
                <c:ptCount val="8"/>
                <c:pt idx="0">
                  <c:v>6.5555555555555554</c:v>
                </c:pt>
                <c:pt idx="1">
                  <c:v>5.5555555555555554</c:v>
                </c:pt>
                <c:pt idx="2">
                  <c:v>5.8888888888888893</c:v>
                </c:pt>
                <c:pt idx="3">
                  <c:v>5.2222222222222223</c:v>
                </c:pt>
                <c:pt idx="4">
                  <c:v>5.4444444444444446</c:v>
                </c:pt>
                <c:pt idx="5">
                  <c:v>4.1111111111111107</c:v>
                </c:pt>
                <c:pt idx="6">
                  <c:v>5</c:v>
                </c:pt>
                <c:pt idx="7">
                  <c:v>4.666666666666667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73-4B18-98D4-25BD807B01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19171600"/>
        <c:axId val="519169632"/>
      </c:barChart>
      <c:lineChart>
        <c:grouping val="standard"/>
        <c:varyColors val="0"/>
        <c:ser>
          <c:idx val="1"/>
          <c:order val="1"/>
          <c:tx>
            <c:v>Level of agreement between respondents</c:v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val>
            <c:numRef>
              <c:f>'Infl factors w. pedigree'!$P$23:$P$30</c:f>
              <c:numCache>
                <c:formatCode>General</c:formatCode>
                <c:ptCount val="8"/>
                <c:pt idx="0">
                  <c:v>2</c:v>
                </c:pt>
                <c:pt idx="1">
                  <c:v>4</c:v>
                </c:pt>
                <c:pt idx="2">
                  <c:v>3</c:v>
                </c:pt>
                <c:pt idx="3">
                  <c:v>3</c:v>
                </c:pt>
                <c:pt idx="4">
                  <c:v>3</c:v>
                </c:pt>
                <c:pt idx="5">
                  <c:v>4</c:v>
                </c:pt>
                <c:pt idx="6">
                  <c:v>4</c:v>
                </c:pt>
                <c:pt idx="7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473-4B18-98D4-25BD807B01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19171600"/>
        <c:axId val="519169632"/>
      </c:lineChart>
      <c:catAx>
        <c:axId val="519171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9169632"/>
        <c:crosses val="autoZero"/>
        <c:auto val="1"/>
        <c:lblAlgn val="ctr"/>
        <c:lblOffset val="100"/>
        <c:noMultiLvlLbl val="0"/>
      </c:catAx>
      <c:valAx>
        <c:axId val="5191696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Mean uncertainty influence score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91716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0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7"/>
        <c:axId val="799032320"/>
        <c:axId val="799022152"/>
      </c:barChart>
      <c:catAx>
        <c:axId val="79903232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Respondent number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99022152"/>
        <c:crosses val="autoZero"/>
        <c:auto val="1"/>
        <c:lblAlgn val="ctr"/>
        <c:lblOffset val="100"/>
        <c:noMultiLvlLbl val="0"/>
      </c:catAx>
      <c:valAx>
        <c:axId val="7990221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Mean score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990323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'Infl factors w. pedigree'!$N$5</c:f>
              <c:strCache>
                <c:ptCount val="1"/>
                <c:pt idx="0">
                  <c:v>Mean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multiLvlStrRef>
              <c:f>'Infl factors w. pedigree'!$B$31:$C$38</c:f>
              <c:multiLvlStrCache>
                <c:ptCount val="7"/>
                <c:lvl>
                  <c:pt idx="0">
                    <c:v>26</c:v>
                  </c:pt>
                  <c:pt idx="1">
                    <c:v>27</c:v>
                  </c:pt>
                  <c:pt idx="2">
                    <c:v>28</c:v>
                  </c:pt>
                  <c:pt idx="3">
                    <c:v>29</c:v>
                  </c:pt>
                  <c:pt idx="4">
                    <c:v>30</c:v>
                  </c:pt>
                  <c:pt idx="5">
                    <c:v>31</c:v>
                  </c:pt>
                  <c:pt idx="6">
                    <c:v>32</c:v>
                  </c:pt>
                </c:lvl>
                <c:lvl>
                  <c:pt idx="0">
                    <c:v>Engineering</c:v>
                  </c:pt>
                </c:lvl>
              </c:multiLvlStrCache>
            </c:multiLvlStrRef>
          </c:cat>
          <c:val>
            <c:numRef>
              <c:f>'Infl factors w. pedigree'!$N$31:$N$37</c:f>
              <c:numCache>
                <c:formatCode>0.00</c:formatCode>
                <c:ptCount val="7"/>
                <c:pt idx="0">
                  <c:v>4.666666666666667</c:v>
                </c:pt>
                <c:pt idx="1">
                  <c:v>5.4444444444444446</c:v>
                </c:pt>
                <c:pt idx="2">
                  <c:v>4.5555555555555554</c:v>
                </c:pt>
                <c:pt idx="3">
                  <c:v>6.1111111111111107</c:v>
                </c:pt>
                <c:pt idx="4">
                  <c:v>5.2222222222222223</c:v>
                </c:pt>
                <c:pt idx="5">
                  <c:v>4.7777777777777777</c:v>
                </c:pt>
                <c:pt idx="6">
                  <c:v>5.666666666666667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F84-4EE4-A129-0E03A0CDD6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19171600"/>
        <c:axId val="519169632"/>
      </c:barChart>
      <c:lineChart>
        <c:grouping val="standard"/>
        <c:varyColors val="0"/>
        <c:ser>
          <c:idx val="1"/>
          <c:order val="1"/>
          <c:tx>
            <c:v>Level of agreement between respondents</c:v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val>
            <c:numRef>
              <c:f>'Infl factors w. pedigree'!$P$31:$P$37</c:f>
              <c:numCache>
                <c:formatCode>General</c:formatCode>
                <c:ptCount val="7"/>
                <c:pt idx="0">
                  <c:v>5</c:v>
                </c:pt>
                <c:pt idx="1">
                  <c:v>3</c:v>
                </c:pt>
                <c:pt idx="2">
                  <c:v>4</c:v>
                </c:pt>
                <c:pt idx="3">
                  <c:v>2</c:v>
                </c:pt>
                <c:pt idx="4">
                  <c:v>3</c:v>
                </c:pt>
                <c:pt idx="5">
                  <c:v>2</c:v>
                </c:pt>
                <c:pt idx="6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F84-4EE4-A129-0E03A0CDD6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19171600"/>
        <c:axId val="519169632"/>
      </c:lineChart>
      <c:catAx>
        <c:axId val="519171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9169632"/>
        <c:crosses val="autoZero"/>
        <c:auto val="1"/>
        <c:lblAlgn val="ctr"/>
        <c:lblOffset val="100"/>
        <c:noMultiLvlLbl val="0"/>
      </c:catAx>
      <c:valAx>
        <c:axId val="5191696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Mean uncertainty influence score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91716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0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'Infl factors w. pedigree'!$Q$39</c:f>
              <c:strCache>
                <c:ptCount val="1"/>
                <c:pt idx="0">
                  <c:v>Mean cat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1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B734-4625-B44D-C6D4CFB3CE99}"/>
              </c:ext>
            </c:extLst>
          </c:dPt>
          <c:dPt>
            <c:idx val="2"/>
            <c:invertIfNegative val="0"/>
            <c:bubble3D val="0"/>
            <c:spPr>
              <a:solidFill>
                <a:srgbClr val="00206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B734-4625-B44D-C6D4CFB3CE99}"/>
              </c:ext>
            </c:extLst>
          </c:dPt>
          <c:dPt>
            <c:idx val="3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B734-4625-B44D-C6D4CFB3CE99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B734-4625-B44D-C6D4CFB3CE99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'Infl factors w. pedigree'!$Q$40:$Q$44</c:f>
              <c:strCache>
                <c:ptCount val="5"/>
                <c:pt idx="0">
                  <c:v>Commercial</c:v>
                </c:pt>
                <c:pt idx="1">
                  <c:v>Affordability</c:v>
                </c:pt>
                <c:pt idx="2">
                  <c:v>Maintainer performance</c:v>
                </c:pt>
                <c:pt idx="3">
                  <c:v>Operational</c:v>
                </c:pt>
                <c:pt idx="4">
                  <c:v>Engineering</c:v>
                </c:pt>
              </c:strCache>
            </c:strRef>
          </c:cat>
          <c:val>
            <c:numRef>
              <c:f>'Infl factors w. pedigree'!$R$40:$R$44</c:f>
              <c:numCache>
                <c:formatCode>0.00</c:formatCode>
                <c:ptCount val="5"/>
                <c:pt idx="0">
                  <c:v>4.9861111111111116</c:v>
                </c:pt>
                <c:pt idx="1">
                  <c:v>5.814814814814814</c:v>
                </c:pt>
                <c:pt idx="2">
                  <c:v>5.6111111111111107</c:v>
                </c:pt>
                <c:pt idx="3">
                  <c:v>5.3055555555555545</c:v>
                </c:pt>
                <c:pt idx="4">
                  <c:v>5.2063492063492065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734-4625-B44D-C6D4CFB3CE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538696568"/>
        <c:axId val="538693616"/>
      </c:barChart>
      <c:lineChart>
        <c:grouping val="standard"/>
        <c:varyColors val="0"/>
        <c:ser>
          <c:idx val="1"/>
          <c:order val="1"/>
          <c:tx>
            <c:v>Level of disagreement between respondents</c:v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val>
            <c:numRef>
              <c:f>('Infl factors w. pedigree'!$Q$13,'Infl factors w. pedigree'!$Q$16,'Infl factors w. pedigree'!$Q$22,'Infl factors w. pedigree'!$Q$30,'Infl factors w. pedigree'!$Q$37)</c:f>
              <c:numCache>
                <c:formatCode>0.00</c:formatCode>
                <c:ptCount val="5"/>
                <c:pt idx="0">
                  <c:v>3.5</c:v>
                </c:pt>
                <c:pt idx="1">
                  <c:v>3.3333333333333335</c:v>
                </c:pt>
                <c:pt idx="2">
                  <c:v>2.1666666666666665</c:v>
                </c:pt>
                <c:pt idx="3">
                  <c:v>3.25</c:v>
                </c:pt>
                <c:pt idx="4">
                  <c:v>3.1428571428571428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B734-4625-B44D-C6D4CFB3CE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8696568"/>
        <c:axId val="538693616"/>
      </c:lineChart>
      <c:catAx>
        <c:axId val="538696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38693616"/>
        <c:crosses val="autoZero"/>
        <c:auto val="1"/>
        <c:lblAlgn val="ctr"/>
        <c:lblOffset val="100"/>
        <c:noMultiLvlLbl val="0"/>
      </c:catAx>
      <c:valAx>
        <c:axId val="5386936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Mean uncertainty influence score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386965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0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'Infl factors w. pedigree'!$AC$5</c:f>
              <c:strCache>
                <c:ptCount val="1"/>
                <c:pt idx="0">
                  <c:v>Mean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8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1-0416-4ABC-BD60-6FE25ADFB06D}"/>
              </c:ext>
            </c:extLst>
          </c:dPt>
          <c:dPt>
            <c:idx val="9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3-0416-4ABC-BD60-6FE25ADFB06D}"/>
              </c:ext>
            </c:extLst>
          </c:dPt>
          <c:dPt>
            <c:idx val="10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5-0416-4ABC-BD60-6FE25ADFB06D}"/>
              </c:ext>
            </c:extLst>
          </c:dPt>
          <c:dPt>
            <c:idx val="11"/>
            <c:invertIfNegative val="0"/>
            <c:bubble3D val="0"/>
            <c:spPr>
              <a:solidFill>
                <a:srgbClr val="00206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8-0416-4ABC-BD60-6FE25ADFB06D}"/>
              </c:ext>
            </c:extLst>
          </c:dPt>
          <c:dPt>
            <c:idx val="12"/>
            <c:invertIfNegative val="0"/>
            <c:bubble3D val="0"/>
            <c:spPr>
              <a:solidFill>
                <a:srgbClr val="00206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E-0416-4ABC-BD60-6FE25ADFB06D}"/>
              </c:ext>
            </c:extLst>
          </c:dPt>
          <c:dPt>
            <c:idx val="13"/>
            <c:invertIfNegative val="0"/>
            <c:bubble3D val="0"/>
            <c:spPr>
              <a:solidFill>
                <a:srgbClr val="00206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41-0416-4ABC-BD60-6FE25ADFB06D}"/>
              </c:ext>
            </c:extLst>
          </c:dPt>
          <c:dPt>
            <c:idx val="14"/>
            <c:invertIfNegative val="0"/>
            <c:bubble3D val="0"/>
            <c:spPr>
              <a:solidFill>
                <a:srgbClr val="00206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44-0416-4ABC-BD60-6FE25ADFB06D}"/>
              </c:ext>
            </c:extLst>
          </c:dPt>
          <c:dPt>
            <c:idx val="15"/>
            <c:invertIfNegative val="0"/>
            <c:bubble3D val="0"/>
            <c:spPr>
              <a:solidFill>
                <a:srgbClr val="00206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49-0416-4ABC-BD60-6FE25ADFB06D}"/>
              </c:ext>
            </c:extLst>
          </c:dPt>
          <c:dPt>
            <c:idx val="16"/>
            <c:invertIfNegative val="0"/>
            <c:bubble3D val="0"/>
            <c:spPr>
              <a:solidFill>
                <a:srgbClr val="00206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4C-0416-4ABC-BD60-6FE25ADFB06D}"/>
              </c:ext>
            </c:extLst>
          </c:dPt>
          <c:dPt>
            <c:idx val="17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7-0416-4ABC-BD60-6FE25ADFB06D}"/>
              </c:ext>
            </c:extLst>
          </c:dPt>
          <c:dPt>
            <c:idx val="18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9-0416-4ABC-BD60-6FE25ADFB06D}"/>
              </c:ext>
            </c:extLst>
          </c:dPt>
          <c:dPt>
            <c:idx val="19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B-0416-4ABC-BD60-6FE25ADFB06D}"/>
              </c:ext>
            </c:extLst>
          </c:dPt>
          <c:dPt>
            <c:idx val="20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D-0416-4ABC-BD60-6FE25ADFB06D}"/>
              </c:ext>
            </c:extLst>
          </c:dPt>
          <c:dPt>
            <c:idx val="21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F-0416-4ABC-BD60-6FE25ADFB06D}"/>
              </c:ext>
            </c:extLst>
          </c:dPt>
          <c:dPt>
            <c:idx val="22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1-0416-4ABC-BD60-6FE25ADFB06D}"/>
              </c:ext>
            </c:extLst>
          </c:dPt>
          <c:dPt>
            <c:idx val="23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3-0416-4ABC-BD60-6FE25ADFB06D}"/>
              </c:ext>
            </c:extLst>
          </c:dPt>
          <c:dPt>
            <c:idx val="24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5-0416-4ABC-BD60-6FE25ADFB06D}"/>
              </c:ext>
            </c:extLst>
          </c:dPt>
          <c:dPt>
            <c:idx val="25"/>
            <c:invertIfNegative val="0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7-0416-4ABC-BD60-6FE25ADFB06D}"/>
              </c:ext>
            </c:extLst>
          </c:dPt>
          <c:dPt>
            <c:idx val="26"/>
            <c:invertIfNegative val="0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9-0416-4ABC-BD60-6FE25ADFB06D}"/>
              </c:ext>
            </c:extLst>
          </c:dPt>
          <c:dPt>
            <c:idx val="27"/>
            <c:invertIfNegative val="0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B-0416-4ABC-BD60-6FE25ADFB06D}"/>
              </c:ext>
            </c:extLst>
          </c:dPt>
          <c:dPt>
            <c:idx val="28"/>
            <c:invertIfNegative val="0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D-0416-4ABC-BD60-6FE25ADFB06D}"/>
              </c:ext>
            </c:extLst>
          </c:dPt>
          <c:dPt>
            <c:idx val="29"/>
            <c:invertIfNegative val="0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F-0416-4ABC-BD60-6FE25ADFB06D}"/>
              </c:ext>
            </c:extLst>
          </c:dPt>
          <c:dPt>
            <c:idx val="30"/>
            <c:invertIfNegative val="0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1-0416-4ABC-BD60-6FE25ADFB06D}"/>
              </c:ext>
            </c:extLst>
          </c:dPt>
          <c:dPt>
            <c:idx val="31"/>
            <c:invertIfNegative val="0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3-0416-4ABC-BD60-6FE25ADFB06D}"/>
              </c:ext>
            </c:extLst>
          </c:dPt>
          <c:cat>
            <c:multiLvlStrRef>
              <c:f>'Infl factors w. pedigree'!$B$6:$C$37</c:f>
              <c:multiLvlStrCache>
                <c:ptCount val="32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13</c:v>
                  </c:pt>
                  <c:pt idx="13">
                    <c:v>14</c:v>
                  </c:pt>
                  <c:pt idx="14">
                    <c:v>15</c:v>
                  </c:pt>
                  <c:pt idx="15">
                    <c:v>16</c:v>
                  </c:pt>
                  <c:pt idx="16">
                    <c:v>17</c:v>
                  </c:pt>
                  <c:pt idx="17">
                    <c:v>18</c:v>
                  </c:pt>
                  <c:pt idx="18">
                    <c:v>19</c:v>
                  </c:pt>
                  <c:pt idx="19">
                    <c:v>20</c:v>
                  </c:pt>
                  <c:pt idx="20">
                    <c:v>21</c:v>
                  </c:pt>
                  <c:pt idx="21">
                    <c:v>22</c:v>
                  </c:pt>
                  <c:pt idx="22">
                    <c:v>23</c:v>
                  </c:pt>
                  <c:pt idx="23">
                    <c:v>24</c:v>
                  </c:pt>
                  <c:pt idx="24">
                    <c:v>25</c:v>
                  </c:pt>
                  <c:pt idx="25">
                    <c:v>26</c:v>
                  </c:pt>
                  <c:pt idx="26">
                    <c:v>27</c:v>
                  </c:pt>
                  <c:pt idx="27">
                    <c:v>28</c:v>
                  </c:pt>
                  <c:pt idx="28">
                    <c:v>29</c:v>
                  </c:pt>
                  <c:pt idx="29">
                    <c:v>30</c:v>
                  </c:pt>
                  <c:pt idx="30">
                    <c:v>31</c:v>
                  </c:pt>
                  <c:pt idx="31">
                    <c:v>32</c:v>
                  </c:pt>
                </c:lvl>
                <c:lvl>
                  <c:pt idx="0">
                    <c:v>Commercial</c:v>
                  </c:pt>
                  <c:pt idx="8">
                    <c:v>Affordability</c:v>
                  </c:pt>
                  <c:pt idx="11">
                    <c:v>Maintainer performance</c:v>
                  </c:pt>
                  <c:pt idx="17">
                    <c:v>Operational</c:v>
                  </c:pt>
                  <c:pt idx="25">
                    <c:v>Engineering</c:v>
                  </c:pt>
                </c:lvl>
              </c:multiLvlStrCache>
            </c:multiLvlStrRef>
          </c:cat>
          <c:val>
            <c:numRef>
              <c:f>'Infl factors w. pedigree'!$AC$6:$AC$37</c:f>
              <c:numCache>
                <c:formatCode>0.00</c:formatCode>
                <c:ptCount val="32"/>
                <c:pt idx="0">
                  <c:v>2.7183481505308134</c:v>
                </c:pt>
                <c:pt idx="1">
                  <c:v>2.4384715130071171</c:v>
                </c:pt>
                <c:pt idx="2">
                  <c:v>2.5162023299484604</c:v>
                </c:pt>
                <c:pt idx="3">
                  <c:v>3.4307586702942743</c:v>
                </c:pt>
                <c:pt idx="4">
                  <c:v>3.2577252549079181</c:v>
                </c:pt>
                <c:pt idx="5">
                  <c:v>3.0934456164177533</c:v>
                </c:pt>
                <c:pt idx="6">
                  <c:v>4.1030163867779983</c:v>
                </c:pt>
                <c:pt idx="7">
                  <c:v>3.6409111757408983</c:v>
                </c:pt>
                <c:pt idx="8">
                  <c:v>3.2645476659563348</c:v>
                </c:pt>
                <c:pt idx="9">
                  <c:v>3.4074522015079296</c:v>
                </c:pt>
                <c:pt idx="10">
                  <c:v>3.8671658796426605</c:v>
                </c:pt>
                <c:pt idx="11">
                  <c:v>3.6420163376355337</c:v>
                </c:pt>
                <c:pt idx="12">
                  <c:v>3.906714014686151</c:v>
                </c:pt>
                <c:pt idx="13">
                  <c:v>4.0014002251618352</c:v>
                </c:pt>
                <c:pt idx="14">
                  <c:v>2.9389778293029067</c:v>
                </c:pt>
                <c:pt idx="15">
                  <c:v>3.5838158378715659</c:v>
                </c:pt>
                <c:pt idx="16">
                  <c:v>2.8870518542345174</c:v>
                </c:pt>
                <c:pt idx="17">
                  <c:v>4.1185392625949904</c:v>
                </c:pt>
                <c:pt idx="18">
                  <c:v>3.1667690542458349</c:v>
                </c:pt>
                <c:pt idx="19">
                  <c:v>3.5111559052116328</c:v>
                </c:pt>
                <c:pt idx="20">
                  <c:v>3.2360404874336766</c:v>
                </c:pt>
                <c:pt idx="21">
                  <c:v>3.4454849318781213</c:v>
                </c:pt>
                <c:pt idx="22">
                  <c:v>2.5953437440898743</c:v>
                </c:pt>
                <c:pt idx="23">
                  <c:v>3.0799095555287508</c:v>
                </c:pt>
                <c:pt idx="24">
                  <c:v>2.8573601264003745</c:v>
                </c:pt>
                <c:pt idx="25">
                  <c:v>2.9548007719834346</c:v>
                </c:pt>
                <c:pt idx="26">
                  <c:v>3.5205620185341551</c:v>
                </c:pt>
                <c:pt idx="27">
                  <c:v>2.5984047313768683</c:v>
                </c:pt>
                <c:pt idx="28">
                  <c:v>3.9985658665380033</c:v>
                </c:pt>
                <c:pt idx="29">
                  <c:v>3.3295007051199002</c:v>
                </c:pt>
                <c:pt idx="30">
                  <c:v>2.9137185209011838</c:v>
                </c:pt>
                <c:pt idx="31">
                  <c:v>3.6916165487992121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4-0416-4ABC-BD60-6FE25ADFB0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7"/>
        <c:axId val="519171600"/>
        <c:axId val="519169632"/>
      </c:barChart>
      <c:lineChart>
        <c:grouping val="standard"/>
        <c:varyColors val="0"/>
        <c:ser>
          <c:idx val="1"/>
          <c:order val="1"/>
          <c:tx>
            <c:v>Level of disagreement between respondents</c:v>
          </c:tx>
          <c:spPr>
            <a:ln w="127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val>
            <c:numRef>
              <c:f>'Infl factors w. pedigree'!$AE$6:$AE$37</c:f>
              <c:numCache>
                <c:formatCode>0.00</c:formatCode>
                <c:ptCount val="32"/>
                <c:pt idx="0">
                  <c:v>3.8350000000000009</c:v>
                </c:pt>
                <c:pt idx="1">
                  <c:v>3.5750000000000011</c:v>
                </c:pt>
                <c:pt idx="2">
                  <c:v>5.7200000000000006</c:v>
                </c:pt>
                <c:pt idx="3">
                  <c:v>8.7100000000000009</c:v>
                </c:pt>
                <c:pt idx="4">
                  <c:v>8.9700000000000024</c:v>
                </c:pt>
                <c:pt idx="5">
                  <c:v>5.4600000000000009</c:v>
                </c:pt>
                <c:pt idx="6">
                  <c:v>9.8150000000000013</c:v>
                </c:pt>
                <c:pt idx="7">
                  <c:v>8.4500000000000011</c:v>
                </c:pt>
                <c:pt idx="8">
                  <c:v>4.0714285714285712</c:v>
                </c:pt>
                <c:pt idx="9">
                  <c:v>4.9400000000000013</c:v>
                </c:pt>
                <c:pt idx="10">
                  <c:v>8.1900000000000013</c:v>
                </c:pt>
                <c:pt idx="11">
                  <c:v>6.3050000000000015</c:v>
                </c:pt>
                <c:pt idx="12">
                  <c:v>10.075000000000001</c:v>
                </c:pt>
                <c:pt idx="13">
                  <c:v>10.075000000000001</c:v>
                </c:pt>
                <c:pt idx="14">
                  <c:v>4.2714285714285714</c:v>
                </c:pt>
                <c:pt idx="15">
                  <c:v>4.6800000000000006</c:v>
                </c:pt>
                <c:pt idx="16">
                  <c:v>5.2000000000000011</c:v>
                </c:pt>
                <c:pt idx="17">
                  <c:v>8.1900000000000013</c:v>
                </c:pt>
                <c:pt idx="18">
                  <c:v>4.0114285714285707</c:v>
                </c:pt>
                <c:pt idx="19">
                  <c:v>4.9400000000000013</c:v>
                </c:pt>
                <c:pt idx="20">
                  <c:v>5.2000000000000011</c:v>
                </c:pt>
                <c:pt idx="21">
                  <c:v>6.5650000000000013</c:v>
                </c:pt>
                <c:pt idx="22">
                  <c:v>7.0850000000000017</c:v>
                </c:pt>
                <c:pt idx="23">
                  <c:v>6.825000000000002</c:v>
                </c:pt>
                <c:pt idx="24">
                  <c:v>5.2000000000000011</c:v>
                </c:pt>
                <c:pt idx="25">
                  <c:v>8.821428571428573</c:v>
                </c:pt>
                <c:pt idx="26">
                  <c:v>7.0850000000000017</c:v>
                </c:pt>
                <c:pt idx="27">
                  <c:v>3.3428571428571434</c:v>
                </c:pt>
                <c:pt idx="28">
                  <c:v>9.8150000000000013</c:v>
                </c:pt>
                <c:pt idx="29">
                  <c:v>6.825000000000002</c:v>
                </c:pt>
                <c:pt idx="30">
                  <c:v>5.4600000000000009</c:v>
                </c:pt>
                <c:pt idx="31">
                  <c:v>8.7100000000000009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5-0416-4ABC-BD60-6FE25ADFB0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46025648"/>
        <c:axId val="946022368"/>
      </c:lineChart>
      <c:catAx>
        <c:axId val="519171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9169632"/>
        <c:crosses val="autoZero"/>
        <c:auto val="1"/>
        <c:lblAlgn val="ctr"/>
        <c:lblOffset val="100"/>
        <c:noMultiLvlLbl val="0"/>
      </c:catAx>
      <c:valAx>
        <c:axId val="5191696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Mean uncertainty influence score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9171600"/>
        <c:crosses val="autoZero"/>
        <c:crossBetween val="between"/>
      </c:valAx>
      <c:valAx>
        <c:axId val="946022368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Level of disagreement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6025648"/>
        <c:crosses val="max"/>
        <c:crossBetween val="between"/>
      </c:valAx>
      <c:catAx>
        <c:axId val="946025648"/>
        <c:scaling>
          <c:orientation val="minMax"/>
        </c:scaling>
        <c:delete val="1"/>
        <c:axPos val="b"/>
        <c:majorTickMark val="out"/>
        <c:minorTickMark val="none"/>
        <c:tickLblPos val="nextTo"/>
        <c:crossAx val="946022368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0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'Infl factors w. pedigree'!$N$5</c:f>
              <c:strCache>
                <c:ptCount val="1"/>
                <c:pt idx="0">
                  <c:v>Mean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'Infl factors w. pedigree'!$B$6:$C$38</c:f>
              <c:multiLvlStrCache>
                <c:ptCount val="32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13</c:v>
                  </c:pt>
                  <c:pt idx="13">
                    <c:v>14</c:v>
                  </c:pt>
                  <c:pt idx="14">
                    <c:v>15</c:v>
                  </c:pt>
                  <c:pt idx="15">
                    <c:v>16</c:v>
                  </c:pt>
                  <c:pt idx="16">
                    <c:v>17</c:v>
                  </c:pt>
                  <c:pt idx="17">
                    <c:v>18</c:v>
                  </c:pt>
                  <c:pt idx="18">
                    <c:v>19</c:v>
                  </c:pt>
                  <c:pt idx="19">
                    <c:v>20</c:v>
                  </c:pt>
                  <c:pt idx="20">
                    <c:v>21</c:v>
                  </c:pt>
                  <c:pt idx="21">
                    <c:v>22</c:v>
                  </c:pt>
                  <c:pt idx="22">
                    <c:v>23</c:v>
                  </c:pt>
                  <c:pt idx="23">
                    <c:v>24</c:v>
                  </c:pt>
                  <c:pt idx="24">
                    <c:v>25</c:v>
                  </c:pt>
                  <c:pt idx="25">
                    <c:v>26</c:v>
                  </c:pt>
                  <c:pt idx="26">
                    <c:v>27</c:v>
                  </c:pt>
                  <c:pt idx="27">
                    <c:v>28</c:v>
                  </c:pt>
                  <c:pt idx="28">
                    <c:v>29</c:v>
                  </c:pt>
                  <c:pt idx="29">
                    <c:v>30</c:v>
                  </c:pt>
                  <c:pt idx="30">
                    <c:v>31</c:v>
                  </c:pt>
                  <c:pt idx="31">
                    <c:v>32</c:v>
                  </c:pt>
                </c:lvl>
                <c:lvl>
                  <c:pt idx="0">
                    <c:v>Commercial</c:v>
                  </c:pt>
                  <c:pt idx="8">
                    <c:v>Affordability</c:v>
                  </c:pt>
                  <c:pt idx="11">
                    <c:v>Maintainer performance</c:v>
                  </c:pt>
                  <c:pt idx="17">
                    <c:v>Operational</c:v>
                  </c:pt>
                  <c:pt idx="25">
                    <c:v>Engineering</c:v>
                  </c:pt>
                </c:lvl>
              </c:multiLvlStrCache>
            </c:multiLvlStrRef>
          </c:cat>
          <c:val>
            <c:numRef>
              <c:f>'Infl factors w. pedigree'!$AH$6:$AH$37</c:f>
              <c:numCache>
                <c:formatCode>0.00</c:formatCode>
                <c:ptCount val="32"/>
                <c:pt idx="0">
                  <c:v>2.5000000000000004</c:v>
                </c:pt>
                <c:pt idx="1">
                  <c:v>2.0000000000000004</c:v>
                </c:pt>
                <c:pt idx="2">
                  <c:v>2.0000000000000004</c:v>
                </c:pt>
                <c:pt idx="3">
                  <c:v>2.1666666666666674</c:v>
                </c:pt>
                <c:pt idx="4">
                  <c:v>3.0000000000000009</c:v>
                </c:pt>
                <c:pt idx="5">
                  <c:v>3.0000000000000009</c:v>
                </c:pt>
                <c:pt idx="6">
                  <c:v>3.0000000000000009</c:v>
                </c:pt>
                <c:pt idx="7">
                  <c:v>3.0000000000000009</c:v>
                </c:pt>
                <c:pt idx="8">
                  <c:v>3.0000000000000009</c:v>
                </c:pt>
                <c:pt idx="9">
                  <c:v>2.6000000000000005</c:v>
                </c:pt>
                <c:pt idx="10">
                  <c:v>3.0333333333333341</c:v>
                </c:pt>
                <c:pt idx="11">
                  <c:v>3.0000000000000009</c:v>
                </c:pt>
                <c:pt idx="12">
                  <c:v>3.0000000000000009</c:v>
                </c:pt>
                <c:pt idx="13">
                  <c:v>3.0000000000000009</c:v>
                </c:pt>
                <c:pt idx="14">
                  <c:v>2.5000000000000004</c:v>
                </c:pt>
                <c:pt idx="15">
                  <c:v>3.0000000000000009</c:v>
                </c:pt>
                <c:pt idx="16">
                  <c:v>2.5000000000000004</c:v>
                </c:pt>
                <c:pt idx="17">
                  <c:v>3.0333333333333341</c:v>
                </c:pt>
                <c:pt idx="18">
                  <c:v>3.0000000000000009</c:v>
                </c:pt>
                <c:pt idx="19">
                  <c:v>3.0333333333333341</c:v>
                </c:pt>
                <c:pt idx="20">
                  <c:v>2.7368421052631584</c:v>
                </c:pt>
                <c:pt idx="21">
                  <c:v>2.7368421052631584</c:v>
                </c:pt>
                <c:pt idx="22">
                  <c:v>1.9696969696969702</c:v>
                </c:pt>
                <c:pt idx="23">
                  <c:v>2.7857142857142856</c:v>
                </c:pt>
                <c:pt idx="24">
                  <c:v>2.2941176470588243</c:v>
                </c:pt>
                <c:pt idx="25">
                  <c:v>2.5000000000000004</c:v>
                </c:pt>
                <c:pt idx="26">
                  <c:v>2.5000000000000004</c:v>
                </c:pt>
                <c:pt idx="27">
                  <c:v>2.0000000000000004</c:v>
                </c:pt>
                <c:pt idx="28">
                  <c:v>3.0000000000000009</c:v>
                </c:pt>
                <c:pt idx="29">
                  <c:v>2.5000000000000004</c:v>
                </c:pt>
                <c:pt idx="30">
                  <c:v>2.5000000000000004</c:v>
                </c:pt>
                <c:pt idx="31">
                  <c:v>3.4210526315789478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0-861B-41F8-82EA-9D3876DC45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7"/>
        <c:axId val="519171600"/>
        <c:axId val="519169632"/>
      </c:barChart>
      <c:lineChart>
        <c:grouping val="standard"/>
        <c:varyColors val="0"/>
        <c:ser>
          <c:idx val="1"/>
          <c:order val="1"/>
          <c:tx>
            <c:v>Level of disagreement between respondents</c:v>
          </c:tx>
          <c:spPr>
            <a:ln w="1270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val>
            <c:numRef>
              <c:f>'Infl factors w. pedigree'!$P$6:$P$37</c:f>
              <c:numCache>
                <c:formatCode>General</c:formatCode>
                <c:ptCount val="32"/>
                <c:pt idx="0">
                  <c:v>4</c:v>
                </c:pt>
                <c:pt idx="1">
                  <c:v>4</c:v>
                </c:pt>
                <c:pt idx="2">
                  <c:v>5</c:v>
                </c:pt>
                <c:pt idx="3">
                  <c:v>3</c:v>
                </c:pt>
                <c:pt idx="4">
                  <c:v>3</c:v>
                </c:pt>
                <c:pt idx="5">
                  <c:v>2</c:v>
                </c:pt>
                <c:pt idx="6">
                  <c:v>3</c:v>
                </c:pt>
                <c:pt idx="7">
                  <c:v>4</c:v>
                </c:pt>
                <c:pt idx="8">
                  <c:v>4</c:v>
                </c:pt>
                <c:pt idx="9">
                  <c:v>3</c:v>
                </c:pt>
                <c:pt idx="10">
                  <c:v>3</c:v>
                </c:pt>
                <c:pt idx="11">
                  <c:v>2</c:v>
                </c:pt>
                <c:pt idx="12">
                  <c:v>2</c:v>
                </c:pt>
                <c:pt idx="13">
                  <c:v>2</c:v>
                </c:pt>
                <c:pt idx="14">
                  <c:v>3</c:v>
                </c:pt>
                <c:pt idx="15">
                  <c:v>3</c:v>
                </c:pt>
                <c:pt idx="16">
                  <c:v>1</c:v>
                </c:pt>
                <c:pt idx="17">
                  <c:v>2</c:v>
                </c:pt>
                <c:pt idx="18">
                  <c:v>4</c:v>
                </c:pt>
                <c:pt idx="19">
                  <c:v>3</c:v>
                </c:pt>
                <c:pt idx="20">
                  <c:v>3</c:v>
                </c:pt>
                <c:pt idx="21">
                  <c:v>3</c:v>
                </c:pt>
                <c:pt idx="22">
                  <c:v>4</c:v>
                </c:pt>
                <c:pt idx="23">
                  <c:v>4</c:v>
                </c:pt>
                <c:pt idx="24">
                  <c:v>3</c:v>
                </c:pt>
                <c:pt idx="25">
                  <c:v>5</c:v>
                </c:pt>
                <c:pt idx="26">
                  <c:v>3</c:v>
                </c:pt>
                <c:pt idx="27">
                  <c:v>4</c:v>
                </c:pt>
                <c:pt idx="28">
                  <c:v>2</c:v>
                </c:pt>
                <c:pt idx="29">
                  <c:v>3</c:v>
                </c:pt>
                <c:pt idx="30">
                  <c:v>2</c:v>
                </c:pt>
                <c:pt idx="31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1-861B-41F8-82EA-9D3876DC45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19171600"/>
        <c:axId val="519169632"/>
      </c:lineChart>
      <c:catAx>
        <c:axId val="519171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9169632"/>
        <c:crosses val="autoZero"/>
        <c:auto val="1"/>
        <c:lblAlgn val="ctr"/>
        <c:lblOffset val="100"/>
        <c:noMultiLvlLbl val="0"/>
      </c:catAx>
      <c:valAx>
        <c:axId val="5191696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Mean uncertainty influence score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91716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0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'Pairwise &amp; AHP'!$O$5</c:f>
              <c:strCache>
                <c:ptCount val="1"/>
                <c:pt idx="0">
                  <c:v>Mean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B5D6-4693-9BB1-8E9ED5917AE9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B5D6-4693-9BB1-8E9ED5917AE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B5D6-4693-9BB1-8E9ED5917AE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B5D6-4693-9BB1-8E9ED5917AE9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B5D6-4693-9BB1-8E9ED5917AE9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B5D6-4693-9BB1-8E9ED5917AE9}"/>
              </c:ext>
            </c:extLst>
          </c:dPt>
          <c:dPt>
            <c:idx val="6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B5D6-4693-9BB1-8E9ED5917AE9}"/>
              </c:ext>
            </c:extLst>
          </c:dPt>
          <c:dPt>
            <c:idx val="7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F-B5D6-4693-9BB1-8E9ED5917AE9}"/>
              </c:ext>
            </c:extLst>
          </c:dPt>
          <c:dPt>
            <c:idx val="8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1-B5D6-4693-9BB1-8E9ED5917AE9}"/>
              </c:ext>
            </c:extLst>
          </c:dPt>
          <c:dPt>
            <c:idx val="9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3-B5D6-4693-9BB1-8E9ED5917AE9}"/>
              </c:ext>
            </c:extLst>
          </c:dPt>
          <c:dPt>
            <c:idx val="10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5-B5D6-4693-9BB1-8E9ED5917AE9}"/>
              </c:ext>
            </c:extLst>
          </c:dPt>
          <c:dPt>
            <c:idx val="17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7-B5D6-4693-9BB1-8E9ED5917AE9}"/>
              </c:ext>
            </c:extLst>
          </c:dPt>
          <c:dPt>
            <c:idx val="18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9-B5D6-4693-9BB1-8E9ED5917AE9}"/>
              </c:ext>
            </c:extLst>
          </c:dPt>
          <c:dPt>
            <c:idx val="19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B-B5D6-4693-9BB1-8E9ED5917AE9}"/>
              </c:ext>
            </c:extLst>
          </c:dPt>
          <c:dPt>
            <c:idx val="20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D-B5D6-4693-9BB1-8E9ED5917AE9}"/>
              </c:ext>
            </c:extLst>
          </c:dPt>
          <c:dPt>
            <c:idx val="21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F-B5D6-4693-9BB1-8E9ED5917AE9}"/>
              </c:ext>
            </c:extLst>
          </c:dPt>
          <c:dPt>
            <c:idx val="22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1-B5D6-4693-9BB1-8E9ED5917AE9}"/>
              </c:ext>
            </c:extLst>
          </c:dPt>
          <c:dPt>
            <c:idx val="23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3-B5D6-4693-9BB1-8E9ED5917AE9}"/>
              </c:ext>
            </c:extLst>
          </c:dPt>
          <c:dPt>
            <c:idx val="24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5-B5D6-4693-9BB1-8E9ED5917AE9}"/>
              </c:ext>
            </c:extLst>
          </c:dPt>
          <c:dPt>
            <c:idx val="25"/>
            <c:invertIfNegative val="0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7-B5D6-4693-9BB1-8E9ED5917AE9}"/>
              </c:ext>
            </c:extLst>
          </c:dPt>
          <c:dPt>
            <c:idx val="26"/>
            <c:invertIfNegative val="0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9-B5D6-4693-9BB1-8E9ED5917AE9}"/>
              </c:ext>
            </c:extLst>
          </c:dPt>
          <c:dPt>
            <c:idx val="27"/>
            <c:invertIfNegative val="0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B-B5D6-4693-9BB1-8E9ED5917AE9}"/>
              </c:ext>
            </c:extLst>
          </c:dPt>
          <c:dPt>
            <c:idx val="28"/>
            <c:invertIfNegative val="0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D-B5D6-4693-9BB1-8E9ED5917AE9}"/>
              </c:ext>
            </c:extLst>
          </c:dPt>
          <c:dPt>
            <c:idx val="29"/>
            <c:invertIfNegative val="0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F-B5D6-4693-9BB1-8E9ED5917AE9}"/>
              </c:ext>
            </c:extLst>
          </c:dPt>
          <c:dPt>
            <c:idx val="30"/>
            <c:invertIfNegative val="0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1-B5D6-4693-9BB1-8E9ED5917AE9}"/>
              </c:ext>
            </c:extLst>
          </c:dPt>
          <c:dPt>
            <c:idx val="31"/>
            <c:invertIfNegative val="0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3-B5D6-4693-9BB1-8E9ED5917AE9}"/>
              </c:ext>
            </c:extLst>
          </c:dPt>
          <c:cat>
            <c:multiLvlStrRef>
              <c:f>'Pairwise &amp; AHP'!$B$6:$C$38</c:f>
              <c:multiLvlStrCache>
                <c:ptCount val="32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13</c:v>
                  </c:pt>
                  <c:pt idx="13">
                    <c:v>14</c:v>
                  </c:pt>
                  <c:pt idx="14">
                    <c:v>15</c:v>
                  </c:pt>
                  <c:pt idx="15">
                    <c:v>16</c:v>
                  </c:pt>
                  <c:pt idx="16">
                    <c:v>17</c:v>
                  </c:pt>
                  <c:pt idx="17">
                    <c:v>18</c:v>
                  </c:pt>
                  <c:pt idx="18">
                    <c:v>19</c:v>
                  </c:pt>
                  <c:pt idx="19">
                    <c:v>20</c:v>
                  </c:pt>
                  <c:pt idx="20">
                    <c:v>21</c:v>
                  </c:pt>
                  <c:pt idx="21">
                    <c:v>22</c:v>
                  </c:pt>
                  <c:pt idx="22">
                    <c:v>23</c:v>
                  </c:pt>
                  <c:pt idx="23">
                    <c:v>24</c:v>
                  </c:pt>
                  <c:pt idx="24">
                    <c:v>25</c:v>
                  </c:pt>
                  <c:pt idx="25">
                    <c:v>26</c:v>
                  </c:pt>
                  <c:pt idx="26">
                    <c:v>27</c:v>
                  </c:pt>
                  <c:pt idx="27">
                    <c:v>28</c:v>
                  </c:pt>
                  <c:pt idx="28">
                    <c:v>29</c:v>
                  </c:pt>
                  <c:pt idx="29">
                    <c:v>30</c:v>
                  </c:pt>
                  <c:pt idx="30">
                    <c:v>31</c:v>
                  </c:pt>
                  <c:pt idx="31">
                    <c:v>32</c:v>
                  </c:pt>
                </c:lvl>
                <c:lvl>
                  <c:pt idx="0">
                    <c:v>Commercial</c:v>
                  </c:pt>
                  <c:pt idx="8">
                    <c:v>Affordability</c:v>
                  </c:pt>
                  <c:pt idx="11">
                    <c:v>Maintainer performance</c:v>
                  </c:pt>
                  <c:pt idx="17">
                    <c:v>Operational</c:v>
                  </c:pt>
                  <c:pt idx="25">
                    <c:v>Engineering</c:v>
                  </c:pt>
                </c:lvl>
              </c:multiLvlStrCache>
            </c:multiLvlStrRef>
          </c:cat>
          <c:val>
            <c:numRef>
              <c:f>'Pairwise &amp; AHP'!$O$6:$O$37</c:f>
              <c:numCache>
                <c:formatCode>0.00</c:formatCode>
                <c:ptCount val="32"/>
                <c:pt idx="0">
                  <c:v>4.666666666666667</c:v>
                </c:pt>
                <c:pt idx="1">
                  <c:v>4.333333333333333</c:v>
                </c:pt>
                <c:pt idx="2">
                  <c:v>4.1111111111111107</c:v>
                </c:pt>
                <c:pt idx="3">
                  <c:v>5</c:v>
                </c:pt>
                <c:pt idx="4">
                  <c:v>4.8888888888888893</c:v>
                </c:pt>
                <c:pt idx="5">
                  <c:v>5.1111111111111107</c:v>
                </c:pt>
                <c:pt idx="6">
                  <c:v>6.2222222222222223</c:v>
                </c:pt>
                <c:pt idx="7">
                  <c:v>5.5555555555555554</c:v>
                </c:pt>
                <c:pt idx="8">
                  <c:v>5.666666666666667</c:v>
                </c:pt>
                <c:pt idx="9">
                  <c:v>5.666666666666667</c:v>
                </c:pt>
                <c:pt idx="10">
                  <c:v>6.1111111111111107</c:v>
                </c:pt>
                <c:pt idx="11">
                  <c:v>6.1111111111111107</c:v>
                </c:pt>
                <c:pt idx="12">
                  <c:v>5.8888888888888893</c:v>
                </c:pt>
                <c:pt idx="13">
                  <c:v>5.8888888888888893</c:v>
                </c:pt>
                <c:pt idx="14">
                  <c:v>4.8888888888888893</c:v>
                </c:pt>
                <c:pt idx="15">
                  <c:v>6.1111111111111107</c:v>
                </c:pt>
                <c:pt idx="16">
                  <c:v>4.7777777777777777</c:v>
                </c:pt>
                <c:pt idx="17">
                  <c:v>6.5555555555555554</c:v>
                </c:pt>
                <c:pt idx="18">
                  <c:v>5.5555555555555554</c:v>
                </c:pt>
                <c:pt idx="19">
                  <c:v>5.8888888888888893</c:v>
                </c:pt>
                <c:pt idx="20">
                  <c:v>5.2222222222222223</c:v>
                </c:pt>
                <c:pt idx="21">
                  <c:v>5.4444444444444446</c:v>
                </c:pt>
                <c:pt idx="22">
                  <c:v>4.1111111111111107</c:v>
                </c:pt>
                <c:pt idx="23">
                  <c:v>5</c:v>
                </c:pt>
                <c:pt idx="24">
                  <c:v>4.666666666666667</c:v>
                </c:pt>
                <c:pt idx="25">
                  <c:v>4.666666666666667</c:v>
                </c:pt>
                <c:pt idx="26">
                  <c:v>5.4444444444444446</c:v>
                </c:pt>
                <c:pt idx="27">
                  <c:v>4.5555555555555554</c:v>
                </c:pt>
                <c:pt idx="28">
                  <c:v>6.1111111111111107</c:v>
                </c:pt>
                <c:pt idx="29">
                  <c:v>5.2222222222222223</c:v>
                </c:pt>
                <c:pt idx="30">
                  <c:v>4.7777777777777777</c:v>
                </c:pt>
                <c:pt idx="31">
                  <c:v>5.666666666666667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4-B5D6-4693-9BB1-8E9ED5917A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19171600"/>
        <c:axId val="519169632"/>
      </c:barChart>
      <c:lineChart>
        <c:grouping val="standard"/>
        <c:varyColors val="0"/>
        <c:ser>
          <c:idx val="1"/>
          <c:order val="1"/>
          <c:tx>
            <c:v>Level of disagreement between respondents</c:v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val>
            <c:numRef>
              <c:f>'Pairwise &amp; AHP'!$Q$6:$Q$37</c:f>
              <c:numCache>
                <c:formatCode>General</c:formatCode>
                <c:ptCount val="32"/>
                <c:pt idx="0">
                  <c:v>4</c:v>
                </c:pt>
                <c:pt idx="1">
                  <c:v>4</c:v>
                </c:pt>
                <c:pt idx="2">
                  <c:v>5</c:v>
                </c:pt>
                <c:pt idx="3">
                  <c:v>3</c:v>
                </c:pt>
                <c:pt idx="4">
                  <c:v>3</c:v>
                </c:pt>
                <c:pt idx="5">
                  <c:v>2</c:v>
                </c:pt>
                <c:pt idx="6">
                  <c:v>3</c:v>
                </c:pt>
                <c:pt idx="7">
                  <c:v>4</c:v>
                </c:pt>
                <c:pt idx="8">
                  <c:v>4</c:v>
                </c:pt>
                <c:pt idx="9">
                  <c:v>3</c:v>
                </c:pt>
                <c:pt idx="10">
                  <c:v>3</c:v>
                </c:pt>
                <c:pt idx="11">
                  <c:v>2</c:v>
                </c:pt>
                <c:pt idx="12">
                  <c:v>2</c:v>
                </c:pt>
                <c:pt idx="13">
                  <c:v>2</c:v>
                </c:pt>
                <c:pt idx="14">
                  <c:v>3</c:v>
                </c:pt>
                <c:pt idx="15">
                  <c:v>3</c:v>
                </c:pt>
                <c:pt idx="16">
                  <c:v>1</c:v>
                </c:pt>
                <c:pt idx="17">
                  <c:v>2</c:v>
                </c:pt>
                <c:pt idx="18">
                  <c:v>4</c:v>
                </c:pt>
                <c:pt idx="19">
                  <c:v>3</c:v>
                </c:pt>
                <c:pt idx="20">
                  <c:v>3</c:v>
                </c:pt>
                <c:pt idx="21">
                  <c:v>3</c:v>
                </c:pt>
                <c:pt idx="22">
                  <c:v>4</c:v>
                </c:pt>
                <c:pt idx="23">
                  <c:v>4</c:v>
                </c:pt>
                <c:pt idx="24">
                  <c:v>3</c:v>
                </c:pt>
                <c:pt idx="25">
                  <c:v>5</c:v>
                </c:pt>
                <c:pt idx="26">
                  <c:v>3</c:v>
                </c:pt>
                <c:pt idx="27">
                  <c:v>4</c:v>
                </c:pt>
                <c:pt idx="28">
                  <c:v>2</c:v>
                </c:pt>
                <c:pt idx="29">
                  <c:v>3</c:v>
                </c:pt>
                <c:pt idx="30">
                  <c:v>2</c:v>
                </c:pt>
                <c:pt idx="31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5-B5D6-4693-9BB1-8E9ED5917A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19171600"/>
        <c:axId val="519169632"/>
      </c:lineChart>
      <c:catAx>
        <c:axId val="519171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9169632"/>
        <c:crosses val="autoZero"/>
        <c:auto val="1"/>
        <c:lblAlgn val="ctr"/>
        <c:lblOffset val="100"/>
        <c:noMultiLvlLbl val="0"/>
      </c:catAx>
      <c:valAx>
        <c:axId val="5191696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Mean uncertainty influence score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91716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0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'Pairwise &amp; AHP'!$U$27</c:f>
              <c:strCache>
                <c:ptCount val="1"/>
                <c:pt idx="0">
                  <c:v>Mean cat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1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F30B-4A21-8353-031AC328F555}"/>
              </c:ext>
            </c:extLst>
          </c:dPt>
          <c:dPt>
            <c:idx val="2"/>
            <c:invertIfNegative val="0"/>
            <c:bubble3D val="0"/>
            <c:spPr>
              <a:solidFill>
                <a:srgbClr val="00206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F30B-4A21-8353-031AC328F555}"/>
              </c:ext>
            </c:extLst>
          </c:dPt>
          <c:dPt>
            <c:idx val="3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F30B-4A21-8353-031AC328F555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7BEF-451E-93B4-7E61CFA3AE7E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'Pairwise &amp; AHP'!$U$28:$U$32</c:f>
              <c:strCache>
                <c:ptCount val="5"/>
                <c:pt idx="0">
                  <c:v>Commercial</c:v>
                </c:pt>
                <c:pt idx="1">
                  <c:v>Affordability</c:v>
                </c:pt>
                <c:pt idx="2">
                  <c:v>Maintainer performance</c:v>
                </c:pt>
                <c:pt idx="3">
                  <c:v>Operational</c:v>
                </c:pt>
                <c:pt idx="4">
                  <c:v>Engineering</c:v>
                </c:pt>
              </c:strCache>
            </c:strRef>
          </c:cat>
          <c:val>
            <c:numRef>
              <c:f>'Pairwise &amp; AHP'!$V$28:$V$32</c:f>
              <c:numCache>
                <c:formatCode>0.00</c:formatCode>
                <c:ptCount val="5"/>
                <c:pt idx="0">
                  <c:v>4.9861111111111116</c:v>
                </c:pt>
                <c:pt idx="1">
                  <c:v>5.814814814814814</c:v>
                </c:pt>
                <c:pt idx="2">
                  <c:v>5.6111111111111107</c:v>
                </c:pt>
                <c:pt idx="3">
                  <c:v>5.3055555555555545</c:v>
                </c:pt>
                <c:pt idx="4">
                  <c:v>5.2063492063492065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30B-4A21-8353-031AC328F5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538696568"/>
        <c:axId val="538693616"/>
      </c:barChart>
      <c:lineChart>
        <c:grouping val="standard"/>
        <c:varyColors val="0"/>
        <c:ser>
          <c:idx val="1"/>
          <c:order val="1"/>
          <c:tx>
            <c:v>Level of disagreement between respondents</c:v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val>
            <c:numRef>
              <c:f>('Pairwise &amp; AHP'!$R$13,'Pairwise &amp; AHP'!$R$16,'Pairwise &amp; AHP'!$R$22,'Pairwise &amp; AHP'!$R$30,'Pairwise &amp; AHP'!$R$37)</c:f>
              <c:numCache>
                <c:formatCode>0.00</c:formatCode>
                <c:ptCount val="5"/>
                <c:pt idx="0">
                  <c:v>3.5</c:v>
                </c:pt>
                <c:pt idx="1">
                  <c:v>3.3333333333333335</c:v>
                </c:pt>
                <c:pt idx="2">
                  <c:v>2.1666666666666665</c:v>
                </c:pt>
                <c:pt idx="3">
                  <c:v>3.25</c:v>
                </c:pt>
                <c:pt idx="4">
                  <c:v>3.1428571428571428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F30B-4A21-8353-031AC328F5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8696568"/>
        <c:axId val="538693616"/>
      </c:lineChart>
      <c:catAx>
        <c:axId val="538696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38693616"/>
        <c:crosses val="autoZero"/>
        <c:auto val="1"/>
        <c:lblAlgn val="ctr"/>
        <c:lblOffset val="100"/>
        <c:noMultiLvlLbl val="0"/>
      </c:catAx>
      <c:valAx>
        <c:axId val="5386936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Mean uncertainty influence score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386965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0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'Pairwise &amp; AHP'!$BD$52</c:f>
              <c:strCache>
                <c:ptCount val="1"/>
                <c:pt idx="0">
                  <c:v>Mean cat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1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639E-4463-B543-F9F1831D8E62}"/>
              </c:ext>
            </c:extLst>
          </c:dPt>
          <c:dPt>
            <c:idx val="2"/>
            <c:invertIfNegative val="0"/>
            <c:bubble3D val="0"/>
            <c:spPr>
              <a:solidFill>
                <a:srgbClr val="00206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639E-4463-B543-F9F1831D8E62}"/>
              </c:ext>
            </c:extLst>
          </c:dPt>
          <c:dPt>
            <c:idx val="3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639E-4463-B543-F9F1831D8E62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639E-4463-B543-F9F1831D8E62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'Pairwise &amp; AHP'!$BD$53:$BD$57</c:f>
              <c:strCache>
                <c:ptCount val="5"/>
                <c:pt idx="0">
                  <c:v>Commercial</c:v>
                </c:pt>
                <c:pt idx="1">
                  <c:v>Affordability</c:v>
                </c:pt>
                <c:pt idx="2">
                  <c:v>Maintainer performance</c:v>
                </c:pt>
                <c:pt idx="3">
                  <c:v>Operational</c:v>
                </c:pt>
                <c:pt idx="4">
                  <c:v>Engineering</c:v>
                </c:pt>
              </c:strCache>
            </c:strRef>
          </c:cat>
          <c:val>
            <c:numRef>
              <c:f>'Pairwise &amp; AHP'!$BE$53:$BE$57</c:f>
              <c:numCache>
                <c:formatCode>0.00</c:formatCode>
                <c:ptCount val="5"/>
                <c:pt idx="0">
                  <c:v>5.3356605119519251</c:v>
                </c:pt>
                <c:pt idx="1">
                  <c:v>5.7555555555555564</c:v>
                </c:pt>
                <c:pt idx="2">
                  <c:v>5.8274750712250709</c:v>
                </c:pt>
                <c:pt idx="3">
                  <c:v>5.8633235419577545</c:v>
                </c:pt>
                <c:pt idx="4">
                  <c:v>3.397180221946289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639E-4463-B543-F9F1831D8E6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axId val="538696568"/>
        <c:axId val="538693616"/>
      </c:barChart>
      <c:catAx>
        <c:axId val="538696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38693616"/>
        <c:crosses val="autoZero"/>
        <c:auto val="1"/>
        <c:lblAlgn val="ctr"/>
        <c:lblOffset val="100"/>
        <c:noMultiLvlLbl val="0"/>
      </c:catAx>
      <c:valAx>
        <c:axId val="5386936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Mean uncertainty score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386965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4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7"/>
        <c:axId val="799032320"/>
        <c:axId val="799022152"/>
      </c:barChart>
      <c:catAx>
        <c:axId val="79903232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Respondent number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99022152"/>
        <c:crosses val="autoZero"/>
        <c:auto val="1"/>
        <c:lblAlgn val="ctr"/>
        <c:lblOffset val="100"/>
        <c:noMultiLvlLbl val="0"/>
      </c:catAx>
      <c:valAx>
        <c:axId val="7990221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Weighted mean score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990323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Details!$Z$13</c:f>
              <c:strCache>
                <c:ptCount val="1"/>
                <c:pt idx="0">
                  <c:v>Mean score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Details!$Q$14:$Q$23</c15:sqref>
                  </c15:fullRef>
                </c:ext>
              </c:extLst>
              <c:f>Details!$Q$14:$Q$22</c:f>
              <c:strCache>
                <c:ptCount val="9"/>
                <c:pt idx="0">
                  <c:v>R1</c:v>
                </c:pt>
                <c:pt idx="1">
                  <c:v>R2</c:v>
                </c:pt>
                <c:pt idx="2">
                  <c:v>R3</c:v>
                </c:pt>
                <c:pt idx="3">
                  <c:v>R4</c:v>
                </c:pt>
                <c:pt idx="4">
                  <c:v>R5</c:v>
                </c:pt>
                <c:pt idx="5">
                  <c:v>R6</c:v>
                </c:pt>
                <c:pt idx="6">
                  <c:v>R7</c:v>
                </c:pt>
                <c:pt idx="7">
                  <c:v>R8</c:v>
                </c:pt>
                <c:pt idx="8">
                  <c:v>R9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Details!$Z$14:$Z$23</c15:sqref>
                  </c15:fullRef>
                </c:ext>
              </c:extLst>
              <c:f>Details!$Z$14:$Z$22</c:f>
              <c:numCache>
                <c:formatCode>0.00</c:formatCode>
                <c:ptCount val="9"/>
                <c:pt idx="0">
                  <c:v>3.5714285714285716</c:v>
                </c:pt>
                <c:pt idx="1">
                  <c:v>4</c:v>
                </c:pt>
                <c:pt idx="2">
                  <c:v>1.6666666666666667</c:v>
                </c:pt>
                <c:pt idx="3">
                  <c:v>2.5</c:v>
                </c:pt>
                <c:pt idx="4">
                  <c:v>3</c:v>
                </c:pt>
                <c:pt idx="5">
                  <c:v>1.75</c:v>
                </c:pt>
                <c:pt idx="6">
                  <c:v>2.75</c:v>
                </c:pt>
                <c:pt idx="7">
                  <c:v>2</c:v>
                </c:pt>
                <c:pt idx="8">
                  <c:v>1.6666666666666667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FBE-4AC9-B994-9A328E994DE5}"/>
            </c:ext>
          </c:extLst>
        </c:ser>
        <c:ser>
          <c:idx val="1"/>
          <c:order val="1"/>
          <c:tx>
            <c:strRef>
              <c:f>Details!$AA$13</c:f>
              <c:strCache>
                <c:ptCount val="1"/>
                <c:pt idx="0">
                  <c:v>Weighted score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Lit>
              <c:ptCount val="9"/>
              <c:pt idx="0">
                <c:v>R1</c:v>
              </c:pt>
              <c:pt idx="1">
                <c:v>R2</c:v>
              </c:pt>
              <c:pt idx="2">
                <c:v>R3</c:v>
              </c:pt>
              <c:pt idx="3">
                <c:v>R4</c:v>
              </c:pt>
              <c:pt idx="4">
                <c:v>R5</c:v>
              </c:pt>
              <c:pt idx="5">
                <c:v>R6</c:v>
              </c:pt>
              <c:pt idx="6">
                <c:v>R7</c:v>
              </c:pt>
              <c:pt idx="7">
                <c:v>R8</c:v>
              </c:pt>
              <c:pt idx="8">
                <c:v>R9</c:v>
              </c:pt>
              <c:extLst>
                <c:ext xmlns:c15="http://schemas.microsoft.com/office/drawing/2012/chart" uri="{02D57815-91ED-43cb-92C2-25804820EDAC}">
                  <c15:autoCat val="1"/>
                </c:ext>
              </c:extLst>
            </c:strLit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Details!$AA$14:$AA$23</c15:sqref>
                  </c15:fullRef>
                </c:ext>
              </c:extLst>
              <c:f>Details!$AA$14:$AA$22</c:f>
              <c:numCache>
                <c:formatCode>0.00</c:formatCode>
                <c:ptCount val="9"/>
                <c:pt idx="0">
                  <c:v>3.8461538461538463</c:v>
                </c:pt>
                <c:pt idx="1">
                  <c:v>2.5384615384615379</c:v>
                </c:pt>
                <c:pt idx="2">
                  <c:v>0.61538461538461531</c:v>
                </c:pt>
                <c:pt idx="3">
                  <c:v>2.615384615384615</c:v>
                </c:pt>
                <c:pt idx="4">
                  <c:v>2.307692307692307</c:v>
                </c:pt>
                <c:pt idx="5">
                  <c:v>1.4615384615384612</c:v>
                </c:pt>
                <c:pt idx="6">
                  <c:v>1.9999999999999996</c:v>
                </c:pt>
                <c:pt idx="7">
                  <c:v>1.9999999999999996</c:v>
                </c:pt>
                <c:pt idx="8">
                  <c:v>1.0769230769230769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FBE-4AC9-B994-9A328E994D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7"/>
        <c:axId val="799032320"/>
        <c:axId val="799022152"/>
      </c:barChart>
      <c:catAx>
        <c:axId val="79903232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Respondent number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99022152"/>
        <c:crosses val="autoZero"/>
        <c:auto val="1"/>
        <c:lblAlgn val="ctr"/>
        <c:lblOffset val="100"/>
        <c:noMultiLvlLbl val="0"/>
      </c:catAx>
      <c:valAx>
        <c:axId val="7990221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Pedigree</a:t>
                </a:r>
                <a:r>
                  <a:rPr lang="en-GB" baseline="0"/>
                  <a:t> s</a:t>
                </a:r>
                <a:r>
                  <a:rPr lang="en-GB"/>
                  <a:t>core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990323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Details!$E$17</c:f>
              <c:strCache>
                <c:ptCount val="1"/>
                <c:pt idx="0">
                  <c:v>Years of experience in current role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Details!$D$18:$D$22</c:f>
              <c:strCache>
                <c:ptCount val="5"/>
                <c:pt idx="0">
                  <c:v>&gt;20</c:v>
                </c:pt>
                <c:pt idx="1">
                  <c:v>15 to 20</c:v>
                </c:pt>
                <c:pt idx="2">
                  <c:v>10 to 14</c:v>
                </c:pt>
                <c:pt idx="3">
                  <c:v>5 to 9</c:v>
                </c:pt>
                <c:pt idx="4">
                  <c:v>&lt;5</c:v>
                </c:pt>
              </c:strCache>
            </c:strRef>
          </c:cat>
          <c:val>
            <c:numRef>
              <c:f>Details!$E$18:$E$22</c:f>
              <c:numCache>
                <c:formatCode>General</c:formatCode>
                <c:ptCount val="5"/>
                <c:pt idx="0">
                  <c:v>3</c:v>
                </c:pt>
                <c:pt idx="1">
                  <c:v>1</c:v>
                </c:pt>
                <c:pt idx="2">
                  <c:v>0</c:v>
                </c:pt>
                <c:pt idx="3">
                  <c:v>1</c:v>
                </c:pt>
                <c:pt idx="4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E3D-4F57-AA8B-A9EA0100D8C5}"/>
            </c:ext>
          </c:extLst>
        </c:ser>
        <c:ser>
          <c:idx val="1"/>
          <c:order val="1"/>
          <c:tx>
            <c:strRef>
              <c:f>Details!$F$17</c:f>
              <c:strCache>
                <c:ptCount val="1"/>
                <c:pt idx="0">
                  <c:v>Relevant experience prior to current role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Details!$D$18:$D$22</c:f>
              <c:strCache>
                <c:ptCount val="5"/>
                <c:pt idx="0">
                  <c:v>&gt;20</c:v>
                </c:pt>
                <c:pt idx="1">
                  <c:v>15 to 20</c:v>
                </c:pt>
                <c:pt idx="2">
                  <c:v>10 to 14</c:v>
                </c:pt>
                <c:pt idx="3">
                  <c:v>5 to 9</c:v>
                </c:pt>
                <c:pt idx="4">
                  <c:v>&lt;5</c:v>
                </c:pt>
              </c:strCache>
            </c:strRef>
          </c:cat>
          <c:val>
            <c:numRef>
              <c:f>Details!$F$18:$F$22</c:f>
              <c:numCache>
                <c:formatCode>General</c:formatCode>
                <c:ptCount val="5"/>
                <c:pt idx="0">
                  <c:v>2</c:v>
                </c:pt>
                <c:pt idx="1">
                  <c:v>2</c:v>
                </c:pt>
                <c:pt idx="2">
                  <c:v>1</c:v>
                </c:pt>
                <c:pt idx="3">
                  <c:v>2</c:v>
                </c:pt>
                <c:pt idx="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E3D-4F57-AA8B-A9EA0100D8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577828040"/>
        <c:axId val="577824760"/>
      </c:barChart>
      <c:catAx>
        <c:axId val="577828040"/>
        <c:scaling>
          <c:orientation val="maxMin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Years of experience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7824760"/>
        <c:crosses val="autoZero"/>
        <c:auto val="1"/>
        <c:lblAlgn val="ctr"/>
        <c:lblOffset val="100"/>
        <c:noMultiLvlLbl val="0"/>
      </c:catAx>
      <c:valAx>
        <c:axId val="5778247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No. of respondents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7828040"/>
        <c:crosses val="max"/>
        <c:crossBetween val="between"/>
        <c:majorUnit val="1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Details!$E$17</c:f>
              <c:strCache>
                <c:ptCount val="1"/>
                <c:pt idx="0">
                  <c:v>Years of experience in current role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Details!$D$18:$D$22</c:f>
              <c:strCache>
                <c:ptCount val="5"/>
                <c:pt idx="0">
                  <c:v>&gt;20</c:v>
                </c:pt>
                <c:pt idx="1">
                  <c:v>15 to 20</c:v>
                </c:pt>
                <c:pt idx="2">
                  <c:v>10 to 14</c:v>
                </c:pt>
                <c:pt idx="3">
                  <c:v>5 to 9</c:v>
                </c:pt>
                <c:pt idx="4">
                  <c:v>&lt;5</c:v>
                </c:pt>
              </c:strCache>
            </c:strRef>
          </c:cat>
          <c:val>
            <c:numRef>
              <c:f>Details!$E$18:$E$22</c:f>
              <c:numCache>
                <c:formatCode>General</c:formatCode>
                <c:ptCount val="5"/>
                <c:pt idx="0">
                  <c:v>3</c:v>
                </c:pt>
                <c:pt idx="1">
                  <c:v>1</c:v>
                </c:pt>
                <c:pt idx="2">
                  <c:v>0</c:v>
                </c:pt>
                <c:pt idx="3">
                  <c:v>1</c:v>
                </c:pt>
                <c:pt idx="4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EF5-4875-B9D3-C46A93535916}"/>
            </c:ext>
          </c:extLst>
        </c:ser>
        <c:ser>
          <c:idx val="1"/>
          <c:order val="1"/>
          <c:tx>
            <c:strRef>
              <c:f>Details!$F$17</c:f>
              <c:strCache>
                <c:ptCount val="1"/>
                <c:pt idx="0">
                  <c:v>Relevant experience prior to current role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Details!$D$18:$D$22</c:f>
              <c:strCache>
                <c:ptCount val="5"/>
                <c:pt idx="0">
                  <c:v>&gt;20</c:v>
                </c:pt>
                <c:pt idx="1">
                  <c:v>15 to 20</c:v>
                </c:pt>
                <c:pt idx="2">
                  <c:v>10 to 14</c:v>
                </c:pt>
                <c:pt idx="3">
                  <c:v>5 to 9</c:v>
                </c:pt>
                <c:pt idx="4">
                  <c:v>&lt;5</c:v>
                </c:pt>
              </c:strCache>
            </c:strRef>
          </c:cat>
          <c:val>
            <c:numRef>
              <c:f>Details!$F$18:$F$22</c:f>
              <c:numCache>
                <c:formatCode>General</c:formatCode>
                <c:ptCount val="5"/>
                <c:pt idx="0">
                  <c:v>2</c:v>
                </c:pt>
                <c:pt idx="1">
                  <c:v>2</c:v>
                </c:pt>
                <c:pt idx="2">
                  <c:v>1</c:v>
                </c:pt>
                <c:pt idx="3">
                  <c:v>2</c:v>
                </c:pt>
                <c:pt idx="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EF5-4875-B9D3-C46A935359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577828040"/>
        <c:axId val="577824760"/>
      </c:barChart>
      <c:catAx>
        <c:axId val="577828040"/>
        <c:scaling>
          <c:orientation val="maxMin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Years of experience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6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7824760"/>
        <c:crosses val="autoZero"/>
        <c:auto val="1"/>
        <c:lblAlgn val="ctr"/>
        <c:lblOffset val="100"/>
        <c:noMultiLvlLbl val="0"/>
      </c:catAx>
      <c:valAx>
        <c:axId val="5778247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No. of respondents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6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7828040"/>
        <c:crosses val="max"/>
        <c:crossBetween val="between"/>
        <c:majorUnit val="1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600"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'Influencing Factors'!$O$5</c:f>
              <c:strCache>
                <c:ptCount val="1"/>
                <c:pt idx="0">
                  <c:v>Mean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59C7-42B9-BC2C-051A53AF2D8D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59C7-42B9-BC2C-051A53AF2D8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59C7-42B9-BC2C-051A53AF2D8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59C7-42B9-BC2C-051A53AF2D8D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59C7-42B9-BC2C-051A53AF2D8D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8F79-4B10-86FC-D802D65AB3C5}"/>
              </c:ext>
            </c:extLst>
          </c:dPt>
          <c:dPt>
            <c:idx val="6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59C7-42B9-BC2C-051A53AF2D8D}"/>
              </c:ext>
            </c:extLst>
          </c:dPt>
          <c:dPt>
            <c:idx val="7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F-59C7-42B9-BC2C-051A53AF2D8D}"/>
              </c:ext>
            </c:extLst>
          </c:dPt>
          <c:dPt>
            <c:idx val="8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1-59C7-42B9-BC2C-051A53AF2D8D}"/>
              </c:ext>
            </c:extLst>
          </c:dPt>
          <c:dPt>
            <c:idx val="9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3-59C7-42B9-BC2C-051A53AF2D8D}"/>
              </c:ext>
            </c:extLst>
          </c:dPt>
          <c:dPt>
            <c:idx val="10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5-8F79-4B10-86FC-D802D65AB3C5}"/>
              </c:ext>
            </c:extLst>
          </c:dPt>
          <c:dPt>
            <c:idx val="17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B-F0C2-44A6-BB11-6A0B0EE38C63}"/>
              </c:ext>
            </c:extLst>
          </c:dPt>
          <c:dPt>
            <c:idx val="18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B-59C7-42B9-BC2C-051A53AF2D8D}"/>
              </c:ext>
            </c:extLst>
          </c:dPt>
          <c:dPt>
            <c:idx val="19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D-59C7-42B9-BC2C-051A53AF2D8D}"/>
              </c:ext>
            </c:extLst>
          </c:dPt>
          <c:dPt>
            <c:idx val="20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F-59C7-42B9-BC2C-051A53AF2D8D}"/>
              </c:ext>
            </c:extLst>
          </c:dPt>
          <c:dPt>
            <c:idx val="21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1-59C7-42B9-BC2C-051A53AF2D8D}"/>
              </c:ext>
            </c:extLst>
          </c:dPt>
          <c:dPt>
            <c:idx val="22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3-59C7-42B9-BC2C-051A53AF2D8D}"/>
              </c:ext>
            </c:extLst>
          </c:dPt>
          <c:dPt>
            <c:idx val="23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5-59C7-42B9-BC2C-051A53AF2D8D}"/>
              </c:ext>
            </c:extLst>
          </c:dPt>
          <c:dPt>
            <c:idx val="24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7-59C7-42B9-BC2C-051A53AF2D8D}"/>
              </c:ext>
            </c:extLst>
          </c:dPt>
          <c:dPt>
            <c:idx val="25"/>
            <c:invertIfNegative val="0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9-59C7-42B9-BC2C-051A53AF2D8D}"/>
              </c:ext>
            </c:extLst>
          </c:dPt>
          <c:dPt>
            <c:idx val="26"/>
            <c:invertIfNegative val="0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E-F0C2-44A6-BB11-6A0B0EE38C63}"/>
              </c:ext>
            </c:extLst>
          </c:dPt>
          <c:dPt>
            <c:idx val="27"/>
            <c:invertIfNegative val="0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1-F0C2-44A6-BB11-6A0B0EE38C63}"/>
              </c:ext>
            </c:extLst>
          </c:dPt>
          <c:dPt>
            <c:idx val="28"/>
            <c:invertIfNegative val="0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D-8F79-4B10-86FC-D802D65AB3C5}"/>
              </c:ext>
            </c:extLst>
          </c:dPt>
          <c:dPt>
            <c:idx val="29"/>
            <c:invertIfNegative val="0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F-8F79-4B10-86FC-D802D65AB3C5}"/>
              </c:ext>
            </c:extLst>
          </c:dPt>
          <c:dPt>
            <c:idx val="30"/>
            <c:invertIfNegative val="0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1-8F79-4B10-86FC-D802D65AB3C5}"/>
              </c:ext>
            </c:extLst>
          </c:dPt>
          <c:dPt>
            <c:idx val="31"/>
            <c:invertIfNegative val="0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3-8F79-4B10-86FC-D802D65AB3C5}"/>
              </c:ext>
            </c:extLst>
          </c:dPt>
          <c:cat>
            <c:multiLvlStrRef>
              <c:f>'Influencing Factors'!$B$6:$C$38</c:f>
              <c:multiLvlStrCache>
                <c:ptCount val="32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13</c:v>
                  </c:pt>
                  <c:pt idx="13">
                    <c:v>14</c:v>
                  </c:pt>
                  <c:pt idx="14">
                    <c:v>15</c:v>
                  </c:pt>
                  <c:pt idx="15">
                    <c:v>16</c:v>
                  </c:pt>
                  <c:pt idx="16">
                    <c:v>17</c:v>
                  </c:pt>
                  <c:pt idx="17">
                    <c:v>18</c:v>
                  </c:pt>
                  <c:pt idx="18">
                    <c:v>19</c:v>
                  </c:pt>
                  <c:pt idx="19">
                    <c:v>20</c:v>
                  </c:pt>
                  <c:pt idx="20">
                    <c:v>21</c:v>
                  </c:pt>
                  <c:pt idx="21">
                    <c:v>22</c:v>
                  </c:pt>
                  <c:pt idx="22">
                    <c:v>23</c:v>
                  </c:pt>
                  <c:pt idx="23">
                    <c:v>24</c:v>
                  </c:pt>
                  <c:pt idx="24">
                    <c:v>25</c:v>
                  </c:pt>
                  <c:pt idx="25">
                    <c:v>26</c:v>
                  </c:pt>
                  <c:pt idx="26">
                    <c:v>27</c:v>
                  </c:pt>
                  <c:pt idx="27">
                    <c:v>28</c:v>
                  </c:pt>
                  <c:pt idx="28">
                    <c:v>29</c:v>
                  </c:pt>
                  <c:pt idx="29">
                    <c:v>30</c:v>
                  </c:pt>
                  <c:pt idx="30">
                    <c:v>31</c:v>
                  </c:pt>
                  <c:pt idx="31">
                    <c:v>32</c:v>
                  </c:pt>
                </c:lvl>
                <c:lvl>
                  <c:pt idx="0">
                    <c:v>Commercial</c:v>
                  </c:pt>
                  <c:pt idx="8">
                    <c:v>Affordability</c:v>
                  </c:pt>
                  <c:pt idx="11">
                    <c:v>Maintainer performance</c:v>
                  </c:pt>
                  <c:pt idx="17">
                    <c:v>Operational</c:v>
                  </c:pt>
                  <c:pt idx="25">
                    <c:v>Engineering</c:v>
                  </c:pt>
                </c:lvl>
              </c:multiLvlStrCache>
            </c:multiLvlStrRef>
          </c:cat>
          <c:val>
            <c:numRef>
              <c:f>'Influencing Factors'!$O$6:$O$37</c:f>
              <c:numCache>
                <c:formatCode>0.00</c:formatCode>
                <c:ptCount val="32"/>
                <c:pt idx="0">
                  <c:v>4.666666666666667</c:v>
                </c:pt>
                <c:pt idx="1">
                  <c:v>4.333333333333333</c:v>
                </c:pt>
                <c:pt idx="2">
                  <c:v>4.1111111111111107</c:v>
                </c:pt>
                <c:pt idx="3">
                  <c:v>5</c:v>
                </c:pt>
                <c:pt idx="4">
                  <c:v>4.8888888888888893</c:v>
                </c:pt>
                <c:pt idx="5">
                  <c:v>5.1111111111111107</c:v>
                </c:pt>
                <c:pt idx="6">
                  <c:v>6.2222222222222223</c:v>
                </c:pt>
                <c:pt idx="7">
                  <c:v>5.5555555555555554</c:v>
                </c:pt>
                <c:pt idx="8">
                  <c:v>5.666666666666667</c:v>
                </c:pt>
                <c:pt idx="9">
                  <c:v>5.666666666666667</c:v>
                </c:pt>
                <c:pt idx="10">
                  <c:v>6.1111111111111107</c:v>
                </c:pt>
                <c:pt idx="11">
                  <c:v>6.1111111111111107</c:v>
                </c:pt>
                <c:pt idx="12">
                  <c:v>5.8888888888888893</c:v>
                </c:pt>
                <c:pt idx="13">
                  <c:v>5.8888888888888893</c:v>
                </c:pt>
                <c:pt idx="14">
                  <c:v>4.8888888888888893</c:v>
                </c:pt>
                <c:pt idx="15">
                  <c:v>6.1111111111111107</c:v>
                </c:pt>
                <c:pt idx="16">
                  <c:v>4.7777777777777777</c:v>
                </c:pt>
                <c:pt idx="17">
                  <c:v>6.5555555555555554</c:v>
                </c:pt>
                <c:pt idx="18">
                  <c:v>5.5555555555555554</c:v>
                </c:pt>
                <c:pt idx="19">
                  <c:v>5.8888888888888893</c:v>
                </c:pt>
                <c:pt idx="20">
                  <c:v>5.2222222222222223</c:v>
                </c:pt>
                <c:pt idx="21">
                  <c:v>5.4444444444444446</c:v>
                </c:pt>
                <c:pt idx="22">
                  <c:v>4.1111111111111107</c:v>
                </c:pt>
                <c:pt idx="23">
                  <c:v>5</c:v>
                </c:pt>
                <c:pt idx="24">
                  <c:v>4.666666666666667</c:v>
                </c:pt>
                <c:pt idx="25">
                  <c:v>4.666666666666667</c:v>
                </c:pt>
                <c:pt idx="26">
                  <c:v>5.4444444444444446</c:v>
                </c:pt>
                <c:pt idx="27">
                  <c:v>4.5555555555555554</c:v>
                </c:pt>
                <c:pt idx="28">
                  <c:v>6.1111111111111107</c:v>
                </c:pt>
                <c:pt idx="29">
                  <c:v>5.2222222222222223</c:v>
                </c:pt>
                <c:pt idx="30">
                  <c:v>4.7777777777777777</c:v>
                </c:pt>
                <c:pt idx="31">
                  <c:v>5.666666666666667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8-59C7-42B9-BC2C-051A53AF2D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19171600"/>
        <c:axId val="519169632"/>
      </c:barChart>
      <c:lineChart>
        <c:grouping val="standard"/>
        <c:varyColors val="0"/>
        <c:ser>
          <c:idx val="1"/>
          <c:order val="1"/>
          <c:tx>
            <c:v>Level of disagreement between respondents</c:v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val>
            <c:numRef>
              <c:f>'Influencing Factors'!$Q$6:$Q$37</c:f>
              <c:numCache>
                <c:formatCode>General</c:formatCode>
                <c:ptCount val="32"/>
                <c:pt idx="0">
                  <c:v>4</c:v>
                </c:pt>
                <c:pt idx="1">
                  <c:v>4</c:v>
                </c:pt>
                <c:pt idx="2">
                  <c:v>5</c:v>
                </c:pt>
                <c:pt idx="3">
                  <c:v>3</c:v>
                </c:pt>
                <c:pt idx="4">
                  <c:v>3</c:v>
                </c:pt>
                <c:pt idx="5">
                  <c:v>2</c:v>
                </c:pt>
                <c:pt idx="6">
                  <c:v>3</c:v>
                </c:pt>
                <c:pt idx="7">
                  <c:v>4</c:v>
                </c:pt>
                <c:pt idx="8">
                  <c:v>4</c:v>
                </c:pt>
                <c:pt idx="9">
                  <c:v>3</c:v>
                </c:pt>
                <c:pt idx="10">
                  <c:v>3</c:v>
                </c:pt>
                <c:pt idx="11">
                  <c:v>2</c:v>
                </c:pt>
                <c:pt idx="12">
                  <c:v>2</c:v>
                </c:pt>
                <c:pt idx="13">
                  <c:v>2</c:v>
                </c:pt>
                <c:pt idx="14">
                  <c:v>3</c:v>
                </c:pt>
                <c:pt idx="15">
                  <c:v>3</c:v>
                </c:pt>
                <c:pt idx="16">
                  <c:v>1</c:v>
                </c:pt>
                <c:pt idx="17">
                  <c:v>2</c:v>
                </c:pt>
                <c:pt idx="18">
                  <c:v>4</c:v>
                </c:pt>
                <c:pt idx="19">
                  <c:v>3</c:v>
                </c:pt>
                <c:pt idx="20">
                  <c:v>3</c:v>
                </c:pt>
                <c:pt idx="21">
                  <c:v>3</c:v>
                </c:pt>
                <c:pt idx="22">
                  <c:v>4</c:v>
                </c:pt>
                <c:pt idx="23">
                  <c:v>4</c:v>
                </c:pt>
                <c:pt idx="24">
                  <c:v>3</c:v>
                </c:pt>
                <c:pt idx="25">
                  <c:v>5</c:v>
                </c:pt>
                <c:pt idx="26">
                  <c:v>3</c:v>
                </c:pt>
                <c:pt idx="27">
                  <c:v>4</c:v>
                </c:pt>
                <c:pt idx="28">
                  <c:v>2</c:v>
                </c:pt>
                <c:pt idx="29">
                  <c:v>3</c:v>
                </c:pt>
                <c:pt idx="30">
                  <c:v>2</c:v>
                </c:pt>
                <c:pt idx="31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9-59C7-42B9-BC2C-051A53AF2D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19171600"/>
        <c:axId val="519169632"/>
      </c:lineChart>
      <c:catAx>
        <c:axId val="519171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9169632"/>
        <c:crosses val="autoZero"/>
        <c:auto val="1"/>
        <c:lblAlgn val="ctr"/>
        <c:lblOffset val="100"/>
        <c:noMultiLvlLbl val="0"/>
      </c:catAx>
      <c:valAx>
        <c:axId val="5191696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Mean uncertainty influence score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91716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0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'Influencing Factors'!$O$5</c:f>
              <c:strCache>
                <c:ptCount val="1"/>
                <c:pt idx="0">
                  <c:v>Mean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C7D0-4E39-A5E6-0CAFA144DFF7}"/>
              </c:ext>
            </c:extLst>
          </c:dPt>
          <c:cat>
            <c:multiLvlStrRef>
              <c:f>'Influencing Factors'!$B$6:$C$13</c:f>
              <c:multiLvlStrCache>
                <c:ptCount val="8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</c:lvl>
                <c:lvl>
                  <c:pt idx="0">
                    <c:v>Commercial</c:v>
                  </c:pt>
                </c:lvl>
              </c:multiLvlStrCache>
            </c:multiLvlStrRef>
          </c:cat>
          <c:val>
            <c:numRef>
              <c:f>'Influencing Factors'!$O$6:$O$13</c:f>
              <c:numCache>
                <c:formatCode>0.00</c:formatCode>
                <c:ptCount val="8"/>
                <c:pt idx="0">
                  <c:v>4.666666666666667</c:v>
                </c:pt>
                <c:pt idx="1">
                  <c:v>4.333333333333333</c:v>
                </c:pt>
                <c:pt idx="2">
                  <c:v>4.1111111111111107</c:v>
                </c:pt>
                <c:pt idx="3">
                  <c:v>5</c:v>
                </c:pt>
                <c:pt idx="4">
                  <c:v>4.8888888888888893</c:v>
                </c:pt>
                <c:pt idx="5">
                  <c:v>5.1111111111111107</c:v>
                </c:pt>
                <c:pt idx="6">
                  <c:v>6.2222222222222223</c:v>
                </c:pt>
                <c:pt idx="7">
                  <c:v>5.5555555555555554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7D0-4E39-A5E6-0CAFA144DF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19171600"/>
        <c:axId val="519169632"/>
      </c:barChart>
      <c:lineChart>
        <c:grouping val="standard"/>
        <c:varyColors val="0"/>
        <c:ser>
          <c:idx val="1"/>
          <c:order val="1"/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val>
            <c:numRef>
              <c:f>'Influencing Factors'!$Q$6:$Q$13</c:f>
              <c:numCache>
                <c:formatCode>General</c:formatCode>
                <c:ptCount val="8"/>
                <c:pt idx="0">
                  <c:v>4</c:v>
                </c:pt>
                <c:pt idx="1">
                  <c:v>4</c:v>
                </c:pt>
                <c:pt idx="2">
                  <c:v>5</c:v>
                </c:pt>
                <c:pt idx="3">
                  <c:v>3</c:v>
                </c:pt>
                <c:pt idx="4">
                  <c:v>3</c:v>
                </c:pt>
                <c:pt idx="5">
                  <c:v>2</c:v>
                </c:pt>
                <c:pt idx="6">
                  <c:v>3</c:v>
                </c:pt>
                <c:pt idx="7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7D0-4E39-A5E6-0CAFA144DF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19171600"/>
        <c:axId val="519169632"/>
      </c:lineChart>
      <c:catAx>
        <c:axId val="519171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9169632"/>
        <c:crosses val="autoZero"/>
        <c:auto val="1"/>
        <c:lblAlgn val="ctr"/>
        <c:lblOffset val="100"/>
        <c:noMultiLvlLbl val="0"/>
      </c:catAx>
      <c:valAx>
        <c:axId val="5191696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Mean uncertainty influence score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91716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0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'Influencing Factors'!$O$5</c:f>
              <c:strCache>
                <c:ptCount val="1"/>
                <c:pt idx="0">
                  <c:v>Mean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'Influencing Factors'!$B$14:$C$16</c:f>
              <c:multiLvlStrCache>
                <c:ptCount val="3"/>
                <c:lvl>
                  <c:pt idx="0">
                    <c:v>9</c:v>
                  </c:pt>
                  <c:pt idx="1">
                    <c:v>10</c:v>
                  </c:pt>
                  <c:pt idx="2">
                    <c:v>11</c:v>
                  </c:pt>
                </c:lvl>
                <c:lvl>
                  <c:pt idx="0">
                    <c:v>Affordability</c:v>
                  </c:pt>
                </c:lvl>
              </c:multiLvlStrCache>
            </c:multiLvlStrRef>
          </c:cat>
          <c:val>
            <c:numRef>
              <c:f>'Influencing Factors'!$O$14:$O$16</c:f>
              <c:numCache>
                <c:formatCode>0.00</c:formatCode>
                <c:ptCount val="3"/>
                <c:pt idx="0">
                  <c:v>5.666666666666667</c:v>
                </c:pt>
                <c:pt idx="1">
                  <c:v>5.666666666666667</c:v>
                </c:pt>
                <c:pt idx="2">
                  <c:v>6.1111111111111107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F87-43BC-9475-B2EAD4B74A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19171600"/>
        <c:axId val="519169632"/>
      </c:barChart>
      <c:lineChart>
        <c:grouping val="standard"/>
        <c:varyColors val="0"/>
        <c:ser>
          <c:idx val="1"/>
          <c:order val="1"/>
          <c:tx>
            <c:v>Level of agreement between respondents</c:v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val>
            <c:numRef>
              <c:f>'Influencing Factors'!$Q$14:$Q$16</c:f>
              <c:numCache>
                <c:formatCode>General</c:formatCode>
                <c:ptCount val="3"/>
                <c:pt idx="0">
                  <c:v>4</c:v>
                </c:pt>
                <c:pt idx="1">
                  <c:v>3</c:v>
                </c:pt>
                <c:pt idx="2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F87-43BC-9475-B2EAD4B74A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19171600"/>
        <c:axId val="519169632"/>
      </c:lineChart>
      <c:catAx>
        <c:axId val="519171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9169632"/>
        <c:crosses val="autoZero"/>
        <c:auto val="1"/>
        <c:lblAlgn val="ctr"/>
        <c:lblOffset val="100"/>
        <c:noMultiLvlLbl val="0"/>
      </c:catAx>
      <c:valAx>
        <c:axId val="5191696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Mean uncertainty influence score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191716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0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4.xml"/><Relationship Id="rId3" Type="http://schemas.openxmlformats.org/officeDocument/2006/relationships/chart" Target="../charts/chart9.xml"/><Relationship Id="rId7" Type="http://schemas.openxmlformats.org/officeDocument/2006/relationships/chart" Target="../charts/chart13.xml"/><Relationship Id="rId2" Type="http://schemas.openxmlformats.org/officeDocument/2006/relationships/chart" Target="../charts/chart8.xml"/><Relationship Id="rId1" Type="http://schemas.openxmlformats.org/officeDocument/2006/relationships/chart" Target="../charts/chart7.xml"/><Relationship Id="rId6" Type="http://schemas.openxmlformats.org/officeDocument/2006/relationships/chart" Target="../charts/chart12.xml"/><Relationship Id="rId5" Type="http://schemas.openxmlformats.org/officeDocument/2006/relationships/chart" Target="../charts/chart11.xml"/><Relationship Id="rId4" Type="http://schemas.openxmlformats.org/officeDocument/2006/relationships/chart" Target="../charts/chart10.xml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chart" Target="../charts/chart22.xml"/><Relationship Id="rId3" Type="http://schemas.openxmlformats.org/officeDocument/2006/relationships/chart" Target="../charts/chart17.xml"/><Relationship Id="rId7" Type="http://schemas.openxmlformats.org/officeDocument/2006/relationships/chart" Target="../charts/chart21.xml"/><Relationship Id="rId2" Type="http://schemas.openxmlformats.org/officeDocument/2006/relationships/chart" Target="../charts/chart16.xml"/><Relationship Id="rId1" Type="http://schemas.openxmlformats.org/officeDocument/2006/relationships/chart" Target="../charts/chart15.xml"/><Relationship Id="rId6" Type="http://schemas.openxmlformats.org/officeDocument/2006/relationships/chart" Target="../charts/chart20.xml"/><Relationship Id="rId11" Type="http://schemas.openxmlformats.org/officeDocument/2006/relationships/image" Target="../media/image2.png"/><Relationship Id="rId5" Type="http://schemas.openxmlformats.org/officeDocument/2006/relationships/chart" Target="../charts/chart19.xml"/><Relationship Id="rId10" Type="http://schemas.openxmlformats.org/officeDocument/2006/relationships/image" Target="../media/image1.png"/><Relationship Id="rId4" Type="http://schemas.openxmlformats.org/officeDocument/2006/relationships/chart" Target="../charts/chart18.xml"/><Relationship Id="rId9" Type="http://schemas.openxmlformats.org/officeDocument/2006/relationships/chart" Target="../charts/chart23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6.xml"/><Relationship Id="rId2" Type="http://schemas.openxmlformats.org/officeDocument/2006/relationships/chart" Target="../charts/chart25.xml"/><Relationship Id="rId1" Type="http://schemas.openxmlformats.org/officeDocument/2006/relationships/chart" Target="../charts/chart2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1375120</xdr:colOff>
      <xdr:row>23</xdr:row>
      <xdr:rowOff>60350</xdr:rowOff>
    </xdr:from>
    <xdr:to>
      <xdr:col>3</xdr:col>
      <xdr:colOff>1479263</xdr:colOff>
      <xdr:row>26</xdr:row>
      <xdr:rowOff>371707</xdr:rowOff>
    </xdr:to>
    <xdr:grpSp>
      <xdr:nvGrpSpPr>
        <xdr:cNvPr id="16" name="Group 15"/>
        <xdr:cNvGrpSpPr/>
      </xdr:nvGrpSpPr>
      <xdr:grpSpPr>
        <a:xfrm>
          <a:off x="2096299" y="8918600"/>
          <a:ext cx="2880000" cy="1454357"/>
          <a:chOff x="2090657" y="8916277"/>
          <a:chExt cx="2864069" cy="1454357"/>
        </a:xfrm>
      </xdr:grpSpPr>
      <xdr:graphicFrame macro="">
        <xdr:nvGraphicFramePr>
          <xdr:cNvPr id="3" name="Chart 2">
            <a:extLst>
              <a:ext uri="{FF2B5EF4-FFF2-40B4-BE49-F238E27FC236}">
                <a16:creationId xmlns:a16="http://schemas.microsoft.com/office/drawing/2014/main" id="{45EB5E36-620F-4879-BEAA-45566C7BF56E}"/>
              </a:ext>
            </a:extLst>
          </xdr:cNvPr>
          <xdr:cNvGraphicFramePr/>
        </xdr:nvGraphicFramePr>
        <xdr:xfrm>
          <a:off x="2090657" y="8916277"/>
          <a:ext cx="2864069" cy="145435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pSp>
        <xdr:nvGrpSpPr>
          <xdr:cNvPr id="15" name="Group 14"/>
          <xdr:cNvGrpSpPr/>
        </xdr:nvGrpSpPr>
        <xdr:grpSpPr>
          <a:xfrm>
            <a:off x="3847172" y="9218341"/>
            <a:ext cx="933914" cy="506452"/>
            <a:chOff x="3675257" y="9218341"/>
            <a:chExt cx="933914" cy="506452"/>
          </a:xfrm>
        </xdr:grpSpPr>
        <xdr:sp macro="" textlink="">
          <xdr:nvSpPr>
            <xdr:cNvPr id="6" name="Rectangle 5"/>
            <xdr:cNvSpPr/>
          </xdr:nvSpPr>
          <xdr:spPr>
            <a:xfrm>
              <a:off x="3675257" y="9218341"/>
              <a:ext cx="933914" cy="506452"/>
            </a:xfrm>
            <a:prstGeom prst="rect">
              <a:avLst/>
            </a:prstGeom>
            <a:solidFill>
              <a:schemeClr val="bg1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GB" sz="1100">
                <a:solidFill>
                  <a:sysClr val="windowText" lastClr="000000"/>
                </a:solidFill>
              </a:endParaRPr>
            </a:p>
          </xdr:txBody>
        </xdr:sp>
        <xdr:sp macro="" textlink="">
          <xdr:nvSpPr>
            <xdr:cNvPr id="2" name="Rectangle 1"/>
            <xdr:cNvSpPr/>
          </xdr:nvSpPr>
          <xdr:spPr>
            <a:xfrm>
              <a:off x="3763535" y="9278744"/>
              <a:ext cx="78987" cy="83634"/>
            </a:xfrm>
            <a:prstGeom prst="rect">
              <a:avLst/>
            </a:prstGeom>
            <a:solidFill>
              <a:schemeClr val="accent1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GB" sz="1100">
                <a:solidFill>
                  <a:sysClr val="windowText" lastClr="000000"/>
                </a:solidFill>
              </a:endParaRPr>
            </a:p>
          </xdr:txBody>
        </xdr:sp>
        <xdr:sp macro="" textlink="">
          <xdr:nvSpPr>
            <xdr:cNvPr id="13" name="Rectangle 12"/>
            <xdr:cNvSpPr/>
          </xdr:nvSpPr>
          <xdr:spPr>
            <a:xfrm>
              <a:off x="3762607" y="9449730"/>
              <a:ext cx="78987" cy="83634"/>
            </a:xfrm>
            <a:prstGeom prst="rect">
              <a:avLst/>
            </a:prstGeom>
            <a:solidFill>
              <a:schemeClr val="accent2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GB" sz="1100">
                <a:solidFill>
                  <a:sysClr val="windowText" lastClr="000000"/>
                </a:solidFill>
              </a:endParaRPr>
            </a:p>
          </xdr:txBody>
        </xdr:sp>
        <xdr:sp macro="" textlink="">
          <xdr:nvSpPr>
            <xdr:cNvPr id="5" name="TextBox 4"/>
            <xdr:cNvSpPr txBox="1"/>
          </xdr:nvSpPr>
          <xdr:spPr>
            <a:xfrm>
              <a:off x="3847171" y="9222987"/>
              <a:ext cx="645842" cy="204440"/>
            </a:xfrm>
            <a:prstGeom prst="rect">
              <a:avLst/>
            </a:prstGeom>
            <a:solidFill>
              <a:schemeClr val="bg1"/>
            </a:solidFill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lIns="36000" tIns="36000" rIns="36000" bIns="36000" rtlCol="0" anchor="t"/>
            <a:lstStyle/>
            <a:p>
              <a:r>
                <a:rPr lang="en-GB" sz="800">
                  <a:solidFill>
                    <a:sysClr val="windowText" lastClr="000000"/>
                  </a:solidFill>
                </a:rPr>
                <a:t>Current role</a:t>
              </a:r>
            </a:p>
          </xdr:txBody>
        </xdr:sp>
        <xdr:sp macro="" textlink="">
          <xdr:nvSpPr>
            <xdr:cNvPr id="14" name="TextBox 13"/>
            <xdr:cNvSpPr txBox="1"/>
          </xdr:nvSpPr>
          <xdr:spPr>
            <a:xfrm>
              <a:off x="3841595" y="9375385"/>
              <a:ext cx="725758" cy="344761"/>
            </a:xfrm>
            <a:prstGeom prst="rect">
              <a:avLst/>
            </a:prstGeom>
            <a:solidFill>
              <a:schemeClr val="bg1"/>
            </a:solidFill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lIns="36000" tIns="36000" rIns="36000" bIns="36000" rtlCol="0" anchor="t"/>
            <a:lstStyle/>
            <a:p>
              <a:r>
                <a:rPr lang="en-GB" sz="800">
                  <a:solidFill>
                    <a:sysClr val="windowText" lastClr="000000"/>
                  </a:solidFill>
                </a:rPr>
                <a:t>Relevant</a:t>
              </a:r>
              <a:r>
                <a:rPr lang="en-GB" sz="800" baseline="0">
                  <a:solidFill>
                    <a:sysClr val="windowText" lastClr="000000"/>
                  </a:solidFill>
                </a:rPr>
                <a:t> prior to current role</a:t>
              </a:r>
              <a:endParaRPr lang="en-GB" sz="800">
                <a:solidFill>
                  <a:sysClr val="windowText" lastClr="000000"/>
                </a:solidFill>
              </a:endParaRPr>
            </a:p>
          </xdr:txBody>
        </xdr:sp>
      </xdr:grpSp>
    </xdr:grpSp>
    <xdr:clientData/>
  </xdr:twoCellAnchor>
  <xdr:twoCellAnchor>
    <xdr:from>
      <xdr:col>22</xdr:col>
      <xdr:colOff>1014412</xdr:colOff>
      <xdr:row>34</xdr:row>
      <xdr:rowOff>119062</xdr:rowOff>
    </xdr:from>
    <xdr:to>
      <xdr:col>25</xdr:col>
      <xdr:colOff>751162</xdr:colOff>
      <xdr:row>42</xdr:row>
      <xdr:rowOff>35062</xdr:rowOff>
    </xdr:to>
    <xdr:graphicFrame macro="">
      <xdr:nvGraphicFramePr>
        <xdr:cNvPr id="18" name="Chart 1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26</xdr:col>
      <xdr:colOff>103909</xdr:colOff>
      <xdr:row>34</xdr:row>
      <xdr:rowOff>86591</xdr:rowOff>
    </xdr:from>
    <xdr:to>
      <xdr:col>28</xdr:col>
      <xdr:colOff>897067</xdr:colOff>
      <xdr:row>42</xdr:row>
      <xdr:rowOff>2591</xdr:rowOff>
    </xdr:to>
    <xdr:graphicFrame macro="">
      <xdr:nvGraphicFramePr>
        <xdr:cNvPr id="19" name="Chart 1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26</xdr:col>
      <xdr:colOff>1031797</xdr:colOff>
      <xdr:row>24</xdr:row>
      <xdr:rowOff>313903</xdr:rowOff>
    </xdr:from>
    <xdr:to>
      <xdr:col>30</xdr:col>
      <xdr:colOff>157633</xdr:colOff>
      <xdr:row>30</xdr:row>
      <xdr:rowOff>39403</xdr:rowOff>
    </xdr:to>
    <xdr:graphicFrame macro="">
      <xdr:nvGraphicFramePr>
        <xdr:cNvPr id="20" name="Chart 1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538656</xdr:colOff>
      <xdr:row>24</xdr:row>
      <xdr:rowOff>380999</xdr:rowOff>
    </xdr:from>
    <xdr:to>
      <xdr:col>29</xdr:col>
      <xdr:colOff>433552</xdr:colOff>
      <xdr:row>25</xdr:row>
      <xdr:rowOff>348155</xdr:rowOff>
    </xdr:to>
    <xdr:grpSp>
      <xdr:nvGrpSpPr>
        <xdr:cNvPr id="26" name="Group 25"/>
        <xdr:cNvGrpSpPr/>
      </xdr:nvGrpSpPr>
      <xdr:grpSpPr>
        <a:xfrm>
          <a:off x="28841513" y="9620249"/>
          <a:ext cx="942646" cy="348156"/>
          <a:chOff x="29139931" y="9170275"/>
          <a:chExt cx="945931" cy="348156"/>
        </a:xfrm>
      </xdr:grpSpPr>
      <xdr:sp macro="" textlink="">
        <xdr:nvSpPr>
          <xdr:cNvPr id="21" name="Rectangle 20"/>
          <xdr:cNvSpPr/>
        </xdr:nvSpPr>
        <xdr:spPr>
          <a:xfrm>
            <a:off x="29139931" y="9196553"/>
            <a:ext cx="867103" cy="295602"/>
          </a:xfrm>
          <a:prstGeom prst="rect">
            <a:avLst/>
          </a:prstGeom>
          <a:solidFill>
            <a:schemeClr val="bg1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GB" sz="1100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22" name="Rectangle 21"/>
          <xdr:cNvSpPr/>
        </xdr:nvSpPr>
        <xdr:spPr>
          <a:xfrm>
            <a:off x="29169057" y="9237247"/>
            <a:ext cx="78961" cy="83634"/>
          </a:xfrm>
          <a:prstGeom prst="rect">
            <a:avLst/>
          </a:prstGeom>
          <a:solidFill>
            <a:schemeClr val="accent1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GB" sz="1100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23" name="Rectangle 22"/>
          <xdr:cNvSpPr/>
        </xdr:nvSpPr>
        <xdr:spPr>
          <a:xfrm>
            <a:off x="29168130" y="9368819"/>
            <a:ext cx="78961" cy="83634"/>
          </a:xfrm>
          <a:prstGeom prst="rect">
            <a:avLst/>
          </a:prstGeom>
          <a:solidFill>
            <a:schemeClr val="accent2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GB" sz="1100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24" name="TextBox 23"/>
          <xdr:cNvSpPr txBox="1"/>
        </xdr:nvSpPr>
        <xdr:spPr>
          <a:xfrm>
            <a:off x="29259234" y="9170275"/>
            <a:ext cx="320817" cy="203639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36000" rIns="36000" bIns="36000" rtlCol="0" anchor="t"/>
          <a:lstStyle/>
          <a:p>
            <a:r>
              <a:rPr lang="en-GB" sz="800">
                <a:solidFill>
                  <a:sysClr val="windowText" lastClr="000000"/>
                </a:solidFill>
              </a:rPr>
              <a:t>Mean</a:t>
            </a:r>
          </a:p>
        </xdr:txBody>
      </xdr:sp>
      <xdr:sp macro="" textlink="">
        <xdr:nvSpPr>
          <xdr:cNvPr id="25" name="TextBox 24"/>
          <xdr:cNvSpPr txBox="1"/>
        </xdr:nvSpPr>
        <xdr:spPr>
          <a:xfrm>
            <a:off x="29247091" y="9320751"/>
            <a:ext cx="838771" cy="19768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36000" rIns="36000" bIns="36000" rtlCol="0" anchor="t"/>
          <a:lstStyle/>
          <a:p>
            <a:r>
              <a:rPr lang="en-GB" sz="800">
                <a:solidFill>
                  <a:sysClr val="windowText" lastClr="000000"/>
                </a:solidFill>
              </a:rPr>
              <a:t>Weighted mean</a:t>
            </a:r>
          </a:p>
        </xdr:txBody>
      </xdr:sp>
    </xdr:grpSp>
    <xdr:clientData/>
  </xdr:twoCellAnchor>
  <xdr:twoCellAnchor>
    <xdr:from>
      <xdr:col>2</xdr:col>
      <xdr:colOff>139592</xdr:colOff>
      <xdr:row>23</xdr:row>
      <xdr:rowOff>212750</xdr:rowOff>
    </xdr:from>
    <xdr:to>
      <xdr:col>3</xdr:col>
      <xdr:colOff>1631663</xdr:colOff>
      <xdr:row>27</xdr:row>
      <xdr:rowOff>143107</xdr:rowOff>
    </xdr:to>
    <xdr:grpSp>
      <xdr:nvGrpSpPr>
        <xdr:cNvPr id="27" name="Group 26"/>
        <xdr:cNvGrpSpPr/>
      </xdr:nvGrpSpPr>
      <xdr:grpSpPr>
        <a:xfrm>
          <a:off x="2248699" y="9071000"/>
          <a:ext cx="2880000" cy="1454357"/>
          <a:chOff x="2090657" y="8916277"/>
          <a:chExt cx="2864069" cy="1454357"/>
        </a:xfrm>
      </xdr:grpSpPr>
      <xdr:graphicFrame macro="">
        <xdr:nvGraphicFramePr>
          <xdr:cNvPr id="28" name="Chart 27">
            <a:extLst>
              <a:ext uri="{FF2B5EF4-FFF2-40B4-BE49-F238E27FC236}">
                <a16:creationId xmlns:a16="http://schemas.microsoft.com/office/drawing/2014/main" id="{45EB5E36-620F-4879-BEAA-45566C7BF56E}"/>
              </a:ext>
            </a:extLst>
          </xdr:cNvPr>
          <xdr:cNvGraphicFramePr/>
        </xdr:nvGraphicFramePr>
        <xdr:xfrm>
          <a:off x="2090657" y="8916277"/>
          <a:ext cx="2864069" cy="145435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5"/>
          </a:graphicData>
        </a:graphic>
      </xdr:graphicFrame>
      <xdr:grpSp>
        <xdr:nvGrpSpPr>
          <xdr:cNvPr id="29" name="Group 28"/>
          <xdr:cNvGrpSpPr/>
        </xdr:nvGrpSpPr>
        <xdr:grpSpPr>
          <a:xfrm>
            <a:off x="3847172" y="9218341"/>
            <a:ext cx="933914" cy="506452"/>
            <a:chOff x="3675257" y="9218341"/>
            <a:chExt cx="933914" cy="506452"/>
          </a:xfrm>
        </xdr:grpSpPr>
        <xdr:sp macro="" textlink="">
          <xdr:nvSpPr>
            <xdr:cNvPr id="30" name="Rectangle 29"/>
            <xdr:cNvSpPr/>
          </xdr:nvSpPr>
          <xdr:spPr>
            <a:xfrm>
              <a:off x="3675257" y="9218341"/>
              <a:ext cx="933914" cy="506452"/>
            </a:xfrm>
            <a:prstGeom prst="rect">
              <a:avLst/>
            </a:prstGeom>
            <a:solidFill>
              <a:schemeClr val="bg1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GB" sz="1100">
                <a:solidFill>
                  <a:sysClr val="windowText" lastClr="000000"/>
                </a:solidFill>
              </a:endParaRPr>
            </a:p>
          </xdr:txBody>
        </xdr:sp>
        <xdr:sp macro="" textlink="">
          <xdr:nvSpPr>
            <xdr:cNvPr id="31" name="Rectangle 30"/>
            <xdr:cNvSpPr/>
          </xdr:nvSpPr>
          <xdr:spPr>
            <a:xfrm>
              <a:off x="3763535" y="9278744"/>
              <a:ext cx="78987" cy="83634"/>
            </a:xfrm>
            <a:prstGeom prst="rect">
              <a:avLst/>
            </a:prstGeom>
            <a:solidFill>
              <a:schemeClr val="accent1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GB" sz="1100">
                <a:solidFill>
                  <a:sysClr val="windowText" lastClr="000000"/>
                </a:solidFill>
              </a:endParaRPr>
            </a:p>
          </xdr:txBody>
        </xdr:sp>
        <xdr:sp macro="" textlink="">
          <xdr:nvSpPr>
            <xdr:cNvPr id="32" name="Rectangle 31"/>
            <xdr:cNvSpPr/>
          </xdr:nvSpPr>
          <xdr:spPr>
            <a:xfrm>
              <a:off x="3762607" y="9449730"/>
              <a:ext cx="78987" cy="83634"/>
            </a:xfrm>
            <a:prstGeom prst="rect">
              <a:avLst/>
            </a:prstGeom>
            <a:solidFill>
              <a:schemeClr val="accent2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GB" sz="1100">
                <a:solidFill>
                  <a:sysClr val="windowText" lastClr="000000"/>
                </a:solidFill>
              </a:endParaRPr>
            </a:p>
          </xdr:txBody>
        </xdr:sp>
        <xdr:sp macro="" textlink="">
          <xdr:nvSpPr>
            <xdr:cNvPr id="33" name="TextBox 32"/>
            <xdr:cNvSpPr txBox="1"/>
          </xdr:nvSpPr>
          <xdr:spPr>
            <a:xfrm>
              <a:off x="3847171" y="9222987"/>
              <a:ext cx="645842" cy="204440"/>
            </a:xfrm>
            <a:prstGeom prst="rect">
              <a:avLst/>
            </a:prstGeom>
            <a:solidFill>
              <a:schemeClr val="bg1"/>
            </a:solidFill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lIns="36000" tIns="36000" rIns="36000" bIns="36000" rtlCol="0" anchor="t"/>
            <a:lstStyle/>
            <a:p>
              <a:r>
                <a:rPr lang="en-GB" sz="800">
                  <a:solidFill>
                    <a:sysClr val="windowText" lastClr="000000"/>
                  </a:solidFill>
                </a:rPr>
                <a:t>Current role</a:t>
              </a:r>
            </a:p>
          </xdr:txBody>
        </xdr:sp>
        <xdr:sp macro="" textlink="">
          <xdr:nvSpPr>
            <xdr:cNvPr id="34" name="TextBox 33"/>
            <xdr:cNvSpPr txBox="1"/>
          </xdr:nvSpPr>
          <xdr:spPr>
            <a:xfrm>
              <a:off x="3841595" y="9375385"/>
              <a:ext cx="725758" cy="344761"/>
            </a:xfrm>
            <a:prstGeom prst="rect">
              <a:avLst/>
            </a:prstGeom>
            <a:solidFill>
              <a:schemeClr val="bg1"/>
            </a:solidFill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lIns="36000" tIns="36000" rIns="36000" bIns="36000" rtlCol="0" anchor="t"/>
            <a:lstStyle/>
            <a:p>
              <a:r>
                <a:rPr lang="en-GB" sz="800">
                  <a:solidFill>
                    <a:sysClr val="windowText" lastClr="000000"/>
                  </a:solidFill>
                </a:rPr>
                <a:t>Relevant</a:t>
              </a:r>
              <a:r>
                <a:rPr lang="en-GB" sz="800" baseline="0">
                  <a:solidFill>
                    <a:sysClr val="windowText" lastClr="000000"/>
                  </a:solidFill>
                </a:rPr>
                <a:t> prior to current role</a:t>
              </a:r>
              <a:endParaRPr lang="en-GB" sz="800">
                <a:solidFill>
                  <a:sysClr val="windowText" lastClr="000000"/>
                </a:solidFill>
              </a:endParaRPr>
            </a:p>
          </xdr:txBody>
        </xdr:sp>
      </xdr:grpSp>
    </xdr:grpSp>
    <xdr:clientData/>
  </xdr:twoCellAnchor>
  <xdr:twoCellAnchor>
    <xdr:from>
      <xdr:col>4</xdr:col>
      <xdr:colOff>340179</xdr:colOff>
      <xdr:row>23</xdr:row>
      <xdr:rowOff>27215</xdr:rowOff>
    </xdr:from>
    <xdr:to>
      <xdr:col>12</xdr:col>
      <xdr:colOff>598714</xdr:colOff>
      <xdr:row>33</xdr:row>
      <xdr:rowOff>161679</xdr:rowOff>
    </xdr:to>
    <xdr:grpSp>
      <xdr:nvGrpSpPr>
        <xdr:cNvPr id="35" name="Group 34"/>
        <xdr:cNvGrpSpPr/>
      </xdr:nvGrpSpPr>
      <xdr:grpSpPr>
        <a:xfrm>
          <a:off x="5891893" y="8885465"/>
          <a:ext cx="6681107" cy="2801464"/>
          <a:chOff x="2090657" y="8916277"/>
          <a:chExt cx="2864069" cy="1454357"/>
        </a:xfrm>
      </xdr:grpSpPr>
      <xdr:graphicFrame macro="">
        <xdr:nvGraphicFramePr>
          <xdr:cNvPr id="36" name="Chart 35">
            <a:extLst>
              <a:ext uri="{FF2B5EF4-FFF2-40B4-BE49-F238E27FC236}">
                <a16:creationId xmlns:a16="http://schemas.microsoft.com/office/drawing/2014/main" id="{45EB5E36-620F-4879-BEAA-45566C7BF56E}"/>
              </a:ext>
            </a:extLst>
          </xdr:cNvPr>
          <xdr:cNvGraphicFramePr/>
        </xdr:nvGraphicFramePr>
        <xdr:xfrm>
          <a:off x="2090657" y="8916277"/>
          <a:ext cx="2864069" cy="145435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6"/>
          </a:graphicData>
        </a:graphic>
      </xdr:graphicFrame>
      <xdr:grpSp>
        <xdr:nvGrpSpPr>
          <xdr:cNvPr id="37" name="Group 36"/>
          <xdr:cNvGrpSpPr/>
        </xdr:nvGrpSpPr>
        <xdr:grpSpPr>
          <a:xfrm>
            <a:off x="3847172" y="9218341"/>
            <a:ext cx="933914" cy="506452"/>
            <a:chOff x="3675257" y="9218341"/>
            <a:chExt cx="933914" cy="506452"/>
          </a:xfrm>
        </xdr:grpSpPr>
        <xdr:sp macro="" textlink="">
          <xdr:nvSpPr>
            <xdr:cNvPr id="38" name="Rectangle 37"/>
            <xdr:cNvSpPr/>
          </xdr:nvSpPr>
          <xdr:spPr>
            <a:xfrm>
              <a:off x="3675257" y="9218341"/>
              <a:ext cx="933914" cy="506452"/>
            </a:xfrm>
            <a:prstGeom prst="rect">
              <a:avLst/>
            </a:prstGeom>
            <a:solidFill>
              <a:schemeClr val="bg1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GB" sz="1600">
                <a:solidFill>
                  <a:sysClr val="windowText" lastClr="000000"/>
                </a:solidFill>
              </a:endParaRPr>
            </a:p>
          </xdr:txBody>
        </xdr:sp>
        <xdr:sp macro="" textlink="">
          <xdr:nvSpPr>
            <xdr:cNvPr id="39" name="Rectangle 38"/>
            <xdr:cNvSpPr/>
          </xdr:nvSpPr>
          <xdr:spPr>
            <a:xfrm>
              <a:off x="3763535" y="9236360"/>
              <a:ext cx="78987" cy="83634"/>
            </a:xfrm>
            <a:prstGeom prst="rect">
              <a:avLst/>
            </a:prstGeom>
            <a:solidFill>
              <a:schemeClr val="accent1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GB" sz="1600">
                <a:solidFill>
                  <a:sysClr val="windowText" lastClr="000000"/>
                </a:solidFill>
              </a:endParaRPr>
            </a:p>
          </xdr:txBody>
        </xdr:sp>
        <xdr:sp macro="" textlink="">
          <xdr:nvSpPr>
            <xdr:cNvPr id="40" name="Rectangle 39"/>
            <xdr:cNvSpPr/>
          </xdr:nvSpPr>
          <xdr:spPr>
            <a:xfrm>
              <a:off x="3762607" y="9386154"/>
              <a:ext cx="78987" cy="83634"/>
            </a:xfrm>
            <a:prstGeom prst="rect">
              <a:avLst/>
            </a:prstGeom>
            <a:solidFill>
              <a:schemeClr val="accent2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GB" sz="1600">
                <a:solidFill>
                  <a:sysClr val="windowText" lastClr="000000"/>
                </a:solidFill>
              </a:endParaRPr>
            </a:p>
          </xdr:txBody>
        </xdr:sp>
        <xdr:sp macro="" textlink="">
          <xdr:nvSpPr>
            <xdr:cNvPr id="41" name="TextBox 40"/>
            <xdr:cNvSpPr txBox="1"/>
          </xdr:nvSpPr>
          <xdr:spPr>
            <a:xfrm>
              <a:off x="3847171" y="9222987"/>
              <a:ext cx="645842" cy="204440"/>
            </a:xfrm>
            <a:prstGeom prst="rect">
              <a:avLst/>
            </a:prstGeom>
            <a:solidFill>
              <a:schemeClr val="bg1"/>
            </a:solidFill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lIns="36000" tIns="36000" rIns="36000" bIns="36000" rtlCol="0" anchor="t"/>
            <a:lstStyle/>
            <a:p>
              <a:r>
                <a:rPr lang="en-GB" sz="1050">
                  <a:solidFill>
                    <a:sysClr val="windowText" lastClr="000000"/>
                  </a:solidFill>
                </a:rPr>
                <a:t>Current role</a:t>
              </a:r>
            </a:p>
          </xdr:txBody>
        </xdr:sp>
        <xdr:sp macro="" textlink="">
          <xdr:nvSpPr>
            <xdr:cNvPr id="42" name="TextBox 41"/>
            <xdr:cNvSpPr txBox="1"/>
          </xdr:nvSpPr>
          <xdr:spPr>
            <a:xfrm>
              <a:off x="3841595" y="9375385"/>
              <a:ext cx="725758" cy="344761"/>
            </a:xfrm>
            <a:prstGeom prst="rect">
              <a:avLst/>
            </a:prstGeom>
            <a:solidFill>
              <a:schemeClr val="bg1"/>
            </a:solidFill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lIns="36000" tIns="36000" rIns="36000" bIns="36000" rtlCol="0" anchor="t"/>
            <a:lstStyle/>
            <a:p>
              <a:r>
                <a:rPr lang="en-GB" sz="1050">
                  <a:solidFill>
                    <a:sysClr val="windowText" lastClr="000000"/>
                  </a:solidFill>
                </a:rPr>
                <a:t>Relevant</a:t>
              </a:r>
              <a:r>
                <a:rPr lang="en-GB" sz="1050" baseline="0">
                  <a:solidFill>
                    <a:sysClr val="windowText" lastClr="000000"/>
                  </a:solidFill>
                </a:rPr>
                <a:t> prior to current role</a:t>
              </a:r>
              <a:endParaRPr lang="en-GB" sz="1050">
                <a:solidFill>
                  <a:sysClr val="windowText" lastClr="000000"/>
                </a:solidFill>
              </a:endParaRPr>
            </a:p>
          </xdr:txBody>
        </xdr:sp>
      </xdr:grp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25</xdr:col>
      <xdr:colOff>345951</xdr:colOff>
      <xdr:row>12</xdr:row>
      <xdr:rowOff>161369</xdr:rowOff>
    </xdr:from>
    <xdr:to>
      <xdr:col>37</xdr:col>
      <xdr:colOff>273379</xdr:colOff>
      <xdr:row>23</xdr:row>
      <xdr:rowOff>100199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C7991F83-E176-400A-852E-C28E699D4B0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163080</xdr:colOff>
      <xdr:row>49</xdr:row>
      <xdr:rowOff>47626</xdr:rowOff>
    </xdr:from>
    <xdr:to>
      <xdr:col>6</xdr:col>
      <xdr:colOff>336263</xdr:colOff>
      <xdr:row>65</xdr:row>
      <xdr:rowOff>103910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6BCF2395-1AFF-43FB-ACED-8D9E9954333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347807</xdr:colOff>
      <xdr:row>49</xdr:row>
      <xdr:rowOff>47626</xdr:rowOff>
    </xdr:from>
    <xdr:to>
      <xdr:col>23</xdr:col>
      <xdr:colOff>288636</xdr:colOff>
      <xdr:row>65</xdr:row>
      <xdr:rowOff>103910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9F5FDEF1-1D82-469C-97D6-81CF541B9C6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147204</xdr:colOff>
      <xdr:row>65</xdr:row>
      <xdr:rowOff>159473</xdr:rowOff>
    </xdr:from>
    <xdr:to>
      <xdr:col>3</xdr:col>
      <xdr:colOff>3252932</xdr:colOff>
      <xdr:row>79</xdr:row>
      <xdr:rowOff>103910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B9EACFD1-79B3-4EE4-B3D7-DFBCF06BC6A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</xdr:col>
      <xdr:colOff>3693103</xdr:colOff>
      <xdr:row>65</xdr:row>
      <xdr:rowOff>143598</xdr:rowOff>
    </xdr:from>
    <xdr:to>
      <xdr:col>23</xdr:col>
      <xdr:colOff>272761</xdr:colOff>
      <xdr:row>79</xdr:row>
      <xdr:rowOff>103910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9EC285DC-B991-42DB-BE31-94BCC12C2DD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131329</xdr:colOff>
      <xdr:row>79</xdr:row>
      <xdr:rowOff>103910</xdr:rowOff>
    </xdr:from>
    <xdr:to>
      <xdr:col>6</xdr:col>
      <xdr:colOff>304512</xdr:colOff>
      <xdr:row>97</xdr:row>
      <xdr:rowOff>15733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12FA7A97-6B6B-4715-8160-C99ABD73DBA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29</xdr:col>
      <xdr:colOff>666755</xdr:colOff>
      <xdr:row>35</xdr:row>
      <xdr:rowOff>3710</xdr:rowOff>
    </xdr:from>
    <xdr:to>
      <xdr:col>36</xdr:col>
      <xdr:colOff>701387</xdr:colOff>
      <xdr:row>46</xdr:row>
      <xdr:rowOff>68035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AD6141D9-E519-46C1-9AB3-97D8D14507E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23</xdr:col>
      <xdr:colOff>484908</xdr:colOff>
      <xdr:row>36</xdr:row>
      <xdr:rowOff>173182</xdr:rowOff>
    </xdr:from>
    <xdr:to>
      <xdr:col>29</xdr:col>
      <xdr:colOff>442849</xdr:colOff>
      <xdr:row>50</xdr:row>
      <xdr:rowOff>126175</xdr:rowOff>
    </xdr:to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E6ED6DD9-EDE7-4AFE-A928-7BAD47596398}"/>
            </a:ext>
          </a:extLst>
        </xdr:cNvPr>
        <xdr:cNvSpPr txBox="1"/>
      </xdr:nvSpPr>
      <xdr:spPr>
        <a:xfrm>
          <a:off x="17352817" y="8953500"/>
          <a:ext cx="4218214" cy="2775857"/>
        </a:xfrm>
        <a:prstGeom prst="rect">
          <a:avLst/>
        </a:prstGeom>
        <a:solidFill>
          <a:schemeClr val="lt1"/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600" b="1"/>
            <a:t>Mean values are calulated</a:t>
          </a:r>
          <a:r>
            <a:rPr lang="en-GB" sz="1600" b="1" baseline="0"/>
            <a:t> individually for each factor and category.</a:t>
          </a:r>
        </a:p>
        <a:p>
          <a:r>
            <a:rPr lang="en-GB" sz="1600">
              <a:solidFill>
                <a:srgbClr val="00B050"/>
              </a:solidFill>
            </a:rPr>
            <a:t>GREEN = Low</a:t>
          </a:r>
          <a:r>
            <a:rPr lang="en-GB" sz="1600" baseline="0">
              <a:solidFill>
                <a:srgbClr val="00B050"/>
              </a:solidFill>
            </a:rPr>
            <a:t> influence</a:t>
          </a:r>
        </a:p>
        <a:p>
          <a:r>
            <a:rPr lang="en-GB" sz="1600" baseline="0">
              <a:solidFill>
                <a:srgbClr val="FF0000"/>
              </a:solidFill>
            </a:rPr>
            <a:t>RED = High influence</a:t>
          </a:r>
        </a:p>
        <a:p>
          <a:endParaRPr lang="en-GB" sz="1600" b="1" baseline="0"/>
        </a:p>
        <a:p>
          <a:r>
            <a:rPr lang="en-GB" sz="1600" b="1"/>
            <a:t>Agreement</a:t>
          </a:r>
          <a:r>
            <a:rPr lang="en-GB" sz="1600" b="1" baseline="0"/>
            <a:t> between respondents is</a:t>
          </a:r>
          <a:r>
            <a:rPr lang="en-GB" sz="1600" b="1"/>
            <a:t> calulated as the range for</a:t>
          </a:r>
          <a:r>
            <a:rPr lang="en-GB" sz="1600" b="1" baseline="0"/>
            <a:t> i</a:t>
          </a:r>
          <a:r>
            <a:rPr lang="en-GB" sz="1600" b="1"/>
            <a:t>ndividual factors and per category.</a:t>
          </a:r>
        </a:p>
        <a:p>
          <a:r>
            <a:rPr lang="en-GB" sz="1600">
              <a:solidFill>
                <a:srgbClr val="00B050"/>
              </a:solidFill>
            </a:rPr>
            <a:t>GREEN = High</a:t>
          </a:r>
          <a:r>
            <a:rPr lang="en-GB" sz="1600" baseline="0">
              <a:solidFill>
                <a:srgbClr val="00B050"/>
              </a:solidFill>
            </a:rPr>
            <a:t> agreement</a:t>
          </a:r>
          <a:endParaRPr lang="en-GB" sz="1600">
            <a:solidFill>
              <a:srgbClr val="00B050"/>
            </a:solidFill>
          </a:endParaRPr>
        </a:p>
        <a:p>
          <a:r>
            <a:rPr lang="en-GB" sz="1600">
              <a:solidFill>
                <a:srgbClr val="FF0000"/>
              </a:solidFill>
            </a:rPr>
            <a:t>RED = Low agreement</a:t>
          </a:r>
        </a:p>
      </xdr:txBody>
    </xdr:sp>
    <xdr:clientData/>
  </xdr:twoCellAnchor>
  <xdr:twoCellAnchor>
    <xdr:from>
      <xdr:col>25</xdr:col>
      <xdr:colOff>340179</xdr:colOff>
      <xdr:row>23</xdr:row>
      <xdr:rowOff>163285</xdr:rowOff>
    </xdr:from>
    <xdr:to>
      <xdr:col>37</xdr:col>
      <xdr:colOff>267607</xdr:colOff>
      <xdr:row>34</xdr:row>
      <xdr:rowOff>102116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C7991F83-E176-400A-852E-C28E699D4B0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31</xdr:col>
      <xdr:colOff>8283</xdr:colOff>
      <xdr:row>11</xdr:row>
      <xdr:rowOff>190500</xdr:rowOff>
    </xdr:from>
    <xdr:to>
      <xdr:col>31</xdr:col>
      <xdr:colOff>670892</xdr:colOff>
      <xdr:row>12</xdr:row>
      <xdr:rowOff>231912</xdr:rowOff>
    </xdr:to>
    <xdr:sp macro="" textlink="">
      <xdr:nvSpPr>
        <xdr:cNvPr id="2" name="TextBox 1"/>
        <xdr:cNvSpPr txBox="1"/>
      </xdr:nvSpPr>
      <xdr:spPr>
        <a:xfrm>
          <a:off x="21443674" y="2956891"/>
          <a:ext cx="662609" cy="28989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400" b="1"/>
            <a:t>Mean</a:t>
          </a:r>
        </a:p>
      </xdr:txBody>
    </xdr:sp>
    <xdr:clientData/>
  </xdr:twoCellAnchor>
  <xdr:twoCellAnchor>
    <xdr:from>
      <xdr:col>31</xdr:col>
      <xdr:colOff>3314</xdr:colOff>
      <xdr:row>23</xdr:row>
      <xdr:rowOff>152401</xdr:rowOff>
    </xdr:from>
    <xdr:to>
      <xdr:col>31</xdr:col>
      <xdr:colOff>665923</xdr:colOff>
      <xdr:row>24</xdr:row>
      <xdr:rowOff>193813</xdr:rowOff>
    </xdr:to>
    <xdr:sp macro="" textlink="">
      <xdr:nvSpPr>
        <xdr:cNvPr id="15" name="TextBox 14"/>
        <xdr:cNvSpPr txBox="1"/>
      </xdr:nvSpPr>
      <xdr:spPr>
        <a:xfrm>
          <a:off x="21438705" y="5900531"/>
          <a:ext cx="662609" cy="28989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400" b="1"/>
            <a:t>Mode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923636</xdr:colOff>
      <xdr:row>55</xdr:row>
      <xdr:rowOff>97043</xdr:rowOff>
    </xdr:from>
    <xdr:to>
      <xdr:col>15</xdr:col>
      <xdr:colOff>606135</xdr:colOff>
      <xdr:row>69</xdr:row>
      <xdr:rowOff>63088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7991F83-E176-400A-852E-C28E699D4B0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203902</xdr:colOff>
      <xdr:row>74</xdr:row>
      <xdr:rowOff>129269</xdr:rowOff>
    </xdr:from>
    <xdr:to>
      <xdr:col>6</xdr:col>
      <xdr:colOff>377085</xdr:colOff>
      <xdr:row>90</xdr:row>
      <xdr:rowOff>185553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6BCF2395-1AFF-43FB-ACED-8D9E9954333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7629</xdr:colOff>
      <xdr:row>74</xdr:row>
      <xdr:rowOff>129269</xdr:rowOff>
    </xdr:from>
    <xdr:to>
      <xdr:col>20</xdr:col>
      <xdr:colOff>329458</xdr:colOff>
      <xdr:row>90</xdr:row>
      <xdr:rowOff>185553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9F5FDEF1-1D82-469C-97D6-81CF541B9C6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188026</xdr:colOff>
      <xdr:row>91</xdr:row>
      <xdr:rowOff>50616</xdr:rowOff>
    </xdr:from>
    <xdr:to>
      <xdr:col>3</xdr:col>
      <xdr:colOff>3293754</xdr:colOff>
      <xdr:row>104</xdr:row>
      <xdr:rowOff>185553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B9EACFD1-79B3-4EE4-B3D7-DFBCF06BC6A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</xdr:col>
      <xdr:colOff>3733925</xdr:colOff>
      <xdr:row>91</xdr:row>
      <xdr:rowOff>34741</xdr:rowOff>
    </xdr:from>
    <xdr:to>
      <xdr:col>20</xdr:col>
      <xdr:colOff>313583</xdr:colOff>
      <xdr:row>104</xdr:row>
      <xdr:rowOff>185553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9EC285DC-B991-42DB-BE31-94BCC12C2DD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172151</xdr:colOff>
      <xdr:row>104</xdr:row>
      <xdr:rowOff>185553</xdr:rowOff>
    </xdr:from>
    <xdr:to>
      <xdr:col>6</xdr:col>
      <xdr:colOff>345334</xdr:colOff>
      <xdr:row>122</xdr:row>
      <xdr:rowOff>97376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12FA7A97-6B6B-4715-8160-C99ABD73DBA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3959682</xdr:colOff>
      <xdr:row>40</xdr:row>
      <xdr:rowOff>207819</xdr:rowOff>
    </xdr:from>
    <xdr:to>
      <xdr:col>15</xdr:col>
      <xdr:colOff>143493</xdr:colOff>
      <xdr:row>53</xdr:row>
      <xdr:rowOff>163286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AD6141D9-E519-46C1-9AB3-97D8D14507E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</xdr:col>
      <xdr:colOff>63087</xdr:colOff>
      <xdr:row>39</xdr:row>
      <xdr:rowOff>173182</xdr:rowOff>
    </xdr:from>
    <xdr:to>
      <xdr:col>3</xdr:col>
      <xdr:colOff>3245921</xdr:colOff>
      <xdr:row>54</xdr:row>
      <xdr:rowOff>44533</xdr:rowOff>
    </xdr:to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E6ED6DD9-EDE7-4AFE-A928-7BAD47596398}"/>
            </a:ext>
          </a:extLst>
        </xdr:cNvPr>
        <xdr:cNvSpPr txBox="1"/>
      </xdr:nvSpPr>
      <xdr:spPr>
        <a:xfrm>
          <a:off x="444087" y="9779825"/>
          <a:ext cx="4285013" cy="3055422"/>
        </a:xfrm>
        <a:prstGeom prst="rect">
          <a:avLst/>
        </a:prstGeom>
        <a:solidFill>
          <a:schemeClr val="lt1"/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600" b="1"/>
            <a:t>Mean values are calulated</a:t>
          </a:r>
          <a:r>
            <a:rPr lang="en-GB" sz="1600" b="1" baseline="0"/>
            <a:t> individually for each factor and category.</a:t>
          </a:r>
        </a:p>
        <a:p>
          <a:r>
            <a:rPr lang="en-GB" sz="1600">
              <a:solidFill>
                <a:srgbClr val="00B050"/>
              </a:solidFill>
            </a:rPr>
            <a:t>GREEN = Low</a:t>
          </a:r>
          <a:r>
            <a:rPr lang="en-GB" sz="1600" baseline="0">
              <a:solidFill>
                <a:srgbClr val="00B050"/>
              </a:solidFill>
            </a:rPr>
            <a:t> influence</a:t>
          </a:r>
        </a:p>
        <a:p>
          <a:r>
            <a:rPr lang="en-GB" sz="1600" baseline="0">
              <a:solidFill>
                <a:srgbClr val="FF0000"/>
              </a:solidFill>
            </a:rPr>
            <a:t>RED = High influence</a:t>
          </a:r>
        </a:p>
        <a:p>
          <a:endParaRPr lang="en-GB" sz="1600" b="1" baseline="0"/>
        </a:p>
        <a:p>
          <a:r>
            <a:rPr lang="en-GB" sz="1600" b="1"/>
            <a:t>Agreement</a:t>
          </a:r>
          <a:r>
            <a:rPr lang="en-GB" sz="1600" b="1" baseline="0"/>
            <a:t> between respondents is</a:t>
          </a:r>
          <a:r>
            <a:rPr lang="en-GB" sz="1600" b="1"/>
            <a:t> calulated as the range for</a:t>
          </a:r>
          <a:r>
            <a:rPr lang="en-GB" sz="1600" b="1" baseline="0"/>
            <a:t> i</a:t>
          </a:r>
          <a:r>
            <a:rPr lang="en-GB" sz="1600" b="1"/>
            <a:t>ndividual factors and per category.</a:t>
          </a:r>
        </a:p>
        <a:p>
          <a:r>
            <a:rPr lang="en-GB" sz="1600">
              <a:solidFill>
                <a:srgbClr val="00B050"/>
              </a:solidFill>
            </a:rPr>
            <a:t>GREEN = High</a:t>
          </a:r>
          <a:r>
            <a:rPr lang="en-GB" sz="1600" baseline="0">
              <a:solidFill>
                <a:srgbClr val="00B050"/>
              </a:solidFill>
            </a:rPr>
            <a:t> agreement</a:t>
          </a:r>
          <a:endParaRPr lang="en-GB" sz="1600">
            <a:solidFill>
              <a:srgbClr val="00B050"/>
            </a:solidFill>
          </a:endParaRPr>
        </a:p>
        <a:p>
          <a:r>
            <a:rPr lang="en-GB" sz="1600">
              <a:solidFill>
                <a:srgbClr val="FF0000"/>
              </a:solidFill>
            </a:rPr>
            <a:t>RED = Low agreement</a:t>
          </a:r>
        </a:p>
      </xdr:txBody>
    </xdr:sp>
    <xdr:clientData/>
  </xdr:twoCellAnchor>
  <xdr:twoCellAnchor>
    <xdr:from>
      <xdr:col>17</xdr:col>
      <xdr:colOff>242453</xdr:colOff>
      <xdr:row>48</xdr:row>
      <xdr:rowOff>0</xdr:rowOff>
    </xdr:from>
    <xdr:to>
      <xdr:col>35</xdr:col>
      <xdr:colOff>357907</xdr:colOff>
      <xdr:row>59</xdr:row>
      <xdr:rowOff>64500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C7991F83-E176-400A-852E-C28E699D4B0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36</xdr:col>
      <xdr:colOff>138546</xdr:colOff>
      <xdr:row>47</xdr:row>
      <xdr:rowOff>173182</xdr:rowOff>
    </xdr:from>
    <xdr:to>
      <xdr:col>49</xdr:col>
      <xdr:colOff>392545</xdr:colOff>
      <xdr:row>61</xdr:row>
      <xdr:rowOff>139227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C7991F83-E176-400A-852E-C28E699D4B0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 editAs="oneCell">
    <xdr:from>
      <xdr:col>23</xdr:col>
      <xdr:colOff>11206</xdr:colOff>
      <xdr:row>72</xdr:row>
      <xdr:rowOff>78441</xdr:rowOff>
    </xdr:from>
    <xdr:to>
      <xdr:col>39</xdr:col>
      <xdr:colOff>217306</xdr:colOff>
      <xdr:row>83</xdr:row>
      <xdr:rowOff>141112</xdr:rowOff>
    </xdr:to>
    <xdr:pic>
      <xdr:nvPicPr>
        <xdr:cNvPr id="13" name="Picture 12"/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14780559" y="16293353"/>
          <a:ext cx="9327688" cy="2158171"/>
        </a:xfrm>
        <a:prstGeom prst="rect">
          <a:avLst/>
        </a:prstGeom>
      </xdr:spPr>
    </xdr:pic>
    <xdr:clientData/>
  </xdr:twoCellAnchor>
  <xdr:twoCellAnchor editAs="oneCell">
    <xdr:from>
      <xdr:col>16</xdr:col>
      <xdr:colOff>291353</xdr:colOff>
      <xdr:row>60</xdr:row>
      <xdr:rowOff>100853</xdr:rowOff>
    </xdr:from>
    <xdr:to>
      <xdr:col>34</xdr:col>
      <xdr:colOff>407806</xdr:colOff>
      <xdr:row>71</xdr:row>
      <xdr:rowOff>163524</xdr:rowOff>
    </xdr:to>
    <xdr:pic>
      <xdr:nvPicPr>
        <xdr:cNvPr id="14" name="Picture 13"/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11385177" y="14029765"/>
          <a:ext cx="9327688" cy="2158171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3484254</xdr:colOff>
      <xdr:row>51</xdr:row>
      <xdr:rowOff>113124</xdr:rowOff>
    </xdr:from>
    <xdr:to>
      <xdr:col>19</xdr:col>
      <xdr:colOff>207817</xdr:colOff>
      <xdr:row>65</xdr:row>
      <xdr:rowOff>51954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BF4D2AB-E36E-4DA6-94A9-CF78C50B35D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329050</xdr:colOff>
      <xdr:row>40</xdr:row>
      <xdr:rowOff>51954</xdr:rowOff>
    </xdr:from>
    <xdr:to>
      <xdr:col>21</xdr:col>
      <xdr:colOff>692727</xdr:colOff>
      <xdr:row>50</xdr:row>
      <xdr:rowOff>51954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D38D9D15-436A-4857-BE3C-1221813B880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346363</xdr:colOff>
      <xdr:row>51</xdr:row>
      <xdr:rowOff>155863</xdr:rowOff>
    </xdr:from>
    <xdr:to>
      <xdr:col>3</xdr:col>
      <xdr:colOff>3092531</xdr:colOff>
      <xdr:row>68</xdr:row>
      <xdr:rowOff>160811</xdr:rowOff>
    </xdr:to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E094A1FF-B7C2-4089-9F55-71AD9A401B5F}"/>
            </a:ext>
          </a:extLst>
        </xdr:cNvPr>
        <xdr:cNvSpPr txBox="1"/>
      </xdr:nvSpPr>
      <xdr:spPr>
        <a:xfrm>
          <a:off x="346363" y="12417136"/>
          <a:ext cx="4218213" cy="3243448"/>
        </a:xfrm>
        <a:prstGeom prst="rect">
          <a:avLst/>
        </a:prstGeom>
        <a:solidFill>
          <a:schemeClr val="lt1"/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600" b="1"/>
            <a:t>Mean values are calulated</a:t>
          </a:r>
          <a:r>
            <a:rPr lang="en-GB" sz="1600" b="1" baseline="0"/>
            <a:t> individually for each factor and category.</a:t>
          </a:r>
        </a:p>
        <a:p>
          <a:r>
            <a:rPr lang="en-GB" sz="1600">
              <a:solidFill>
                <a:srgbClr val="00B050"/>
              </a:solidFill>
            </a:rPr>
            <a:t>GREEN = Low</a:t>
          </a:r>
          <a:r>
            <a:rPr lang="en-GB" sz="1600" baseline="0">
              <a:solidFill>
                <a:srgbClr val="00B050"/>
              </a:solidFill>
            </a:rPr>
            <a:t> influence</a:t>
          </a:r>
        </a:p>
        <a:p>
          <a:r>
            <a:rPr lang="en-GB" sz="1600" baseline="0">
              <a:solidFill>
                <a:srgbClr val="FF0000"/>
              </a:solidFill>
            </a:rPr>
            <a:t>RED = High influence</a:t>
          </a:r>
        </a:p>
        <a:p>
          <a:endParaRPr lang="en-GB" sz="1600" b="1" baseline="0"/>
        </a:p>
        <a:p>
          <a:r>
            <a:rPr lang="en-GB" sz="1600" b="1"/>
            <a:t>Agreement</a:t>
          </a:r>
          <a:r>
            <a:rPr lang="en-GB" sz="1600" b="1" baseline="0"/>
            <a:t> between respondents is</a:t>
          </a:r>
          <a:r>
            <a:rPr lang="en-GB" sz="1600" b="1"/>
            <a:t> calulated as the range for</a:t>
          </a:r>
          <a:r>
            <a:rPr lang="en-GB" sz="1600" b="1" baseline="0"/>
            <a:t> i</a:t>
          </a:r>
          <a:r>
            <a:rPr lang="en-GB" sz="1600" b="1"/>
            <a:t>ndividual factors and per category.</a:t>
          </a:r>
        </a:p>
        <a:p>
          <a:r>
            <a:rPr lang="en-GB" sz="1600">
              <a:solidFill>
                <a:srgbClr val="00B050"/>
              </a:solidFill>
            </a:rPr>
            <a:t>GREEN = High</a:t>
          </a:r>
          <a:r>
            <a:rPr lang="en-GB" sz="1600" baseline="0">
              <a:solidFill>
                <a:srgbClr val="00B050"/>
              </a:solidFill>
            </a:rPr>
            <a:t> agreement</a:t>
          </a:r>
          <a:endParaRPr lang="en-GB" sz="1600">
            <a:solidFill>
              <a:srgbClr val="00B050"/>
            </a:solidFill>
          </a:endParaRPr>
        </a:p>
        <a:p>
          <a:r>
            <a:rPr lang="en-GB" sz="1600">
              <a:solidFill>
                <a:srgbClr val="FF0000"/>
              </a:solidFill>
            </a:rPr>
            <a:t>RED = Low agreement</a:t>
          </a:r>
        </a:p>
      </xdr:txBody>
    </xdr:sp>
    <xdr:clientData/>
  </xdr:twoCellAnchor>
  <xdr:twoCellAnchor>
    <xdr:from>
      <xdr:col>40</xdr:col>
      <xdr:colOff>363682</xdr:colOff>
      <xdr:row>51</xdr:row>
      <xdr:rowOff>43294</xdr:rowOff>
    </xdr:from>
    <xdr:to>
      <xdr:col>50</xdr:col>
      <xdr:colOff>277091</xdr:colOff>
      <xdr:row>63</xdr:row>
      <xdr:rowOff>138545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F21E08A7-2BF8-4510-8A69-CD9A08000F5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Aspect">
      <a:dk1>
        <a:sysClr val="windowText" lastClr="000000"/>
      </a:dk1>
      <a:lt1>
        <a:sysClr val="window" lastClr="FFFFFF"/>
      </a:lt1>
      <a:dk2>
        <a:srgbClr val="323232"/>
      </a:dk2>
      <a:lt2>
        <a:srgbClr val="E3DED1"/>
      </a:lt2>
      <a:accent1>
        <a:srgbClr val="F07F09"/>
      </a:accent1>
      <a:accent2>
        <a:srgbClr val="9F2936"/>
      </a:accent2>
      <a:accent3>
        <a:srgbClr val="1B587C"/>
      </a:accent3>
      <a:accent4>
        <a:srgbClr val="4E8542"/>
      </a:accent4>
      <a:accent5>
        <a:srgbClr val="604878"/>
      </a:accent5>
      <a:accent6>
        <a:srgbClr val="C19859"/>
      </a:accent6>
      <a:hlink>
        <a:srgbClr val="6B9F25"/>
      </a:hlink>
      <a:folHlink>
        <a:srgbClr val="B26B0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P29"/>
  <sheetViews>
    <sheetView showGridLines="0" tabSelected="1" zoomScale="70" zoomScaleNormal="70" workbookViewId="0">
      <selection activeCell="N18" sqref="N18"/>
    </sheetView>
  </sheetViews>
  <sheetFormatPr defaultColWidth="9.140625" defaultRowHeight="15" x14ac:dyDescent="0.25"/>
  <cols>
    <col min="1" max="1" width="10.7109375" style="3" customWidth="1"/>
    <col min="2" max="3" width="20.7109375" style="3" customWidth="1"/>
    <col min="4" max="4" width="30.7109375" style="3" customWidth="1"/>
    <col min="5" max="6" width="15.7109375" style="3" customWidth="1"/>
    <col min="7" max="12" width="10.7109375" style="3" customWidth="1"/>
    <col min="13" max="15" width="15.7109375" style="3" customWidth="1"/>
    <col min="16" max="16" width="9.140625" style="3"/>
    <col min="17" max="29" width="15.7109375" style="3" customWidth="1"/>
    <col min="30" max="16384" width="9.140625" style="3"/>
  </cols>
  <sheetData>
    <row r="2" spans="2:42" ht="33.75" x14ac:dyDescent="0.5">
      <c r="B2" s="1" t="s">
        <v>0</v>
      </c>
      <c r="C2" s="1"/>
      <c r="D2" s="1"/>
      <c r="E2" s="1"/>
      <c r="F2" s="1"/>
      <c r="G2" s="1"/>
      <c r="H2" s="1"/>
      <c r="I2" s="1"/>
      <c r="J2" s="2"/>
      <c r="AD2"/>
      <c r="AE2"/>
    </row>
    <row r="3" spans="2:42" ht="19.5" x14ac:dyDescent="0.3">
      <c r="B3" s="4"/>
      <c r="C3" s="4"/>
      <c r="D3" s="4"/>
      <c r="E3" s="4"/>
      <c r="F3" s="4"/>
      <c r="G3" s="4"/>
      <c r="H3" s="4"/>
      <c r="I3" s="4"/>
      <c r="J3" s="4"/>
      <c r="AD3"/>
      <c r="AE3"/>
    </row>
    <row r="4" spans="2:42" s="8" customFormat="1" ht="30" customHeight="1" x14ac:dyDescent="0.25">
      <c r="B4" s="12" t="s">
        <v>1</v>
      </c>
      <c r="C4" s="12"/>
      <c r="D4" s="12"/>
      <c r="E4" s="12"/>
      <c r="F4" s="12"/>
      <c r="G4" s="12"/>
      <c r="H4" s="12"/>
      <c r="I4" s="12"/>
      <c r="J4" s="12"/>
      <c r="Q4" s="377" t="s">
        <v>69</v>
      </c>
      <c r="R4" s="377"/>
      <c r="S4" s="377"/>
      <c r="T4" s="378"/>
      <c r="U4" s="379" t="s">
        <v>100</v>
      </c>
      <c r="V4" s="376"/>
      <c r="W4" s="376"/>
      <c r="X4" s="376"/>
      <c r="Y4" s="376"/>
      <c r="Z4" s="376"/>
      <c r="AA4" s="3"/>
      <c r="AD4"/>
      <c r="AE4"/>
      <c r="AF4" s="3"/>
      <c r="AG4" s="3"/>
      <c r="AH4" s="3"/>
      <c r="AI4" s="3"/>
      <c r="AJ4" s="3"/>
    </row>
    <row r="5" spans="2:42" ht="59.25" customHeight="1" x14ac:dyDescent="0.25">
      <c r="C5" s="157" t="s">
        <v>115</v>
      </c>
      <c r="D5" s="158" t="s">
        <v>93</v>
      </c>
      <c r="E5" s="158" t="s">
        <v>99</v>
      </c>
      <c r="F5" s="158" t="s">
        <v>104</v>
      </c>
      <c r="G5" s="158" t="s">
        <v>129</v>
      </c>
      <c r="H5" s="158" t="s">
        <v>96</v>
      </c>
      <c r="I5" s="158" t="s">
        <v>97</v>
      </c>
      <c r="J5" s="158" t="s">
        <v>94</v>
      </c>
      <c r="K5" s="158" t="s">
        <v>95</v>
      </c>
      <c r="L5" s="158" t="s">
        <v>114</v>
      </c>
      <c r="M5" s="159" t="s">
        <v>27</v>
      </c>
      <c r="N5" s="159" t="s">
        <v>108</v>
      </c>
      <c r="O5" s="159" t="s">
        <v>107</v>
      </c>
      <c r="P5"/>
      <c r="Q5" s="160" t="s">
        <v>47</v>
      </c>
      <c r="R5" s="158" t="str">
        <f t="shared" ref="R5:Z5" si="0">D5</f>
        <v>Current role</v>
      </c>
      <c r="S5" s="158" t="str">
        <f t="shared" si="0"/>
        <v>Years of experience in current role</v>
      </c>
      <c r="T5" s="158" t="str">
        <f t="shared" si="0"/>
        <v>Relevant experience prior to current role</v>
      </c>
      <c r="U5" s="161" t="str">
        <f t="shared" si="0"/>
        <v>QE carrier</v>
      </c>
      <c r="V5" s="158" t="str">
        <f t="shared" si="0"/>
        <v>T45 destroyer</v>
      </c>
      <c r="W5" s="158" t="str">
        <f t="shared" si="0"/>
        <v>T23 frigate</v>
      </c>
      <c r="X5" s="158" t="str">
        <f t="shared" si="0"/>
        <v>OPV (Offshore patrol)</v>
      </c>
      <c r="Y5" s="158" t="str">
        <f t="shared" si="0"/>
        <v>Hunt MCMV (Mines)</v>
      </c>
      <c r="Z5" s="158" t="str">
        <f t="shared" si="0"/>
        <v>Other</v>
      </c>
      <c r="AA5"/>
      <c r="AB5" s="158" t="s">
        <v>98</v>
      </c>
      <c r="AC5" s="158" t="s">
        <v>2</v>
      </c>
      <c r="AE5"/>
      <c r="AF5"/>
    </row>
    <row r="6" spans="2:42" ht="30" customHeight="1" x14ac:dyDescent="0.25">
      <c r="C6" s="162" t="s">
        <v>116</v>
      </c>
      <c r="D6" s="374"/>
      <c r="E6" s="154" t="s">
        <v>101</v>
      </c>
      <c r="F6" s="154" t="s">
        <v>101</v>
      </c>
      <c r="G6" s="154"/>
      <c r="H6" s="154" t="s">
        <v>36</v>
      </c>
      <c r="I6" s="154" t="s">
        <v>36</v>
      </c>
      <c r="J6" s="155" t="s">
        <v>40</v>
      </c>
      <c r="K6" s="155" t="s">
        <v>36</v>
      </c>
      <c r="L6" s="155" t="s">
        <v>101</v>
      </c>
      <c r="M6" s="156" t="s">
        <v>113</v>
      </c>
      <c r="N6" s="340">
        <f t="shared" ref="N6:N8" si="1">Z14</f>
        <v>3.5714285714285716</v>
      </c>
      <c r="O6" s="340">
        <f t="shared" ref="O6:O14" si="2">AA14</f>
        <v>3.8461538461538463</v>
      </c>
      <c r="P6"/>
      <c r="Q6" s="162">
        <v>5</v>
      </c>
      <c r="R6" s="374"/>
      <c r="S6" s="154" t="s">
        <v>101</v>
      </c>
      <c r="T6" s="155" t="str">
        <f>S6</f>
        <v>&gt;20</v>
      </c>
      <c r="U6" s="154" t="str">
        <f t="shared" ref="U6:U10" si="3">S6</f>
        <v>&gt;20</v>
      </c>
      <c r="V6" s="154" t="str">
        <f t="shared" ref="V6:V10" si="4">S6</f>
        <v>&gt;20</v>
      </c>
      <c r="W6" s="154" t="str">
        <f t="shared" ref="W6:W10" si="5">S6</f>
        <v>&gt;20</v>
      </c>
      <c r="X6" s="154" t="str">
        <f t="shared" ref="X6:X10" si="6">S6</f>
        <v>&gt;20</v>
      </c>
      <c r="Y6" s="154" t="str">
        <f t="shared" ref="Y6:Z10" si="7">S6</f>
        <v>&gt;20</v>
      </c>
      <c r="Z6" s="154" t="str">
        <f t="shared" si="7"/>
        <v>&gt;20</v>
      </c>
      <c r="AA6"/>
      <c r="AB6" s="163" t="s">
        <v>129</v>
      </c>
      <c r="AC6" s="154" t="str">
        <f>T6</f>
        <v>&gt;20</v>
      </c>
      <c r="AD6" s="6"/>
      <c r="AE6"/>
      <c r="AF6"/>
      <c r="AG6" s="6"/>
      <c r="AH6" s="6"/>
      <c r="AI6" s="6"/>
    </row>
    <row r="7" spans="2:42" s="6" customFormat="1" ht="30" customHeight="1" x14ac:dyDescent="0.25">
      <c r="C7" s="162" t="s">
        <v>117</v>
      </c>
      <c r="D7" s="374"/>
      <c r="E7" s="154" t="s">
        <v>101</v>
      </c>
      <c r="F7" s="154" t="s">
        <v>36</v>
      </c>
      <c r="G7" s="154"/>
      <c r="H7" s="154"/>
      <c r="I7" s="154" t="s">
        <v>101</v>
      </c>
      <c r="J7" s="155"/>
      <c r="K7" s="155"/>
      <c r="L7" s="155" t="s">
        <v>102</v>
      </c>
      <c r="M7" s="156" t="s">
        <v>113</v>
      </c>
      <c r="N7" s="340">
        <f t="shared" si="1"/>
        <v>4</v>
      </c>
      <c r="O7" s="340">
        <f t="shared" si="2"/>
        <v>2.5384615384615379</v>
      </c>
      <c r="P7"/>
      <c r="Q7" s="162">
        <v>4</v>
      </c>
      <c r="R7" s="374"/>
      <c r="S7" s="154" t="s">
        <v>40</v>
      </c>
      <c r="T7" s="155" t="str">
        <f>S7</f>
        <v>15 to 20</v>
      </c>
      <c r="U7" s="154" t="str">
        <f t="shared" si="3"/>
        <v>15 to 20</v>
      </c>
      <c r="V7" s="154" t="str">
        <f t="shared" si="4"/>
        <v>15 to 20</v>
      </c>
      <c r="W7" s="154" t="str">
        <f t="shared" si="5"/>
        <v>15 to 20</v>
      </c>
      <c r="X7" s="154" t="str">
        <f t="shared" si="6"/>
        <v>15 to 20</v>
      </c>
      <c r="Y7" s="154" t="str">
        <f t="shared" si="7"/>
        <v>15 to 20</v>
      </c>
      <c r="Z7" s="154" t="str">
        <f t="shared" si="7"/>
        <v>15 to 20</v>
      </c>
      <c r="AA7"/>
      <c r="AB7" s="163" t="s">
        <v>96</v>
      </c>
      <c r="AC7" s="154" t="str">
        <f>T7</f>
        <v>15 to 20</v>
      </c>
      <c r="AD7" s="7"/>
      <c r="AE7"/>
      <c r="AF7"/>
      <c r="AG7" s="7"/>
      <c r="AH7" s="7"/>
      <c r="AI7" s="7"/>
    </row>
    <row r="8" spans="2:42" s="7" customFormat="1" ht="30" customHeight="1" x14ac:dyDescent="0.25">
      <c r="C8" s="162" t="s">
        <v>118</v>
      </c>
      <c r="D8" s="374"/>
      <c r="E8" s="154" t="s">
        <v>102</v>
      </c>
      <c r="F8" s="154"/>
      <c r="G8" s="154"/>
      <c r="H8" s="154" t="s">
        <v>36</v>
      </c>
      <c r="I8" s="154" t="s">
        <v>36</v>
      </c>
      <c r="J8" s="155"/>
      <c r="K8" s="155"/>
      <c r="L8" s="155"/>
      <c r="M8" s="156" t="s">
        <v>113</v>
      </c>
      <c r="N8" s="340">
        <f t="shared" si="1"/>
        <v>1.6666666666666667</v>
      </c>
      <c r="O8" s="340">
        <f t="shared" si="2"/>
        <v>0.61538461538461531</v>
      </c>
      <c r="P8"/>
      <c r="Q8" s="162">
        <v>3</v>
      </c>
      <c r="R8" s="374"/>
      <c r="S8" s="154" t="s">
        <v>39</v>
      </c>
      <c r="T8" s="155" t="str">
        <f>S8</f>
        <v>10 to 14</v>
      </c>
      <c r="U8" s="154" t="str">
        <f t="shared" si="3"/>
        <v>10 to 14</v>
      </c>
      <c r="V8" s="154" t="str">
        <f t="shared" si="4"/>
        <v>10 to 14</v>
      </c>
      <c r="W8" s="154" t="str">
        <f t="shared" si="5"/>
        <v>10 to 14</v>
      </c>
      <c r="X8" s="154" t="str">
        <f t="shared" si="6"/>
        <v>10 to 14</v>
      </c>
      <c r="Y8" s="154" t="str">
        <f t="shared" si="7"/>
        <v>10 to 14</v>
      </c>
      <c r="Z8" s="154" t="str">
        <f t="shared" si="7"/>
        <v>10 to 14</v>
      </c>
      <c r="AA8"/>
      <c r="AB8" s="163" t="s">
        <v>97</v>
      </c>
      <c r="AC8" s="154" t="str">
        <f>T8</f>
        <v>10 to 14</v>
      </c>
      <c r="AD8" s="3"/>
      <c r="AE8"/>
      <c r="AF8"/>
      <c r="AG8" s="3"/>
      <c r="AH8" s="3"/>
      <c r="AI8" s="3"/>
    </row>
    <row r="9" spans="2:42" ht="30" customHeight="1" x14ac:dyDescent="0.25">
      <c r="C9" s="162" t="s">
        <v>119</v>
      </c>
      <c r="D9" s="374"/>
      <c r="E9" s="154" t="s">
        <v>40</v>
      </c>
      <c r="F9" s="154" t="s">
        <v>40</v>
      </c>
      <c r="G9" s="154" t="s">
        <v>102</v>
      </c>
      <c r="H9" s="154" t="s">
        <v>102</v>
      </c>
      <c r="I9" s="154"/>
      <c r="J9" s="155"/>
      <c r="K9" s="155"/>
      <c r="L9" s="155" t="s">
        <v>102</v>
      </c>
      <c r="M9" s="156" t="s">
        <v>113</v>
      </c>
      <c r="N9" s="340">
        <f t="shared" ref="N9:N14" si="8">Z17</f>
        <v>2.5</v>
      </c>
      <c r="O9" s="340">
        <f t="shared" si="2"/>
        <v>2.615384615384615</v>
      </c>
      <c r="P9"/>
      <c r="Q9" s="162">
        <v>2</v>
      </c>
      <c r="R9" s="374"/>
      <c r="S9" s="154" t="s">
        <v>36</v>
      </c>
      <c r="T9" s="155" t="str">
        <f>S9</f>
        <v>5 to 9</v>
      </c>
      <c r="U9" s="154" t="str">
        <f t="shared" si="3"/>
        <v>5 to 9</v>
      </c>
      <c r="V9" s="154" t="str">
        <f t="shared" si="4"/>
        <v>5 to 9</v>
      </c>
      <c r="W9" s="154" t="str">
        <f t="shared" si="5"/>
        <v>5 to 9</v>
      </c>
      <c r="X9" s="154" t="str">
        <f t="shared" si="6"/>
        <v>5 to 9</v>
      </c>
      <c r="Y9" s="154" t="str">
        <f t="shared" si="7"/>
        <v>5 to 9</v>
      </c>
      <c r="Z9" s="154" t="str">
        <f t="shared" si="7"/>
        <v>5 to 9</v>
      </c>
      <c r="AA9"/>
      <c r="AB9" s="163" t="s">
        <v>94</v>
      </c>
      <c r="AC9" s="154" t="str">
        <f>T9</f>
        <v>5 to 9</v>
      </c>
      <c r="AE9"/>
      <c r="AF9"/>
    </row>
    <row r="10" spans="2:42" ht="30" customHeight="1" x14ac:dyDescent="0.25">
      <c r="C10" s="162" t="s">
        <v>120</v>
      </c>
      <c r="D10" s="374"/>
      <c r="E10" s="154" t="s">
        <v>36</v>
      </c>
      <c r="F10" s="154" t="s">
        <v>101</v>
      </c>
      <c r="G10" s="154"/>
      <c r="H10" s="154" t="s">
        <v>36</v>
      </c>
      <c r="I10" s="154"/>
      <c r="J10" s="155"/>
      <c r="K10" s="155"/>
      <c r="L10" s="155"/>
      <c r="M10" s="156" t="s">
        <v>113</v>
      </c>
      <c r="N10" s="340">
        <f t="shared" si="8"/>
        <v>3</v>
      </c>
      <c r="O10" s="340">
        <f t="shared" si="2"/>
        <v>2.307692307692307</v>
      </c>
      <c r="P10"/>
      <c r="Q10" s="162">
        <v>1</v>
      </c>
      <c r="R10" s="374"/>
      <c r="S10" s="154" t="s">
        <v>102</v>
      </c>
      <c r="T10" s="155" t="str">
        <f>S10</f>
        <v>&lt;5</v>
      </c>
      <c r="U10" s="154" t="str">
        <f t="shared" si="3"/>
        <v>&lt;5</v>
      </c>
      <c r="V10" s="154" t="str">
        <f t="shared" si="4"/>
        <v>&lt;5</v>
      </c>
      <c r="W10" s="154" t="str">
        <f t="shared" si="5"/>
        <v>&lt;5</v>
      </c>
      <c r="X10" s="154" t="str">
        <f t="shared" si="6"/>
        <v>&lt;5</v>
      </c>
      <c r="Y10" s="154" t="str">
        <f t="shared" si="7"/>
        <v>&lt;5</v>
      </c>
      <c r="Z10" s="154" t="str">
        <f t="shared" si="7"/>
        <v>&lt;5</v>
      </c>
      <c r="AA10"/>
      <c r="AB10" s="163" t="s">
        <v>95</v>
      </c>
      <c r="AC10" s="154" t="str">
        <f>T10</f>
        <v>&lt;5</v>
      </c>
      <c r="AE10"/>
      <c r="AF10"/>
    </row>
    <row r="11" spans="2:42" ht="30" customHeight="1" x14ac:dyDescent="0.25">
      <c r="C11" s="162" t="s">
        <v>121</v>
      </c>
      <c r="D11" s="374"/>
      <c r="E11" s="154" t="s">
        <v>102</v>
      </c>
      <c r="F11" s="154" t="s">
        <v>39</v>
      </c>
      <c r="G11" s="154" t="s">
        <v>102</v>
      </c>
      <c r="H11" s="154" t="s">
        <v>36</v>
      </c>
      <c r="I11" s="154"/>
      <c r="J11" s="155"/>
      <c r="K11" s="155"/>
      <c r="L11" s="155" t="s">
        <v>102</v>
      </c>
      <c r="M11" s="156" t="s">
        <v>113</v>
      </c>
      <c r="N11" s="340">
        <f t="shared" si="8"/>
        <v>1.75</v>
      </c>
      <c r="O11" s="340">
        <f t="shared" si="2"/>
        <v>1.4615384615384612</v>
      </c>
      <c r="P11"/>
      <c r="R11" s="8"/>
      <c r="S11" s="8"/>
      <c r="T11" s="7"/>
      <c r="U11" s="8"/>
      <c r="AD11"/>
      <c r="AE11"/>
      <c r="AF11"/>
    </row>
    <row r="12" spans="2:42" ht="30" customHeight="1" x14ac:dyDescent="0.25">
      <c r="C12" s="162" t="s">
        <v>122</v>
      </c>
      <c r="D12" s="374"/>
      <c r="E12" s="154" t="s">
        <v>102</v>
      </c>
      <c r="F12" s="154" t="s">
        <v>40</v>
      </c>
      <c r="G12" s="154"/>
      <c r="H12" s="154" t="s">
        <v>36</v>
      </c>
      <c r="I12" s="154" t="s">
        <v>40</v>
      </c>
      <c r="J12" s="155"/>
      <c r="K12" s="155"/>
      <c r="L12" s="155" t="s">
        <v>36</v>
      </c>
      <c r="M12" s="156" t="s">
        <v>113</v>
      </c>
      <c r="N12" s="340">
        <f t="shared" si="8"/>
        <v>2.75</v>
      </c>
      <c r="O12" s="340">
        <f t="shared" si="2"/>
        <v>1.9999999999999996</v>
      </c>
      <c r="P12"/>
      <c r="Q12" s="376" t="s">
        <v>70</v>
      </c>
      <c r="R12" s="376"/>
      <c r="S12" s="376"/>
      <c r="T12" s="376"/>
      <c r="U12" s="376"/>
    </row>
    <row r="13" spans="2:42" ht="30" customHeight="1" x14ac:dyDescent="0.25">
      <c r="C13" s="162" t="s">
        <v>123</v>
      </c>
      <c r="D13" s="374"/>
      <c r="E13" s="154" t="s">
        <v>101</v>
      </c>
      <c r="F13" s="154" t="s">
        <v>102</v>
      </c>
      <c r="G13" s="154" t="s">
        <v>102</v>
      </c>
      <c r="H13" s="154"/>
      <c r="I13" s="154"/>
      <c r="J13" s="155" t="s">
        <v>102</v>
      </c>
      <c r="K13" s="155"/>
      <c r="L13" s="155" t="s">
        <v>101</v>
      </c>
      <c r="M13" s="156" t="s">
        <v>113</v>
      </c>
      <c r="N13" s="340">
        <f t="shared" si="8"/>
        <v>2</v>
      </c>
      <c r="O13" s="340">
        <f t="shared" si="2"/>
        <v>1.9999999999999996</v>
      </c>
      <c r="P13"/>
      <c r="Q13" s="160" t="str">
        <f>C5</f>
        <v>R Number</v>
      </c>
      <c r="R13" s="158" t="str">
        <f t="shared" ref="R13:Y13" si="9">S5</f>
        <v>Years of experience in current role</v>
      </c>
      <c r="S13" s="158" t="str">
        <f t="shared" si="9"/>
        <v>Relevant experience prior to current role</v>
      </c>
      <c r="T13" s="158" t="str">
        <f t="shared" si="9"/>
        <v>QE carrier</v>
      </c>
      <c r="U13" s="158" t="str">
        <f t="shared" si="9"/>
        <v>T45 destroyer</v>
      </c>
      <c r="V13" s="158" t="str">
        <f t="shared" si="9"/>
        <v>T23 frigate</v>
      </c>
      <c r="W13" s="158" t="str">
        <f t="shared" si="9"/>
        <v>OPV (Offshore patrol)</v>
      </c>
      <c r="X13" s="158" t="str">
        <f t="shared" si="9"/>
        <v>Hunt MCMV (Mines)</v>
      </c>
      <c r="Y13" s="158" t="str">
        <f t="shared" si="9"/>
        <v>Other</v>
      </c>
      <c r="Z13" s="160" t="s">
        <v>108</v>
      </c>
      <c r="AA13" s="160" t="s">
        <v>106</v>
      </c>
      <c r="AB13" s="160" t="s">
        <v>111</v>
      </c>
      <c r="AD13" s="338" t="s">
        <v>105</v>
      </c>
      <c r="AE13" s="338"/>
      <c r="AF13" s="338" t="s">
        <v>110</v>
      </c>
      <c r="AG13" s="162" t="str">
        <f>Q14</f>
        <v>R1</v>
      </c>
      <c r="AH13" s="162" t="str">
        <f>Q15</f>
        <v>R2</v>
      </c>
      <c r="AI13" s="162" t="str">
        <f>Q16</f>
        <v>R3</v>
      </c>
      <c r="AJ13" s="162" t="s">
        <v>29</v>
      </c>
      <c r="AK13" s="162" t="s">
        <v>28</v>
      </c>
      <c r="AL13" s="162" t="s">
        <v>30</v>
      </c>
      <c r="AM13" s="162" t="s">
        <v>31</v>
      </c>
      <c r="AN13" s="162" t="s">
        <v>32</v>
      </c>
      <c r="AO13" s="162" t="s">
        <v>33</v>
      </c>
      <c r="AP13" s="162" t="s">
        <v>34</v>
      </c>
    </row>
    <row r="14" spans="2:42" ht="30" customHeight="1" x14ac:dyDescent="0.25">
      <c r="C14" s="162" t="s">
        <v>124</v>
      </c>
      <c r="D14" s="374"/>
      <c r="E14" s="154" t="s">
        <v>102</v>
      </c>
      <c r="F14" s="154" t="s">
        <v>36</v>
      </c>
      <c r="G14" s="154"/>
      <c r="H14" s="154"/>
      <c r="I14" s="154" t="s">
        <v>36</v>
      </c>
      <c r="J14" s="155"/>
      <c r="K14" s="155"/>
      <c r="L14" s="155" t="s">
        <v>36</v>
      </c>
      <c r="M14" s="156" t="s">
        <v>113</v>
      </c>
      <c r="N14" s="340">
        <f t="shared" si="8"/>
        <v>1.6666666666666667</v>
      </c>
      <c r="O14" s="340">
        <f t="shared" si="2"/>
        <v>1.0769230769230769</v>
      </c>
      <c r="P14"/>
      <c r="Q14" s="162" t="str">
        <f>C6</f>
        <v>R1</v>
      </c>
      <c r="R14" s="154">
        <f t="shared" ref="R14:R22" si="10">IFERROR(IF(E6=$S$10, $Q$10,
IF(E6=$S$9, $Q$9,
IF(E6=$S$8, $Q$8,
IF(E6=$S$7, $Q$7,
IF(E6=$S$6, $Q$6,
IF(E6="", "-")))))),"-")</f>
        <v>5</v>
      </c>
      <c r="S14" s="154">
        <f t="shared" ref="S14:S22" si="11">IFERROR(IF(F6=$S$10, $Q$10,
IF(F6=$S$9, $Q$9,
IF(F6=$S$8, $Q$8,
IF(F6=$S$7, $Q$7,
IF(F6=$S$6, $Q$6,
IF(F6="", "-")))))),"-")</f>
        <v>5</v>
      </c>
      <c r="T14" s="154" t="str">
        <f t="shared" ref="T14:T22" si="12">IFERROR(IF(G6=$S$10, $Q$10,
IF(G6=$S$9, $Q$9,
IF(G6=$S$8, $Q$8,
IF(G6=$S$7, $Q$7,
IF(G6=$S$6, $Q$6,
IF(G6="", "-")))))),"-")</f>
        <v>-</v>
      </c>
      <c r="U14" s="154">
        <f t="shared" ref="U14:U22" si="13">IFERROR(IF(H6=$S$10, $Q$10,
IF(H6=$S$9, $Q$9,
IF(H6=$S$8, $Q$8,
IF(H6=$S$7, $Q$7,
IF(H6=$S$6, $Q$6,
IF(H6="", "-")))))),"-")</f>
        <v>2</v>
      </c>
      <c r="V14" s="154">
        <f t="shared" ref="V14:V22" si="14">IFERROR(IF(I6=$S$10, $Q$10,
IF(I6=$S$9, $Q$9,
IF(I6=$S$8, $Q$8,
IF(I6=$S$7, $Q$7,
IF(I6=$S$6, $Q$6,
IF(I6="", "-")))))),"-")</f>
        <v>2</v>
      </c>
      <c r="W14" s="154">
        <f t="shared" ref="W14:W22" si="15">IFERROR(IF(J6=$S$10, $Q$10,
IF(J6=$S$9, $Q$9,
IF(J6=$S$8, $Q$8,
IF(J6=$S$7, $Q$7,
IF(J6=$S$6, $Q$6,
IF(J6="", "-")))))),"-")</f>
        <v>4</v>
      </c>
      <c r="X14" s="154">
        <f t="shared" ref="X14:X22" si="16">IFERROR(IF(K6=$S$10, $Q$10,
IF(K6=$S$9, $Q$9,
IF(K6=$S$8, $Q$8,
IF(K6=$S$7, $Q$7,
IF(K6=$S$6, $Q$6,
IF(K6="", "-")))))),"-")</f>
        <v>2</v>
      </c>
      <c r="Y14" s="154">
        <f t="shared" ref="Y14:Y22" si="17">IFERROR(IF(L6=$S$10, $Q$10,
IF(L6=$S$9, $Q$9,
IF(L6=$S$8, $Q$8,
IF(L6=$S$7, $Q$7,
IF(L6=$S$6, $Q$6,
IF(L6="", "-")))))),"-")</f>
        <v>5</v>
      </c>
      <c r="Z14" s="339">
        <f>IFERROR(AVERAGE(R14:Y14),"-")</f>
        <v>3.5714285714285716</v>
      </c>
      <c r="AA14" s="339">
        <f>IFERROR(SUMPRODUCT(AG$14:AG$20,$AF$14:$AF$20)/SUM($AF$14:$AF$20),"-")</f>
        <v>3.8461538461538463</v>
      </c>
      <c r="AB14" s="339">
        <f>IFERROR(SUMPRODUCT(AG$14:AG$20,$AF$14:$AF$20)/SUM($AF$14:$AF$20),"-")</f>
        <v>3.8461538461538463</v>
      </c>
      <c r="AD14" s="158" t="str">
        <f>S5</f>
        <v>Years of experience in current role</v>
      </c>
      <c r="AE14" s="154">
        <v>0.8</v>
      </c>
      <c r="AF14" s="3">
        <f t="shared" ref="AF14:AF21" si="18">AE14/SUM($AE$14:$AE$21)</f>
        <v>0.28571428571428564</v>
      </c>
      <c r="AG14" s="337">
        <f>R14</f>
        <v>5</v>
      </c>
      <c r="AH14" s="337">
        <f>R15</f>
        <v>5</v>
      </c>
      <c r="AI14" s="337">
        <f>R16</f>
        <v>1</v>
      </c>
      <c r="AJ14" s="337">
        <f>R17</f>
        <v>4</v>
      </c>
      <c r="AK14" s="337">
        <f>R18</f>
        <v>2</v>
      </c>
      <c r="AL14" s="337">
        <f>R19</f>
        <v>1</v>
      </c>
      <c r="AM14" s="337">
        <f>R20</f>
        <v>1</v>
      </c>
      <c r="AN14" s="337">
        <f>R21</f>
        <v>5</v>
      </c>
      <c r="AO14" s="337">
        <f>R22</f>
        <v>1</v>
      </c>
      <c r="AP14" s="337">
        <f>R23</f>
        <v>0</v>
      </c>
    </row>
    <row r="15" spans="2:42" ht="30" customHeight="1" x14ac:dyDescent="0.25"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 s="162" t="str">
        <f t="shared" ref="Q15:Q16" si="19">C7</f>
        <v>R2</v>
      </c>
      <c r="R15" s="154">
        <f>IFERROR(IF(E7=$S$10, $Q$10,
IF(E7=$S$9, $Q$9,
IF(E7=$S$8, $Q$8,
IF(E7=$S$7, $Q$7,
IF(E7=$S$6, $Q$6,
IF(E7="", "-")))))),"-")</f>
        <v>5</v>
      </c>
      <c r="S15" s="154">
        <f t="shared" si="11"/>
        <v>2</v>
      </c>
      <c r="T15" s="154" t="str">
        <f t="shared" si="12"/>
        <v>-</v>
      </c>
      <c r="U15" s="154" t="str">
        <f t="shared" si="13"/>
        <v>-</v>
      </c>
      <c r="V15" s="154">
        <f t="shared" si="14"/>
        <v>5</v>
      </c>
      <c r="W15" s="154" t="str">
        <f t="shared" si="15"/>
        <v>-</v>
      </c>
      <c r="X15" s="154" t="str">
        <f t="shared" si="16"/>
        <v>-</v>
      </c>
      <c r="Y15" s="154">
        <f t="shared" si="17"/>
        <v>1</v>
      </c>
      <c r="Z15" s="339">
        <f t="shared" ref="Z15:Z22" si="20">IFERROR(AVERAGE(R15:X15),"-")</f>
        <v>4</v>
      </c>
      <c r="AA15" s="339">
        <f>IFERROR(SUMPRODUCT(AH$14:AH$20,$AE$14:$AE$20)/SUM($AE$14:$AE$20),"-")</f>
        <v>2.5384615384615379</v>
      </c>
      <c r="AB15" s="339">
        <f>IFERROR(SUMPRODUCT(AH$14:AH$20,$AF$14:$AF$20)/SUM($AF$14:$AF$20),"-")</f>
        <v>2.5384615384615388</v>
      </c>
      <c r="AD15" s="158" t="str">
        <f>T5</f>
        <v>Relevant experience prior to current role</v>
      </c>
      <c r="AE15" s="154">
        <v>0.8</v>
      </c>
      <c r="AF15" s="3">
        <f t="shared" si="18"/>
        <v>0.28571428571428564</v>
      </c>
      <c r="AG15" s="337">
        <f>S14</f>
        <v>5</v>
      </c>
      <c r="AH15" s="337">
        <f>S15</f>
        <v>2</v>
      </c>
      <c r="AI15" s="337" t="str">
        <f>S16</f>
        <v>-</v>
      </c>
      <c r="AJ15" s="337">
        <f>S17</f>
        <v>4</v>
      </c>
      <c r="AK15" s="337">
        <f>S18</f>
        <v>5</v>
      </c>
      <c r="AL15" s="337">
        <f>S19</f>
        <v>3</v>
      </c>
      <c r="AM15" s="337">
        <f>S20</f>
        <v>4</v>
      </c>
      <c r="AN15" s="337">
        <f>S21</f>
        <v>1</v>
      </c>
      <c r="AO15" s="337">
        <f>S22</f>
        <v>2</v>
      </c>
      <c r="AP15" s="337">
        <f>S23</f>
        <v>0</v>
      </c>
    </row>
    <row r="16" spans="2:42" ht="30" customHeight="1" x14ac:dyDescent="0.25"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Q16" s="162" t="str">
        <f t="shared" si="19"/>
        <v>R3</v>
      </c>
      <c r="R16" s="154">
        <f t="shared" si="10"/>
        <v>1</v>
      </c>
      <c r="S16" s="154" t="str">
        <f t="shared" si="11"/>
        <v>-</v>
      </c>
      <c r="T16" s="154" t="str">
        <f t="shared" si="12"/>
        <v>-</v>
      </c>
      <c r="U16" s="154">
        <f t="shared" si="13"/>
        <v>2</v>
      </c>
      <c r="V16" s="154">
        <f t="shared" si="14"/>
        <v>2</v>
      </c>
      <c r="W16" s="154" t="str">
        <f t="shared" si="15"/>
        <v>-</v>
      </c>
      <c r="X16" s="154" t="str">
        <f t="shared" si="16"/>
        <v>-</v>
      </c>
      <c r="Y16" s="154" t="str">
        <f t="shared" si="17"/>
        <v>-</v>
      </c>
      <c r="Z16" s="339">
        <f t="shared" si="20"/>
        <v>1.6666666666666667</v>
      </c>
      <c r="AA16" s="339">
        <f>IFERROR(SUMPRODUCT(AI$14:AI$20,$AE$14:$AE$20)/SUM($AE$14:$AE$20),"-")</f>
        <v>0.61538461538461531</v>
      </c>
      <c r="AB16" s="339">
        <f>IFERROR(SUMPRODUCT(AI$14:AI$20,$AF$14:$AF$20)/SUM($AF$14:$AF$20),"-")</f>
        <v>0.61538461538461542</v>
      </c>
      <c r="AD16" s="158" t="str">
        <f>U5</f>
        <v>QE carrier</v>
      </c>
      <c r="AE16" s="154">
        <v>0.2</v>
      </c>
      <c r="AF16" s="3">
        <f t="shared" si="18"/>
        <v>7.1428571428571411E-2</v>
      </c>
      <c r="AG16" s="337" t="str">
        <f>T14</f>
        <v>-</v>
      </c>
      <c r="AH16" s="337" t="str">
        <f>T15</f>
        <v>-</v>
      </c>
      <c r="AI16" s="337" t="str">
        <f>T16</f>
        <v>-</v>
      </c>
      <c r="AJ16" s="337">
        <f>T17</f>
        <v>1</v>
      </c>
      <c r="AK16" s="337" t="str">
        <f>T18</f>
        <v>-</v>
      </c>
      <c r="AL16" s="337">
        <f>T19</f>
        <v>1</v>
      </c>
      <c r="AM16" s="337" t="str">
        <f>T20</f>
        <v>-</v>
      </c>
      <c r="AN16" s="337">
        <f>T21</f>
        <v>1</v>
      </c>
      <c r="AO16" s="337" t="str">
        <f>T22</f>
        <v>-</v>
      </c>
      <c r="AP16" s="337">
        <f>T23</f>
        <v>0</v>
      </c>
    </row>
    <row r="17" spans="4:42" ht="30" customHeight="1" x14ac:dyDescent="0.25">
      <c r="D17" s="157" t="s">
        <v>103</v>
      </c>
      <c r="E17" s="158" t="str">
        <f t="shared" ref="E17:L17" si="21">E5</f>
        <v>Years of experience in current role</v>
      </c>
      <c r="F17" s="158" t="str">
        <f t="shared" si="21"/>
        <v>Relevant experience prior to current role</v>
      </c>
      <c r="G17" s="158" t="str">
        <f t="shared" si="21"/>
        <v>QE carrier</v>
      </c>
      <c r="H17" s="158" t="str">
        <f t="shared" si="21"/>
        <v>T45 destroyer</v>
      </c>
      <c r="I17" s="158" t="str">
        <f t="shared" si="21"/>
        <v>T23 frigate</v>
      </c>
      <c r="J17" s="158" t="str">
        <f t="shared" si="21"/>
        <v>OPV (Offshore patrol)</v>
      </c>
      <c r="K17" s="158" t="str">
        <f t="shared" si="21"/>
        <v>Hunt MCMV (Mines)</v>
      </c>
      <c r="L17" s="158" t="str">
        <f t="shared" si="21"/>
        <v>Other</v>
      </c>
      <c r="Q17" s="162" t="str">
        <f t="shared" ref="Q17:Q22" si="22">C9</f>
        <v>R4</v>
      </c>
      <c r="R17" s="154">
        <f t="shared" si="10"/>
        <v>4</v>
      </c>
      <c r="S17" s="154">
        <f t="shared" si="11"/>
        <v>4</v>
      </c>
      <c r="T17" s="154">
        <f t="shared" si="12"/>
        <v>1</v>
      </c>
      <c r="U17" s="154">
        <f t="shared" si="13"/>
        <v>1</v>
      </c>
      <c r="V17" s="154" t="str">
        <f t="shared" si="14"/>
        <v>-</v>
      </c>
      <c r="W17" s="154" t="str">
        <f t="shared" si="15"/>
        <v>-</v>
      </c>
      <c r="X17" s="154" t="str">
        <f t="shared" si="16"/>
        <v>-</v>
      </c>
      <c r="Y17" s="154">
        <f t="shared" si="17"/>
        <v>1</v>
      </c>
      <c r="Z17" s="339">
        <f t="shared" si="20"/>
        <v>2.5</v>
      </c>
      <c r="AA17" s="339">
        <f>IFERROR(SUMPRODUCT(AJ$14:AJ$20,$AE$14:$AE$20)/SUM($AE$14:$AE$20),"-")</f>
        <v>2.615384615384615</v>
      </c>
      <c r="AB17" s="339">
        <f>IFERROR(SUMPRODUCT(AJ$14:AJ$20,$AF$14:$AF$20)/SUM($AF$14:$AF$20),"-")</f>
        <v>2.6153846153846159</v>
      </c>
      <c r="AD17" s="158" t="str">
        <f>V5</f>
        <v>T45 destroyer</v>
      </c>
      <c r="AE17" s="154">
        <v>0.2</v>
      </c>
      <c r="AF17" s="3">
        <f t="shared" si="18"/>
        <v>7.1428571428571411E-2</v>
      </c>
      <c r="AG17" s="337">
        <f>U14</f>
        <v>2</v>
      </c>
      <c r="AH17" s="337" t="str">
        <f>U15</f>
        <v>-</v>
      </c>
      <c r="AI17" s="337">
        <f>U16</f>
        <v>2</v>
      </c>
      <c r="AJ17" s="337">
        <f>U17</f>
        <v>1</v>
      </c>
      <c r="AK17" s="337">
        <f>U18</f>
        <v>2</v>
      </c>
      <c r="AL17" s="337">
        <f>U19</f>
        <v>2</v>
      </c>
      <c r="AM17" s="337">
        <f>U20</f>
        <v>2</v>
      </c>
      <c r="AN17" s="337" t="str">
        <f>U21</f>
        <v>-</v>
      </c>
      <c r="AO17" s="337" t="str">
        <f>U22</f>
        <v>-</v>
      </c>
      <c r="AP17" s="337">
        <f>U23</f>
        <v>0</v>
      </c>
    </row>
    <row r="18" spans="4:42" ht="30" customHeight="1" x14ac:dyDescent="0.25">
      <c r="D18" s="162" t="s">
        <v>101</v>
      </c>
      <c r="E18" s="154">
        <f t="shared" ref="E18:L18" si="23">COUNTIF(E$6:E$15,"=&gt;20")</f>
        <v>3</v>
      </c>
      <c r="F18" s="154">
        <f t="shared" si="23"/>
        <v>2</v>
      </c>
      <c r="G18" s="154">
        <f t="shared" si="23"/>
        <v>0</v>
      </c>
      <c r="H18" s="154">
        <f t="shared" si="23"/>
        <v>0</v>
      </c>
      <c r="I18" s="154">
        <f t="shared" si="23"/>
        <v>1</v>
      </c>
      <c r="J18" s="154">
        <f t="shared" si="23"/>
        <v>0</v>
      </c>
      <c r="K18" s="154">
        <f t="shared" si="23"/>
        <v>0</v>
      </c>
      <c r="L18" s="154">
        <f t="shared" si="23"/>
        <v>2</v>
      </c>
      <c r="Q18" s="162" t="str">
        <f t="shared" si="22"/>
        <v>R5</v>
      </c>
      <c r="R18" s="154">
        <f t="shared" si="10"/>
        <v>2</v>
      </c>
      <c r="S18" s="154">
        <f t="shared" si="11"/>
        <v>5</v>
      </c>
      <c r="T18" s="154" t="str">
        <f t="shared" si="12"/>
        <v>-</v>
      </c>
      <c r="U18" s="154">
        <f t="shared" si="13"/>
        <v>2</v>
      </c>
      <c r="V18" s="154" t="str">
        <f t="shared" si="14"/>
        <v>-</v>
      </c>
      <c r="W18" s="154" t="str">
        <f t="shared" si="15"/>
        <v>-</v>
      </c>
      <c r="X18" s="154" t="str">
        <f t="shared" si="16"/>
        <v>-</v>
      </c>
      <c r="Y18" s="154" t="str">
        <f t="shared" si="17"/>
        <v>-</v>
      </c>
      <c r="Z18" s="339">
        <f t="shared" si="20"/>
        <v>3</v>
      </c>
      <c r="AA18" s="339">
        <f>IFERROR(SUMPRODUCT(AK$14:AK$20,$AE$14:$AE$20)/SUM($AE$14:$AE$20),"-")</f>
        <v>2.307692307692307</v>
      </c>
      <c r="AB18" s="339">
        <f>IFERROR(SUMPRODUCT(AK$14:AK$20,$AF$14:$AF$20)/SUM($AF$14:$AF$20),"-")</f>
        <v>2.3076923076923079</v>
      </c>
      <c r="AD18" s="158" t="str">
        <f>W5</f>
        <v>T23 frigate</v>
      </c>
      <c r="AE18" s="154">
        <v>0.2</v>
      </c>
      <c r="AF18" s="3">
        <f t="shared" si="18"/>
        <v>7.1428571428571411E-2</v>
      </c>
      <c r="AG18" s="337">
        <f>V14</f>
        <v>2</v>
      </c>
      <c r="AH18" s="337">
        <f>V15</f>
        <v>5</v>
      </c>
      <c r="AI18" s="337">
        <f>V16</f>
        <v>2</v>
      </c>
      <c r="AJ18" s="337" t="str">
        <f>V17</f>
        <v>-</v>
      </c>
      <c r="AK18" s="337" t="str">
        <f>V18</f>
        <v>-</v>
      </c>
      <c r="AL18" s="337" t="str">
        <f>V19</f>
        <v>-</v>
      </c>
      <c r="AM18" s="337">
        <f>V20</f>
        <v>4</v>
      </c>
      <c r="AN18" s="337" t="str">
        <f>V21</f>
        <v>-</v>
      </c>
      <c r="AO18" s="337">
        <f>V22</f>
        <v>2</v>
      </c>
      <c r="AP18" s="337">
        <f>V23</f>
        <v>0</v>
      </c>
    </row>
    <row r="19" spans="4:42" ht="30" customHeight="1" x14ac:dyDescent="0.25">
      <c r="D19" s="162" t="s">
        <v>40</v>
      </c>
      <c r="E19" s="154">
        <f t="shared" ref="E19:L21" si="24">COUNTIF(E$6:E$15,$D19)</f>
        <v>1</v>
      </c>
      <c r="F19" s="154">
        <f t="shared" si="24"/>
        <v>2</v>
      </c>
      <c r="G19" s="154">
        <f t="shared" si="24"/>
        <v>0</v>
      </c>
      <c r="H19" s="154">
        <f t="shared" si="24"/>
        <v>0</v>
      </c>
      <c r="I19" s="154">
        <f t="shared" si="24"/>
        <v>1</v>
      </c>
      <c r="J19" s="154">
        <f t="shared" si="24"/>
        <v>1</v>
      </c>
      <c r="K19" s="154">
        <f t="shared" si="24"/>
        <v>0</v>
      </c>
      <c r="L19" s="154">
        <f t="shared" si="24"/>
        <v>0</v>
      </c>
      <c r="Q19" s="162" t="str">
        <f t="shared" si="22"/>
        <v>R6</v>
      </c>
      <c r="R19" s="154">
        <f t="shared" si="10"/>
        <v>1</v>
      </c>
      <c r="S19" s="154">
        <f t="shared" si="11"/>
        <v>3</v>
      </c>
      <c r="T19" s="154">
        <f t="shared" si="12"/>
        <v>1</v>
      </c>
      <c r="U19" s="154">
        <f t="shared" si="13"/>
        <v>2</v>
      </c>
      <c r="V19" s="154" t="str">
        <f t="shared" si="14"/>
        <v>-</v>
      </c>
      <c r="W19" s="154" t="str">
        <f t="shared" si="15"/>
        <v>-</v>
      </c>
      <c r="X19" s="154" t="str">
        <f t="shared" si="16"/>
        <v>-</v>
      </c>
      <c r="Y19" s="154">
        <f t="shared" si="17"/>
        <v>1</v>
      </c>
      <c r="Z19" s="339">
        <f t="shared" si="20"/>
        <v>1.75</v>
      </c>
      <c r="AA19" s="339">
        <f>IFERROR(SUMPRODUCT(AL$14:AL$20,$AE$14:$AE$20)/SUM($AE$14:$AE$20),"-")</f>
        <v>1.4615384615384612</v>
      </c>
      <c r="AB19" s="339">
        <f>IFERROR(SUMPRODUCT(AL$14:AL$20,$AF$14:$AF$20)/SUM($AF$14:$AF$20),"-")</f>
        <v>1.4615384615384617</v>
      </c>
      <c r="AD19" s="158" t="str">
        <f>X5</f>
        <v>OPV (Offshore patrol)</v>
      </c>
      <c r="AE19" s="154">
        <v>0.2</v>
      </c>
      <c r="AF19" s="3">
        <f t="shared" si="18"/>
        <v>7.1428571428571411E-2</v>
      </c>
      <c r="AG19" s="337">
        <f>W14</f>
        <v>4</v>
      </c>
      <c r="AH19" s="337" t="str">
        <f>W15</f>
        <v>-</v>
      </c>
      <c r="AI19" s="337" t="str">
        <f>W16</f>
        <v>-</v>
      </c>
      <c r="AJ19" s="337" t="str">
        <f>W17</f>
        <v>-</v>
      </c>
      <c r="AK19" s="337" t="str">
        <f>W18</f>
        <v>-</v>
      </c>
      <c r="AL19" s="337" t="str">
        <f>W19</f>
        <v>-</v>
      </c>
      <c r="AM19" s="337" t="str">
        <f>W20</f>
        <v>-</v>
      </c>
      <c r="AN19" s="337">
        <f>W21</f>
        <v>1</v>
      </c>
      <c r="AO19" s="337" t="str">
        <f>W22</f>
        <v>-</v>
      </c>
      <c r="AP19" s="337">
        <f>W23</f>
        <v>0</v>
      </c>
    </row>
    <row r="20" spans="4:42" ht="30" customHeight="1" x14ac:dyDescent="0.25">
      <c r="D20" s="162" t="s">
        <v>39</v>
      </c>
      <c r="E20" s="154">
        <f t="shared" si="24"/>
        <v>0</v>
      </c>
      <c r="F20" s="154">
        <f t="shared" si="24"/>
        <v>1</v>
      </c>
      <c r="G20" s="154">
        <f t="shared" si="24"/>
        <v>0</v>
      </c>
      <c r="H20" s="154">
        <f t="shared" si="24"/>
        <v>0</v>
      </c>
      <c r="I20" s="154">
        <f t="shared" si="24"/>
        <v>0</v>
      </c>
      <c r="J20" s="154">
        <f t="shared" si="24"/>
        <v>0</v>
      </c>
      <c r="K20" s="154">
        <f t="shared" si="24"/>
        <v>0</v>
      </c>
      <c r="L20" s="154">
        <f t="shared" si="24"/>
        <v>0</v>
      </c>
      <c r="Q20" s="162" t="str">
        <f t="shared" si="22"/>
        <v>R7</v>
      </c>
      <c r="R20" s="154">
        <f t="shared" si="10"/>
        <v>1</v>
      </c>
      <c r="S20" s="154">
        <f t="shared" si="11"/>
        <v>4</v>
      </c>
      <c r="T20" s="154" t="str">
        <f t="shared" si="12"/>
        <v>-</v>
      </c>
      <c r="U20" s="154">
        <f t="shared" si="13"/>
        <v>2</v>
      </c>
      <c r="V20" s="154">
        <f t="shared" si="14"/>
        <v>4</v>
      </c>
      <c r="W20" s="154" t="str">
        <f t="shared" si="15"/>
        <v>-</v>
      </c>
      <c r="X20" s="154" t="str">
        <f t="shared" si="16"/>
        <v>-</v>
      </c>
      <c r="Y20" s="154">
        <f t="shared" si="17"/>
        <v>2</v>
      </c>
      <c r="Z20" s="339">
        <f t="shared" si="20"/>
        <v>2.75</v>
      </c>
      <c r="AA20" s="339">
        <f>IFERROR(SUMPRODUCT(AM$14:AM$20,$AE$14:$AE$20)/SUM($AE$14:$AE$20),"-")</f>
        <v>1.9999999999999996</v>
      </c>
      <c r="AB20" s="339">
        <f>IFERROR(SUMPRODUCT(AM$14:AM$20,$AF$14:$AF$20)/SUM($AF$14:$AF$20),"-")</f>
        <v>2</v>
      </c>
      <c r="AD20" s="158" t="str">
        <f>Y5</f>
        <v>Hunt MCMV (Mines)</v>
      </c>
      <c r="AE20" s="154">
        <v>0.2</v>
      </c>
      <c r="AF20" s="3">
        <f t="shared" si="18"/>
        <v>7.1428571428571411E-2</v>
      </c>
      <c r="AG20" s="337">
        <f>X14</f>
        <v>2</v>
      </c>
      <c r="AH20" s="337" t="str">
        <f>X15</f>
        <v>-</v>
      </c>
      <c r="AI20" s="337" t="str">
        <f>X16</f>
        <v>-</v>
      </c>
      <c r="AJ20" s="337" t="str">
        <f>X17</f>
        <v>-</v>
      </c>
      <c r="AK20" s="337" t="str">
        <f>X18</f>
        <v>-</v>
      </c>
      <c r="AL20" s="337" t="str">
        <f>X19</f>
        <v>-</v>
      </c>
      <c r="AM20" s="337" t="str">
        <f>X20</f>
        <v>-</v>
      </c>
      <c r="AN20" s="337" t="str">
        <f>X21</f>
        <v>-</v>
      </c>
      <c r="AO20" s="337" t="str">
        <f>X22</f>
        <v>-</v>
      </c>
      <c r="AP20" s="337">
        <f>X23</f>
        <v>0</v>
      </c>
    </row>
    <row r="21" spans="4:42" ht="30" customHeight="1" x14ac:dyDescent="0.25">
      <c r="D21" s="162" t="s">
        <v>36</v>
      </c>
      <c r="E21" s="154">
        <f t="shared" si="24"/>
        <v>1</v>
      </c>
      <c r="F21" s="154">
        <f t="shared" si="24"/>
        <v>2</v>
      </c>
      <c r="G21" s="154">
        <f t="shared" si="24"/>
        <v>0</v>
      </c>
      <c r="H21" s="154">
        <f t="shared" si="24"/>
        <v>5</v>
      </c>
      <c r="I21" s="154">
        <f t="shared" si="24"/>
        <v>3</v>
      </c>
      <c r="J21" s="154">
        <f t="shared" si="24"/>
        <v>0</v>
      </c>
      <c r="K21" s="154">
        <f t="shared" si="24"/>
        <v>1</v>
      </c>
      <c r="L21" s="154">
        <f t="shared" si="24"/>
        <v>2</v>
      </c>
      <c r="Q21" s="162" t="str">
        <f t="shared" si="22"/>
        <v>R8</v>
      </c>
      <c r="R21" s="154">
        <f t="shared" si="10"/>
        <v>5</v>
      </c>
      <c r="S21" s="154">
        <f t="shared" si="11"/>
        <v>1</v>
      </c>
      <c r="T21" s="154">
        <f t="shared" si="12"/>
        <v>1</v>
      </c>
      <c r="U21" s="154" t="str">
        <f t="shared" si="13"/>
        <v>-</v>
      </c>
      <c r="V21" s="154" t="str">
        <f t="shared" si="14"/>
        <v>-</v>
      </c>
      <c r="W21" s="154">
        <f t="shared" si="15"/>
        <v>1</v>
      </c>
      <c r="X21" s="154" t="str">
        <f t="shared" si="16"/>
        <v>-</v>
      </c>
      <c r="Y21" s="154">
        <f t="shared" si="17"/>
        <v>5</v>
      </c>
      <c r="Z21" s="339">
        <f t="shared" si="20"/>
        <v>2</v>
      </c>
      <c r="AA21" s="339">
        <f>IFERROR(SUMPRODUCT(AN$14:AN$20,$AE$14:$AE$20)/SUM($AE$14:$AE$20),"-")</f>
        <v>1.9999999999999996</v>
      </c>
      <c r="AB21" s="339">
        <f>IFERROR(SUMPRODUCT(AN$14:AN$20,$AF$14:$AF$20)/SUM($AF$14:$AF$20),"-")</f>
        <v>2</v>
      </c>
      <c r="AD21" s="158" t="s">
        <v>114</v>
      </c>
      <c r="AE21" s="154">
        <v>0.2</v>
      </c>
      <c r="AF21" s="3">
        <f t="shared" si="18"/>
        <v>7.1428571428571411E-2</v>
      </c>
      <c r="AG21" s="337">
        <f>Y14</f>
        <v>5</v>
      </c>
      <c r="AH21" s="337">
        <f>Y15</f>
        <v>1</v>
      </c>
      <c r="AI21" s="337" t="str">
        <f>Y16</f>
        <v>-</v>
      </c>
      <c r="AJ21" s="337">
        <f>Y17</f>
        <v>1</v>
      </c>
      <c r="AK21" s="337" t="str">
        <f>Y18</f>
        <v>-</v>
      </c>
      <c r="AL21" s="337">
        <f>Y19</f>
        <v>1</v>
      </c>
      <c r="AM21" s="337">
        <f>Y20</f>
        <v>2</v>
      </c>
      <c r="AN21" s="337">
        <f>Y21</f>
        <v>5</v>
      </c>
      <c r="AO21" s="337">
        <f>Y22</f>
        <v>2</v>
      </c>
      <c r="AP21" s="337">
        <f>Y23</f>
        <v>0</v>
      </c>
    </row>
    <row r="22" spans="4:42" ht="30" customHeight="1" x14ac:dyDescent="0.25">
      <c r="D22" s="162" t="s">
        <v>102</v>
      </c>
      <c r="E22" s="154">
        <f t="shared" ref="E22:L22" si="25">COUNTIF(E$6:E$15,"=&lt;5")</f>
        <v>4</v>
      </c>
      <c r="F22" s="154">
        <f t="shared" si="25"/>
        <v>1</v>
      </c>
      <c r="G22" s="154">
        <f t="shared" si="25"/>
        <v>3</v>
      </c>
      <c r="H22" s="154">
        <f t="shared" si="25"/>
        <v>1</v>
      </c>
      <c r="I22" s="154">
        <f t="shared" si="25"/>
        <v>0</v>
      </c>
      <c r="J22" s="154">
        <f t="shared" si="25"/>
        <v>1</v>
      </c>
      <c r="K22" s="154">
        <f t="shared" si="25"/>
        <v>0</v>
      </c>
      <c r="L22" s="154">
        <f t="shared" si="25"/>
        <v>3</v>
      </c>
      <c r="Q22" s="162" t="str">
        <f t="shared" si="22"/>
        <v>R9</v>
      </c>
      <c r="R22" s="154">
        <f t="shared" si="10"/>
        <v>1</v>
      </c>
      <c r="S22" s="154">
        <f t="shared" si="11"/>
        <v>2</v>
      </c>
      <c r="T22" s="154" t="str">
        <f t="shared" si="12"/>
        <v>-</v>
      </c>
      <c r="U22" s="154" t="str">
        <f t="shared" si="13"/>
        <v>-</v>
      </c>
      <c r="V22" s="154">
        <f t="shared" si="14"/>
        <v>2</v>
      </c>
      <c r="W22" s="154" t="str">
        <f t="shared" si="15"/>
        <v>-</v>
      </c>
      <c r="X22" s="154" t="str">
        <f t="shared" si="16"/>
        <v>-</v>
      </c>
      <c r="Y22" s="154">
        <f t="shared" si="17"/>
        <v>2</v>
      </c>
      <c r="Z22" s="339">
        <f t="shared" si="20"/>
        <v>1.6666666666666667</v>
      </c>
      <c r="AA22" s="339">
        <f>IFERROR(SUMPRODUCT(AO$14:AO$20,$AE$14:$AE$20)/SUM($AE$14:$AE$20),"-")</f>
        <v>1.0769230769230769</v>
      </c>
      <c r="AB22" s="339">
        <f>IFERROR(SUMPRODUCT(AO$14:AO$20,$AF$14:$AF$20)/SUM($AF$14:$AF$20),"-")</f>
        <v>1.0769230769230771</v>
      </c>
      <c r="AE22" s="3">
        <f>SUM(AE14:AE21)</f>
        <v>2.8000000000000007</v>
      </c>
      <c r="AF22" s="3">
        <f>SUM(AF14:AF21)</f>
        <v>0.99999999999999967</v>
      </c>
    </row>
    <row r="23" spans="4:42" ht="30" customHeight="1" x14ac:dyDescent="0.25">
      <c r="D23"/>
      <c r="Q23"/>
      <c r="R23"/>
      <c r="S23"/>
      <c r="T23"/>
      <c r="U23"/>
      <c r="V23"/>
      <c r="W23"/>
      <c r="X23"/>
      <c r="Y23"/>
      <c r="Z23"/>
      <c r="AA23"/>
      <c r="AB23"/>
    </row>
    <row r="24" spans="4:42" ht="30" customHeight="1" x14ac:dyDescent="0.25">
      <c r="D24"/>
    </row>
    <row r="25" spans="4:42" ht="30" customHeight="1" x14ac:dyDescent="0.25">
      <c r="D25"/>
    </row>
    <row r="26" spans="4:42" ht="30" customHeight="1" x14ac:dyDescent="0.25">
      <c r="D26"/>
    </row>
    <row r="27" spans="4:42" ht="30" customHeight="1" x14ac:dyDescent="0.25">
      <c r="D27"/>
    </row>
    <row r="28" spans="4:42" x14ac:dyDescent="0.25">
      <c r="D28"/>
    </row>
    <row r="29" spans="4:42" x14ac:dyDescent="0.25">
      <c r="D29"/>
    </row>
  </sheetData>
  <mergeCells count="3">
    <mergeCell ref="Q12:U12"/>
    <mergeCell ref="Q4:T4"/>
    <mergeCell ref="U4:Z4"/>
  </mergeCells>
  <conditionalFormatting sqref="M6:N14">
    <cfRule type="containsText" dxfId="43" priority="2" operator="containsText" text="Y">
      <formula>NOT(ISERROR(SEARCH("Y",M6)))</formula>
    </cfRule>
  </conditionalFormatting>
  <conditionalFormatting sqref="O6:O14">
    <cfRule type="containsText" dxfId="42" priority="1" operator="containsText" text="Y">
      <formula>NOT(ISERROR(SEARCH("Y",O6)))</formula>
    </cfRule>
  </conditionalFormatting>
  <dataValidations count="1">
    <dataValidation type="list" allowBlank="1" showInputMessage="1" showErrorMessage="1" sqref="E6:L14">
      <formula1>$S$6:$S$10</formula1>
    </dataValidation>
  </dataValidation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BG77"/>
  <sheetViews>
    <sheetView showGridLines="0" zoomScale="40" zoomScaleNormal="40" workbookViewId="0">
      <selection activeCell="AE62" sqref="AE62"/>
    </sheetView>
  </sheetViews>
  <sheetFormatPr defaultColWidth="9.140625" defaultRowHeight="15" x14ac:dyDescent="0.25"/>
  <cols>
    <col min="1" max="1" width="5.7109375" style="3" customWidth="1"/>
    <col min="2" max="2" width="10.7109375" style="3" customWidth="1"/>
    <col min="3" max="3" width="5.7109375" style="3" customWidth="1"/>
    <col min="4" max="4" width="65.5703125" style="3" customWidth="1"/>
    <col min="5" max="14" width="5.7109375" style="3" customWidth="1"/>
    <col min="15" max="22" width="10.7109375" style="3" customWidth="1"/>
    <col min="23" max="23" width="5.7109375" style="3" customWidth="1"/>
    <col min="24" max="48" width="10.7109375" style="3" customWidth="1"/>
    <col min="49" max="16384" width="9.140625" style="3"/>
  </cols>
  <sheetData>
    <row r="2" spans="2:59" ht="26.25" x14ac:dyDescent="0.4">
      <c r="B2" s="5" t="s">
        <v>64</v>
      </c>
    </row>
    <row r="3" spans="2:59" x14ac:dyDescent="0.25"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</row>
    <row r="4" spans="2:59" s="7" customFormat="1" ht="24.95" customHeight="1" thickBot="1" x14ac:dyDescent="0.3">
      <c r="B4" s="9"/>
      <c r="C4" s="9"/>
      <c r="D4" s="9"/>
      <c r="E4" s="390" t="s">
        <v>35</v>
      </c>
      <c r="F4" s="390"/>
      <c r="G4" s="390"/>
      <c r="H4" s="390"/>
      <c r="I4" s="390"/>
      <c r="J4" s="390"/>
      <c r="K4" s="390"/>
      <c r="L4" s="390"/>
      <c r="M4" s="390"/>
      <c r="N4" s="390"/>
      <c r="O4" s="388" t="s">
        <v>6</v>
      </c>
      <c r="P4" s="389"/>
      <c r="Q4" s="390" t="s">
        <v>65</v>
      </c>
      <c r="R4" s="390"/>
      <c r="S4" s="9"/>
      <c r="T4" s="9"/>
      <c r="U4" s="9"/>
      <c r="V4" s="9"/>
      <c r="X4" s="33" t="s">
        <v>66</v>
      </c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5"/>
    </row>
    <row r="5" spans="2:59" s="7" customFormat="1" ht="20.100000000000001" customHeight="1" thickTop="1" thickBot="1" x14ac:dyDescent="0.3">
      <c r="B5" s="164"/>
      <c r="C5" s="164"/>
      <c r="D5" s="164"/>
      <c r="E5" s="165">
        <v>1</v>
      </c>
      <c r="F5" s="166">
        <v>2</v>
      </c>
      <c r="G5" s="166">
        <v>3</v>
      </c>
      <c r="H5" s="166">
        <v>4</v>
      </c>
      <c r="I5" s="166">
        <v>5</v>
      </c>
      <c r="J5" s="166">
        <v>6</v>
      </c>
      <c r="K5" s="166">
        <v>7</v>
      </c>
      <c r="L5" s="166">
        <v>8</v>
      </c>
      <c r="M5" s="166">
        <v>9</v>
      </c>
      <c r="N5" s="166">
        <v>10</v>
      </c>
      <c r="O5" s="165" t="s">
        <v>6</v>
      </c>
      <c r="P5" s="167" t="s">
        <v>38</v>
      </c>
      <c r="Q5" s="165" t="s">
        <v>37</v>
      </c>
      <c r="R5" s="167" t="s">
        <v>46</v>
      </c>
      <c r="S5" s="166" t="s">
        <v>41</v>
      </c>
      <c r="T5" s="358" t="s">
        <v>125</v>
      </c>
      <c r="U5" s="359" t="s">
        <v>38</v>
      </c>
      <c r="V5" s="360" t="s">
        <v>41</v>
      </c>
      <c r="X5" s="36" t="s">
        <v>48</v>
      </c>
      <c r="Y5" s="37"/>
      <c r="Z5" s="37"/>
      <c r="AA5" s="37"/>
      <c r="AB5" s="37"/>
      <c r="AC5" s="37"/>
      <c r="AD5" s="37"/>
      <c r="AE5" s="37"/>
      <c r="AF5" s="37"/>
      <c r="AG5" s="37"/>
      <c r="AH5" s="37"/>
      <c r="AI5" s="37"/>
      <c r="AJ5" s="38"/>
    </row>
    <row r="6" spans="2:59" s="7" customFormat="1" ht="20.100000000000001" customHeight="1" thickTop="1" thickBot="1" x14ac:dyDescent="0.3">
      <c r="B6" s="391" t="s">
        <v>3</v>
      </c>
      <c r="C6" s="169">
        <v>1</v>
      </c>
      <c r="D6" s="189" t="s">
        <v>7</v>
      </c>
      <c r="E6" s="171">
        <v>4</v>
      </c>
      <c r="F6" s="171">
        <v>5</v>
      </c>
      <c r="G6" s="349">
        <v>3</v>
      </c>
      <c r="H6" s="349">
        <v>5</v>
      </c>
      <c r="I6" s="349">
        <v>7</v>
      </c>
      <c r="J6" s="349">
        <v>5</v>
      </c>
      <c r="K6" s="171">
        <v>5</v>
      </c>
      <c r="L6" s="171">
        <v>4</v>
      </c>
      <c r="M6" s="171">
        <v>4</v>
      </c>
      <c r="N6" s="171">
        <v>4</v>
      </c>
      <c r="O6" s="17">
        <f>AVERAGE(E6:M6)</f>
        <v>4.666666666666667</v>
      </c>
      <c r="P6" s="172"/>
      <c r="Q6" s="20">
        <f>(MAX(E6:M6)-MIN(E6:M6))</f>
        <v>4</v>
      </c>
      <c r="R6" s="172"/>
      <c r="S6" s="353">
        <f>O6-Q6</f>
        <v>0.66666666666666696</v>
      </c>
      <c r="T6" s="362">
        <f>_xlfn.MODE.SNGL(E6:N6)</f>
        <v>4</v>
      </c>
      <c r="U6" s="363"/>
      <c r="V6" s="364">
        <f>T6-Q6</f>
        <v>0</v>
      </c>
      <c r="X6" s="39" t="s">
        <v>67</v>
      </c>
      <c r="Y6" s="37"/>
      <c r="Z6" s="37"/>
      <c r="AA6" s="37"/>
      <c r="AB6" s="37"/>
      <c r="AC6" s="37"/>
      <c r="AD6" s="37"/>
      <c r="AE6" s="37"/>
      <c r="AF6" s="37"/>
      <c r="AG6" s="37"/>
      <c r="AH6" s="37"/>
      <c r="AI6" s="37"/>
      <c r="AJ6" s="38"/>
    </row>
    <row r="7" spans="2:59" s="7" customFormat="1" ht="20.100000000000001" customHeight="1" thickTop="1" thickBot="1" x14ac:dyDescent="0.3">
      <c r="B7" s="392"/>
      <c r="C7" s="170">
        <v>2</v>
      </c>
      <c r="D7" s="190" t="s">
        <v>8</v>
      </c>
      <c r="E7" s="13">
        <v>5</v>
      </c>
      <c r="F7" s="13">
        <v>6</v>
      </c>
      <c r="G7" s="350">
        <v>3</v>
      </c>
      <c r="H7" s="350">
        <v>4</v>
      </c>
      <c r="I7" s="350">
        <v>6</v>
      </c>
      <c r="J7" s="350">
        <v>5</v>
      </c>
      <c r="K7" s="13">
        <v>4</v>
      </c>
      <c r="L7" s="13">
        <v>4</v>
      </c>
      <c r="M7" s="13">
        <v>2</v>
      </c>
      <c r="N7" s="13">
        <v>5</v>
      </c>
      <c r="O7" s="17">
        <f t="shared" ref="O7:O37" si="0">AVERAGE(E7:M7)</f>
        <v>4.333333333333333</v>
      </c>
      <c r="P7" s="173"/>
      <c r="Q7" s="20">
        <f t="shared" ref="Q7:Q37" si="1">(MAX(E7:M7)-MIN(E7:M7))</f>
        <v>4</v>
      </c>
      <c r="R7" s="173"/>
      <c r="S7" s="354">
        <f t="shared" ref="S7:S10" si="2">O7-Q7</f>
        <v>0.33333333333333304</v>
      </c>
      <c r="T7" s="365">
        <f t="shared" ref="T7:T37" si="3">_xlfn.MODE.SNGL(E7:N7)</f>
        <v>5</v>
      </c>
      <c r="U7" s="366"/>
      <c r="V7" s="364">
        <f t="shared" ref="V7:V37" si="4">T7-Q7</f>
        <v>1</v>
      </c>
      <c r="X7" s="40"/>
      <c r="Y7" s="41" t="s">
        <v>44</v>
      </c>
      <c r="Z7" s="37"/>
      <c r="AA7" s="37"/>
      <c r="AB7" s="37"/>
      <c r="AC7" s="37"/>
      <c r="AD7" s="37"/>
      <c r="AE7" s="37"/>
      <c r="AF7" s="37"/>
      <c r="AG7" s="37"/>
      <c r="AH7" s="37"/>
      <c r="AI7" s="37"/>
      <c r="AJ7" s="38"/>
    </row>
    <row r="8" spans="2:59" s="7" customFormat="1" ht="20.100000000000001" customHeight="1" thickTop="1" thickBot="1" x14ac:dyDescent="0.3">
      <c r="B8" s="392"/>
      <c r="C8" s="170">
        <v>3</v>
      </c>
      <c r="D8" s="191" t="s">
        <v>9</v>
      </c>
      <c r="E8" s="171">
        <v>3</v>
      </c>
      <c r="F8" s="171">
        <v>4</v>
      </c>
      <c r="G8" s="349">
        <v>4</v>
      </c>
      <c r="H8" s="349">
        <v>4</v>
      </c>
      <c r="I8" s="349">
        <v>5</v>
      </c>
      <c r="J8" s="349">
        <v>4</v>
      </c>
      <c r="K8" s="349">
        <v>7</v>
      </c>
      <c r="L8" s="171">
        <v>4</v>
      </c>
      <c r="M8" s="171">
        <v>2</v>
      </c>
      <c r="N8" s="171">
        <v>5</v>
      </c>
      <c r="O8" s="17">
        <f t="shared" si="0"/>
        <v>4.1111111111111107</v>
      </c>
      <c r="P8" s="173"/>
      <c r="Q8" s="20">
        <f t="shared" si="1"/>
        <v>5</v>
      </c>
      <c r="R8" s="173"/>
      <c r="S8" s="354">
        <f t="shared" si="2"/>
        <v>-0.88888888888888928</v>
      </c>
      <c r="T8" s="365">
        <f t="shared" si="3"/>
        <v>4</v>
      </c>
      <c r="U8" s="366"/>
      <c r="V8" s="364">
        <f t="shared" si="4"/>
        <v>-1</v>
      </c>
      <c r="X8" s="201"/>
      <c r="Y8" s="41" t="s">
        <v>45</v>
      </c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8"/>
    </row>
    <row r="9" spans="2:59" s="7" customFormat="1" ht="20.100000000000001" customHeight="1" thickTop="1" thickBot="1" x14ac:dyDescent="0.3">
      <c r="B9" s="392"/>
      <c r="C9" s="170">
        <v>4</v>
      </c>
      <c r="D9" s="190" t="s">
        <v>10</v>
      </c>
      <c r="E9" s="13">
        <v>4</v>
      </c>
      <c r="F9" s="13">
        <v>5</v>
      </c>
      <c r="G9" s="350">
        <v>6</v>
      </c>
      <c r="H9" s="350">
        <v>4</v>
      </c>
      <c r="I9" s="350">
        <v>5</v>
      </c>
      <c r="J9" s="350">
        <v>5</v>
      </c>
      <c r="K9" s="350">
        <v>5</v>
      </c>
      <c r="L9" s="13">
        <v>4</v>
      </c>
      <c r="M9" s="13">
        <v>7</v>
      </c>
      <c r="N9" s="13">
        <v>4</v>
      </c>
      <c r="O9" s="17">
        <f t="shared" si="0"/>
        <v>5</v>
      </c>
      <c r="P9" s="173"/>
      <c r="Q9" s="20">
        <f>(MAX(E9:M9)-MIN(E9:M9))</f>
        <v>3</v>
      </c>
      <c r="R9" s="173"/>
      <c r="S9" s="354">
        <f t="shared" si="2"/>
        <v>2</v>
      </c>
      <c r="T9" s="365">
        <f t="shared" si="3"/>
        <v>4</v>
      </c>
      <c r="U9" s="366"/>
      <c r="V9" s="364">
        <f t="shared" si="4"/>
        <v>1</v>
      </c>
      <c r="X9" s="211"/>
      <c r="Y9" s="41" t="s">
        <v>42</v>
      </c>
      <c r="Z9" s="37"/>
      <c r="AA9" s="37"/>
      <c r="AB9" s="37"/>
      <c r="AC9" s="37"/>
      <c r="AD9" s="37"/>
      <c r="AE9" s="37"/>
      <c r="AF9" s="37"/>
      <c r="AG9" s="37"/>
      <c r="AH9" s="37"/>
      <c r="AI9" s="37"/>
      <c r="AJ9" s="38"/>
    </row>
    <row r="10" spans="2:59" s="7" customFormat="1" ht="20.100000000000001" customHeight="1" thickTop="1" thickBot="1" x14ac:dyDescent="0.3">
      <c r="B10" s="392"/>
      <c r="C10" s="170">
        <v>5</v>
      </c>
      <c r="D10" s="192" t="s">
        <v>61</v>
      </c>
      <c r="E10" s="171">
        <v>3</v>
      </c>
      <c r="F10" s="171">
        <v>4</v>
      </c>
      <c r="G10" s="349">
        <v>6</v>
      </c>
      <c r="H10" s="349">
        <v>5</v>
      </c>
      <c r="I10" s="349">
        <v>5</v>
      </c>
      <c r="J10" s="349">
        <v>5</v>
      </c>
      <c r="K10" s="349">
        <v>6</v>
      </c>
      <c r="L10" s="171">
        <v>6</v>
      </c>
      <c r="M10" s="171">
        <v>4</v>
      </c>
      <c r="N10" s="171">
        <v>4</v>
      </c>
      <c r="O10" s="17">
        <f t="shared" si="0"/>
        <v>4.8888888888888893</v>
      </c>
      <c r="P10" s="173"/>
      <c r="Q10" s="20">
        <f t="shared" si="1"/>
        <v>3</v>
      </c>
      <c r="R10" s="173"/>
      <c r="S10" s="354">
        <f t="shared" si="2"/>
        <v>1.8888888888888893</v>
      </c>
      <c r="T10" s="365">
        <f t="shared" si="3"/>
        <v>4</v>
      </c>
      <c r="U10" s="366"/>
      <c r="V10" s="364">
        <f t="shared" si="4"/>
        <v>1</v>
      </c>
      <c r="X10" s="42"/>
      <c r="Y10" s="43" t="s">
        <v>43</v>
      </c>
      <c r="Z10" s="44"/>
      <c r="AA10" s="44"/>
      <c r="AB10" s="44"/>
      <c r="AC10" s="44"/>
      <c r="AD10" s="44"/>
      <c r="AE10" s="44"/>
      <c r="AF10" s="44"/>
      <c r="AG10" s="44"/>
      <c r="AH10" s="44"/>
      <c r="AI10" s="44"/>
      <c r="AJ10" s="45"/>
    </row>
    <row r="11" spans="2:59" s="7" customFormat="1" ht="20.100000000000001" customHeight="1" thickTop="1" thickBot="1" x14ac:dyDescent="0.3">
      <c r="B11" s="393"/>
      <c r="C11" s="170">
        <v>6</v>
      </c>
      <c r="D11" s="193" t="s">
        <v>60</v>
      </c>
      <c r="E11" s="13">
        <v>4</v>
      </c>
      <c r="F11" s="13">
        <v>5</v>
      </c>
      <c r="G11" s="350">
        <v>4</v>
      </c>
      <c r="H11" s="350">
        <v>5</v>
      </c>
      <c r="I11" s="350">
        <v>6</v>
      </c>
      <c r="J11" s="350">
        <v>6</v>
      </c>
      <c r="K11" s="350">
        <v>6</v>
      </c>
      <c r="L11" s="13">
        <v>6</v>
      </c>
      <c r="M11" s="13">
        <v>4</v>
      </c>
      <c r="N11" s="13">
        <v>4</v>
      </c>
      <c r="O11" s="17">
        <f t="shared" si="0"/>
        <v>5.1111111111111107</v>
      </c>
      <c r="P11" s="174"/>
      <c r="Q11" s="20">
        <f t="shared" si="1"/>
        <v>2</v>
      </c>
      <c r="R11" s="174"/>
      <c r="S11" s="355">
        <f>O11-Q11</f>
        <v>3.1111111111111107</v>
      </c>
      <c r="T11" s="367">
        <f t="shared" si="3"/>
        <v>4</v>
      </c>
      <c r="U11" s="368"/>
      <c r="V11" s="364">
        <f t="shared" si="4"/>
        <v>2</v>
      </c>
    </row>
    <row r="12" spans="2:59" s="7" customFormat="1" ht="20.100000000000001" customHeight="1" thickTop="1" thickBot="1" x14ac:dyDescent="0.3">
      <c r="B12" s="393"/>
      <c r="C12" s="170">
        <v>7</v>
      </c>
      <c r="D12" s="191" t="s">
        <v>53</v>
      </c>
      <c r="E12" s="171">
        <v>6</v>
      </c>
      <c r="F12" s="171">
        <v>7</v>
      </c>
      <c r="G12" s="349">
        <v>7</v>
      </c>
      <c r="H12" s="349">
        <v>5</v>
      </c>
      <c r="I12" s="349">
        <v>7</v>
      </c>
      <c r="J12" s="349">
        <v>7</v>
      </c>
      <c r="K12" s="349">
        <v>4</v>
      </c>
      <c r="L12" s="347">
        <v>6</v>
      </c>
      <c r="M12" s="347">
        <v>7</v>
      </c>
      <c r="N12" s="347">
        <v>6</v>
      </c>
      <c r="O12" s="17">
        <f t="shared" si="0"/>
        <v>6.2222222222222223</v>
      </c>
      <c r="P12" s="174"/>
      <c r="Q12" s="20">
        <f t="shared" si="1"/>
        <v>3</v>
      </c>
      <c r="R12" s="174"/>
      <c r="S12" s="355">
        <f t="shared" ref="S12:S37" si="5">O12-Q12</f>
        <v>3.2222222222222223</v>
      </c>
      <c r="T12" s="367">
        <f t="shared" si="3"/>
        <v>7</v>
      </c>
      <c r="U12" s="368"/>
      <c r="V12" s="364">
        <f t="shared" si="4"/>
        <v>4</v>
      </c>
    </row>
    <row r="13" spans="2:59" s="7" customFormat="1" ht="20.100000000000001" customHeight="1" thickTop="1" thickBot="1" x14ac:dyDescent="0.3">
      <c r="B13" s="393"/>
      <c r="C13" s="170">
        <v>8</v>
      </c>
      <c r="D13" s="190" t="s">
        <v>50</v>
      </c>
      <c r="E13" s="13">
        <v>5</v>
      </c>
      <c r="F13" s="13">
        <v>5</v>
      </c>
      <c r="G13" s="350">
        <v>6</v>
      </c>
      <c r="H13" s="350">
        <v>6</v>
      </c>
      <c r="I13" s="350">
        <v>7</v>
      </c>
      <c r="J13" s="350">
        <v>5</v>
      </c>
      <c r="K13" s="350">
        <v>3</v>
      </c>
      <c r="L13" s="348">
        <v>6</v>
      </c>
      <c r="M13" s="348">
        <v>7</v>
      </c>
      <c r="N13" s="348">
        <v>6</v>
      </c>
      <c r="O13" s="17">
        <f t="shared" si="0"/>
        <v>5.5555555555555554</v>
      </c>
      <c r="P13" s="16">
        <f>AVERAGE(O6:O13)</f>
        <v>4.9861111111111116</v>
      </c>
      <c r="Q13" s="20">
        <f t="shared" si="1"/>
        <v>4</v>
      </c>
      <c r="R13" s="16">
        <f>AVERAGE(Q6:Q13)</f>
        <v>3.5</v>
      </c>
      <c r="S13" s="356">
        <f t="shared" si="5"/>
        <v>1.5555555555555554</v>
      </c>
      <c r="T13" s="369">
        <f t="shared" si="3"/>
        <v>6</v>
      </c>
      <c r="U13" s="16">
        <f>AVERAGE(T6:T13)</f>
        <v>4.75</v>
      </c>
      <c r="V13" s="364">
        <f t="shared" si="4"/>
        <v>2</v>
      </c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</row>
    <row r="14" spans="2:59" s="7" customFormat="1" ht="20.100000000000001" customHeight="1" thickTop="1" thickBot="1" x14ac:dyDescent="0.3">
      <c r="B14" s="394" t="s">
        <v>4</v>
      </c>
      <c r="C14" s="170">
        <v>9</v>
      </c>
      <c r="D14" s="194" t="s">
        <v>11</v>
      </c>
      <c r="E14" s="171">
        <v>6</v>
      </c>
      <c r="F14" s="171">
        <v>7</v>
      </c>
      <c r="G14" s="349">
        <v>3</v>
      </c>
      <c r="H14" s="349">
        <v>6</v>
      </c>
      <c r="I14" s="349">
        <v>7</v>
      </c>
      <c r="J14" s="349">
        <v>7</v>
      </c>
      <c r="K14" s="349">
        <v>6</v>
      </c>
      <c r="L14" s="171">
        <v>3</v>
      </c>
      <c r="M14" s="171">
        <v>6</v>
      </c>
      <c r="N14" s="171">
        <v>5</v>
      </c>
      <c r="O14" s="17">
        <f t="shared" si="0"/>
        <v>5.666666666666667</v>
      </c>
      <c r="P14" s="175"/>
      <c r="Q14" s="20">
        <f t="shared" si="1"/>
        <v>4</v>
      </c>
      <c r="R14" s="175"/>
      <c r="S14" s="352">
        <f t="shared" si="5"/>
        <v>1.666666666666667</v>
      </c>
      <c r="T14" s="370">
        <f t="shared" si="3"/>
        <v>6</v>
      </c>
      <c r="U14" s="175"/>
      <c r="V14" s="364">
        <f t="shared" si="4"/>
        <v>2</v>
      </c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</row>
    <row r="15" spans="2:59" s="7" customFormat="1" ht="20.100000000000001" customHeight="1" thickTop="1" thickBot="1" x14ac:dyDescent="0.3">
      <c r="B15" s="395"/>
      <c r="C15" s="170">
        <v>10</v>
      </c>
      <c r="D15" s="195" t="s">
        <v>12</v>
      </c>
      <c r="E15" s="13">
        <v>6</v>
      </c>
      <c r="F15" s="13">
        <v>5</v>
      </c>
      <c r="G15" s="350">
        <v>4</v>
      </c>
      <c r="H15" s="350">
        <v>7</v>
      </c>
      <c r="I15" s="350">
        <v>6</v>
      </c>
      <c r="J15" s="350">
        <v>7</v>
      </c>
      <c r="K15" s="350">
        <v>5</v>
      </c>
      <c r="L15" s="13">
        <v>5</v>
      </c>
      <c r="M15" s="13">
        <v>6</v>
      </c>
      <c r="N15" s="13">
        <v>5</v>
      </c>
      <c r="O15" s="17">
        <f t="shared" si="0"/>
        <v>5.666666666666667</v>
      </c>
      <c r="P15" s="173"/>
      <c r="Q15" s="20">
        <f t="shared" si="1"/>
        <v>3</v>
      </c>
      <c r="R15" s="173"/>
      <c r="S15" s="355">
        <f t="shared" si="5"/>
        <v>2.666666666666667</v>
      </c>
      <c r="T15" s="365">
        <f t="shared" si="3"/>
        <v>5</v>
      </c>
      <c r="U15" s="173"/>
      <c r="V15" s="364">
        <f t="shared" si="4"/>
        <v>2</v>
      </c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</row>
    <row r="16" spans="2:59" s="7" customFormat="1" ht="20.100000000000001" customHeight="1" thickTop="1" thickBot="1" x14ac:dyDescent="0.3">
      <c r="B16" s="396"/>
      <c r="C16" s="170">
        <v>11</v>
      </c>
      <c r="D16" s="194" t="s">
        <v>13</v>
      </c>
      <c r="E16" s="171">
        <v>6</v>
      </c>
      <c r="F16" s="171">
        <v>6</v>
      </c>
      <c r="G16" s="349">
        <v>6</v>
      </c>
      <c r="H16" s="349">
        <v>7</v>
      </c>
      <c r="I16" s="349">
        <v>7</v>
      </c>
      <c r="J16" s="349">
        <v>5</v>
      </c>
      <c r="K16" s="349">
        <v>7</v>
      </c>
      <c r="L16" s="171">
        <v>4</v>
      </c>
      <c r="M16" s="171">
        <v>7</v>
      </c>
      <c r="N16" s="171">
        <v>5</v>
      </c>
      <c r="O16" s="17">
        <f t="shared" si="0"/>
        <v>6.1111111111111107</v>
      </c>
      <c r="P16" s="16">
        <f>AVERAGE(O14:O16)</f>
        <v>5.814814814814814</v>
      </c>
      <c r="Q16" s="20">
        <f t="shared" si="1"/>
        <v>3</v>
      </c>
      <c r="R16" s="16">
        <f>AVERAGE(Q14:Q16)</f>
        <v>3.3333333333333335</v>
      </c>
      <c r="S16" s="356">
        <f t="shared" si="5"/>
        <v>3.1111111111111107</v>
      </c>
      <c r="T16" s="369">
        <f t="shared" si="3"/>
        <v>7</v>
      </c>
      <c r="U16" s="16">
        <f>AVERAGE(T14:T16)</f>
        <v>6</v>
      </c>
      <c r="V16" s="364">
        <f t="shared" si="4"/>
        <v>4</v>
      </c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</row>
    <row r="17" spans="2:59" s="7" customFormat="1" ht="20.100000000000001" customHeight="1" thickTop="1" thickBot="1" x14ac:dyDescent="0.3">
      <c r="B17" s="380" t="s">
        <v>14</v>
      </c>
      <c r="C17" s="170">
        <v>12</v>
      </c>
      <c r="D17" s="196" t="s">
        <v>51</v>
      </c>
      <c r="E17" s="13">
        <v>7</v>
      </c>
      <c r="F17" s="13">
        <v>7</v>
      </c>
      <c r="G17" s="350">
        <v>5</v>
      </c>
      <c r="H17" s="350">
        <v>6</v>
      </c>
      <c r="I17" s="350">
        <v>7</v>
      </c>
      <c r="J17" s="350">
        <v>6</v>
      </c>
      <c r="K17" s="350">
        <v>6</v>
      </c>
      <c r="L17" s="13">
        <v>6</v>
      </c>
      <c r="M17" s="13">
        <v>5</v>
      </c>
      <c r="N17" s="13">
        <v>5</v>
      </c>
      <c r="O17" s="17">
        <f t="shared" si="0"/>
        <v>6.1111111111111107</v>
      </c>
      <c r="P17" s="175"/>
      <c r="Q17" s="20">
        <f t="shared" si="1"/>
        <v>2</v>
      </c>
      <c r="R17" s="175"/>
      <c r="S17" s="352">
        <f t="shared" si="5"/>
        <v>4.1111111111111107</v>
      </c>
      <c r="T17" s="370">
        <f t="shared" si="3"/>
        <v>6</v>
      </c>
      <c r="U17" s="175"/>
      <c r="V17" s="364">
        <f t="shared" si="4"/>
        <v>4</v>
      </c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</row>
    <row r="18" spans="2:59" s="7" customFormat="1" ht="20.100000000000001" customHeight="1" thickTop="1" thickBot="1" x14ac:dyDescent="0.3">
      <c r="B18" s="381"/>
      <c r="C18" s="170">
        <v>13</v>
      </c>
      <c r="D18" s="197" t="s">
        <v>56</v>
      </c>
      <c r="E18" s="171">
        <v>5</v>
      </c>
      <c r="F18" s="171">
        <v>6</v>
      </c>
      <c r="G18" s="349">
        <v>7</v>
      </c>
      <c r="H18" s="349">
        <v>5</v>
      </c>
      <c r="I18" s="349">
        <v>7</v>
      </c>
      <c r="J18" s="349">
        <v>6</v>
      </c>
      <c r="K18" s="349">
        <v>5</v>
      </c>
      <c r="L18" s="171">
        <v>6</v>
      </c>
      <c r="M18" s="171">
        <v>6</v>
      </c>
      <c r="N18" s="171">
        <v>5</v>
      </c>
      <c r="O18" s="17">
        <f t="shared" si="0"/>
        <v>5.8888888888888893</v>
      </c>
      <c r="P18" s="173"/>
      <c r="Q18" s="20">
        <f t="shared" si="1"/>
        <v>2</v>
      </c>
      <c r="R18" s="173"/>
      <c r="S18" s="355">
        <f t="shared" si="5"/>
        <v>3.8888888888888893</v>
      </c>
      <c r="T18" s="365">
        <f t="shared" si="3"/>
        <v>5</v>
      </c>
      <c r="U18" s="173"/>
      <c r="V18" s="364">
        <f t="shared" si="4"/>
        <v>3</v>
      </c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</row>
    <row r="19" spans="2:59" s="7" customFormat="1" ht="20.100000000000001" customHeight="1" thickTop="1" thickBot="1" x14ac:dyDescent="0.3">
      <c r="B19" s="381"/>
      <c r="C19" s="170">
        <v>14</v>
      </c>
      <c r="D19" s="196" t="s">
        <v>57</v>
      </c>
      <c r="E19" s="13">
        <v>5</v>
      </c>
      <c r="F19" s="13">
        <v>5</v>
      </c>
      <c r="G19" s="350">
        <v>7</v>
      </c>
      <c r="H19" s="350">
        <v>5</v>
      </c>
      <c r="I19" s="350">
        <v>5</v>
      </c>
      <c r="J19" s="350">
        <v>7</v>
      </c>
      <c r="K19" s="350">
        <v>6</v>
      </c>
      <c r="L19" s="13">
        <v>6</v>
      </c>
      <c r="M19" s="13">
        <v>7</v>
      </c>
      <c r="N19" s="13">
        <v>5</v>
      </c>
      <c r="O19" s="17">
        <f t="shared" si="0"/>
        <v>5.8888888888888893</v>
      </c>
      <c r="P19" s="174"/>
      <c r="Q19" s="20">
        <f t="shared" si="1"/>
        <v>2</v>
      </c>
      <c r="R19" s="174"/>
      <c r="S19" s="355">
        <f t="shared" si="5"/>
        <v>3.8888888888888893</v>
      </c>
      <c r="T19" s="365">
        <f t="shared" si="3"/>
        <v>5</v>
      </c>
      <c r="U19" s="174"/>
      <c r="V19" s="364">
        <f t="shared" si="4"/>
        <v>3</v>
      </c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</row>
    <row r="20" spans="2:59" s="7" customFormat="1" ht="20.100000000000001" customHeight="1" thickTop="1" thickBot="1" x14ac:dyDescent="0.3">
      <c r="B20" s="381"/>
      <c r="C20" s="170">
        <v>15</v>
      </c>
      <c r="D20" s="197" t="s">
        <v>58</v>
      </c>
      <c r="E20" s="171">
        <v>5</v>
      </c>
      <c r="F20" s="171">
        <v>5</v>
      </c>
      <c r="G20" s="349">
        <v>3</v>
      </c>
      <c r="H20" s="349">
        <v>4</v>
      </c>
      <c r="I20" s="349">
        <v>6</v>
      </c>
      <c r="J20" s="349">
        <v>6</v>
      </c>
      <c r="K20" s="349">
        <v>4</v>
      </c>
      <c r="L20" s="347">
        <v>5</v>
      </c>
      <c r="M20" s="347">
        <v>6</v>
      </c>
      <c r="N20" s="347">
        <v>5</v>
      </c>
      <c r="O20" s="17">
        <f t="shared" si="0"/>
        <v>4.8888888888888893</v>
      </c>
      <c r="P20" s="174"/>
      <c r="Q20" s="20">
        <f t="shared" si="1"/>
        <v>3</v>
      </c>
      <c r="R20" s="174"/>
      <c r="S20" s="355">
        <f t="shared" si="5"/>
        <v>1.8888888888888893</v>
      </c>
      <c r="T20" s="365">
        <f t="shared" si="3"/>
        <v>5</v>
      </c>
      <c r="U20" s="174"/>
      <c r="V20" s="364">
        <f t="shared" si="4"/>
        <v>2</v>
      </c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</row>
    <row r="21" spans="2:59" s="7" customFormat="1" ht="20.100000000000001" customHeight="1" thickTop="1" thickBot="1" x14ac:dyDescent="0.3">
      <c r="B21" s="381"/>
      <c r="C21" s="170">
        <v>16</v>
      </c>
      <c r="D21" s="198" t="s">
        <v>68</v>
      </c>
      <c r="E21" s="13">
        <v>7</v>
      </c>
      <c r="F21" s="13">
        <v>6</v>
      </c>
      <c r="G21" s="350">
        <v>4</v>
      </c>
      <c r="H21" s="350">
        <v>7</v>
      </c>
      <c r="I21" s="350">
        <v>7</v>
      </c>
      <c r="J21" s="350">
        <v>7</v>
      </c>
      <c r="K21" s="350">
        <v>6</v>
      </c>
      <c r="L21" s="348">
        <v>5</v>
      </c>
      <c r="M21" s="348">
        <v>6</v>
      </c>
      <c r="N21" s="348">
        <v>5</v>
      </c>
      <c r="O21" s="17">
        <f t="shared" si="0"/>
        <v>6.1111111111111107</v>
      </c>
      <c r="P21" s="174"/>
      <c r="Q21" s="20">
        <f t="shared" si="1"/>
        <v>3</v>
      </c>
      <c r="R21" s="174"/>
      <c r="S21" s="355">
        <f t="shared" si="5"/>
        <v>3.1111111111111107</v>
      </c>
      <c r="T21" s="365">
        <f t="shared" si="3"/>
        <v>7</v>
      </c>
      <c r="U21" s="174"/>
      <c r="V21" s="364">
        <f t="shared" si="4"/>
        <v>4</v>
      </c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</row>
    <row r="22" spans="2:59" s="7" customFormat="1" ht="20.100000000000001" customHeight="1" thickTop="1" thickBot="1" x14ac:dyDescent="0.3">
      <c r="B22" s="382"/>
      <c r="C22" s="170">
        <v>17</v>
      </c>
      <c r="D22" s="197" t="s">
        <v>54</v>
      </c>
      <c r="E22" s="171">
        <v>5</v>
      </c>
      <c r="F22" s="171">
        <v>5</v>
      </c>
      <c r="G22" s="349">
        <v>4</v>
      </c>
      <c r="H22" s="349">
        <v>5</v>
      </c>
      <c r="I22" s="349">
        <v>5</v>
      </c>
      <c r="J22" s="349">
        <v>5</v>
      </c>
      <c r="K22" s="349">
        <v>5</v>
      </c>
      <c r="L22" s="347">
        <v>5</v>
      </c>
      <c r="M22" s="347">
        <v>4</v>
      </c>
      <c r="N22" s="347">
        <v>5</v>
      </c>
      <c r="O22" s="17">
        <f t="shared" si="0"/>
        <v>4.7777777777777777</v>
      </c>
      <c r="P22" s="16">
        <f>AVERAGE(O17:O22)</f>
        <v>5.6111111111111107</v>
      </c>
      <c r="Q22" s="20">
        <f t="shared" si="1"/>
        <v>1</v>
      </c>
      <c r="R22" s="16">
        <f>AVERAGE(Q17:Q22)</f>
        <v>2.1666666666666665</v>
      </c>
      <c r="S22" s="356">
        <f t="shared" si="5"/>
        <v>3.7777777777777777</v>
      </c>
      <c r="T22" s="369">
        <f t="shared" si="3"/>
        <v>5</v>
      </c>
      <c r="U22" s="16">
        <f>AVERAGE(T17:T22)</f>
        <v>5.5</v>
      </c>
      <c r="V22" s="364">
        <f t="shared" si="4"/>
        <v>4</v>
      </c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</row>
    <row r="23" spans="2:59" s="7" customFormat="1" ht="20.100000000000001" customHeight="1" thickTop="1" thickBot="1" x14ac:dyDescent="0.3">
      <c r="B23" s="386" t="s">
        <v>59</v>
      </c>
      <c r="C23" s="170">
        <v>18</v>
      </c>
      <c r="D23" s="202" t="s">
        <v>55</v>
      </c>
      <c r="E23" s="13">
        <v>6</v>
      </c>
      <c r="F23" s="13">
        <v>7</v>
      </c>
      <c r="G23" s="350">
        <v>6</v>
      </c>
      <c r="H23" s="350">
        <v>7</v>
      </c>
      <c r="I23" s="350">
        <v>7</v>
      </c>
      <c r="J23" s="350">
        <v>7</v>
      </c>
      <c r="K23" s="350">
        <v>5</v>
      </c>
      <c r="L23" s="348">
        <v>7</v>
      </c>
      <c r="M23" s="348">
        <v>7</v>
      </c>
      <c r="N23" s="348">
        <v>5</v>
      </c>
      <c r="O23" s="17">
        <f t="shared" si="0"/>
        <v>6.5555555555555554</v>
      </c>
      <c r="P23" s="175"/>
      <c r="Q23" s="20">
        <f t="shared" si="1"/>
        <v>2</v>
      </c>
      <c r="R23" s="175"/>
      <c r="S23" s="352">
        <f t="shared" si="5"/>
        <v>4.5555555555555554</v>
      </c>
      <c r="T23" s="370">
        <f t="shared" si="3"/>
        <v>7</v>
      </c>
      <c r="U23" s="175"/>
      <c r="V23" s="364">
        <f t="shared" si="4"/>
        <v>5</v>
      </c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</row>
    <row r="24" spans="2:59" s="7" customFormat="1" ht="20.100000000000001" customHeight="1" thickTop="1" thickBot="1" x14ac:dyDescent="0.3">
      <c r="B24" s="386"/>
      <c r="C24" s="170">
        <v>19</v>
      </c>
      <c r="D24" s="205" t="s">
        <v>15</v>
      </c>
      <c r="E24" s="171">
        <v>6</v>
      </c>
      <c r="F24" s="171">
        <v>6</v>
      </c>
      <c r="G24" s="349">
        <v>3</v>
      </c>
      <c r="H24" s="349">
        <v>7</v>
      </c>
      <c r="I24" s="349">
        <v>7</v>
      </c>
      <c r="J24" s="349">
        <v>5</v>
      </c>
      <c r="K24" s="349">
        <v>4</v>
      </c>
      <c r="L24" s="171">
        <v>6</v>
      </c>
      <c r="M24" s="171">
        <v>6</v>
      </c>
      <c r="N24" s="171">
        <v>5</v>
      </c>
      <c r="O24" s="17">
        <f t="shared" si="0"/>
        <v>5.5555555555555554</v>
      </c>
      <c r="P24" s="173"/>
      <c r="Q24" s="20">
        <f t="shared" si="1"/>
        <v>4</v>
      </c>
      <c r="R24" s="173"/>
      <c r="S24" s="355">
        <f t="shared" si="5"/>
        <v>1.5555555555555554</v>
      </c>
      <c r="T24" s="365">
        <f t="shared" si="3"/>
        <v>6</v>
      </c>
      <c r="U24" s="173"/>
      <c r="V24" s="364">
        <f t="shared" si="4"/>
        <v>2</v>
      </c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</row>
    <row r="25" spans="2:59" s="7" customFormat="1" ht="20.100000000000001" customHeight="1" thickTop="1" thickBot="1" x14ac:dyDescent="0.3">
      <c r="B25" s="386"/>
      <c r="C25" s="170">
        <v>20</v>
      </c>
      <c r="D25" s="202" t="s">
        <v>23</v>
      </c>
      <c r="E25" s="13">
        <v>6</v>
      </c>
      <c r="F25" s="13">
        <v>5</v>
      </c>
      <c r="G25" s="350">
        <v>4</v>
      </c>
      <c r="H25" s="350">
        <v>7</v>
      </c>
      <c r="I25" s="350">
        <v>7</v>
      </c>
      <c r="J25" s="350">
        <v>7</v>
      </c>
      <c r="K25" s="350">
        <v>4</v>
      </c>
      <c r="L25" s="13">
        <v>7</v>
      </c>
      <c r="M25" s="13">
        <v>6</v>
      </c>
      <c r="N25" s="13">
        <v>5</v>
      </c>
      <c r="O25" s="17">
        <f t="shared" si="0"/>
        <v>5.8888888888888893</v>
      </c>
      <c r="P25" s="173"/>
      <c r="Q25" s="20">
        <f t="shared" si="1"/>
        <v>3</v>
      </c>
      <c r="R25" s="173"/>
      <c r="S25" s="355">
        <f t="shared" si="5"/>
        <v>2.8888888888888893</v>
      </c>
      <c r="T25" s="365">
        <f t="shared" si="3"/>
        <v>7</v>
      </c>
      <c r="U25" s="173"/>
      <c r="V25" s="364">
        <f t="shared" si="4"/>
        <v>4</v>
      </c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</row>
    <row r="26" spans="2:59" s="7" customFormat="1" ht="20.100000000000001" customHeight="1" thickTop="1" thickBot="1" x14ac:dyDescent="0.3">
      <c r="B26" s="386"/>
      <c r="C26" s="170">
        <v>21</v>
      </c>
      <c r="D26" s="204" t="s">
        <v>16</v>
      </c>
      <c r="E26" s="171">
        <v>5</v>
      </c>
      <c r="F26" s="171">
        <v>4</v>
      </c>
      <c r="G26" s="349">
        <v>4</v>
      </c>
      <c r="H26" s="349">
        <v>5</v>
      </c>
      <c r="I26" s="349">
        <v>6</v>
      </c>
      <c r="J26" s="349">
        <v>4</v>
      </c>
      <c r="K26" s="349">
        <v>6</v>
      </c>
      <c r="L26" s="171">
        <v>6</v>
      </c>
      <c r="M26" s="171">
        <v>7</v>
      </c>
      <c r="N26" s="171">
        <v>5</v>
      </c>
      <c r="O26" s="17">
        <f t="shared" si="0"/>
        <v>5.2222222222222223</v>
      </c>
      <c r="P26" s="173"/>
      <c r="Q26" s="20">
        <f t="shared" si="1"/>
        <v>3</v>
      </c>
      <c r="R26" s="173"/>
      <c r="S26" s="355">
        <f t="shared" si="5"/>
        <v>2.2222222222222223</v>
      </c>
      <c r="T26" s="365">
        <f t="shared" si="3"/>
        <v>5</v>
      </c>
      <c r="U26" s="173"/>
      <c r="V26" s="364">
        <f t="shared" si="4"/>
        <v>2</v>
      </c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</row>
    <row r="27" spans="2:59" s="7" customFormat="1" ht="20.100000000000001" customHeight="1" thickTop="1" thickBot="1" x14ac:dyDescent="0.3">
      <c r="B27" s="386"/>
      <c r="C27" s="170">
        <v>22</v>
      </c>
      <c r="D27" s="202" t="s">
        <v>17</v>
      </c>
      <c r="E27" s="13">
        <v>6</v>
      </c>
      <c r="F27" s="13">
        <v>4</v>
      </c>
      <c r="G27" s="350">
        <v>5</v>
      </c>
      <c r="H27" s="350">
        <v>5</v>
      </c>
      <c r="I27" s="350">
        <v>6</v>
      </c>
      <c r="J27" s="350">
        <v>4</v>
      </c>
      <c r="K27" s="350">
        <v>6</v>
      </c>
      <c r="L27" s="13">
        <v>6</v>
      </c>
      <c r="M27" s="13">
        <v>7</v>
      </c>
      <c r="N27" s="13">
        <v>6</v>
      </c>
      <c r="O27" s="17">
        <f t="shared" si="0"/>
        <v>5.4444444444444446</v>
      </c>
      <c r="P27" s="173"/>
      <c r="Q27" s="20">
        <f t="shared" si="1"/>
        <v>3</v>
      </c>
      <c r="R27" s="173"/>
      <c r="S27" s="355">
        <f t="shared" si="5"/>
        <v>2.4444444444444446</v>
      </c>
      <c r="T27" s="365">
        <f t="shared" si="3"/>
        <v>6</v>
      </c>
      <c r="U27" s="173"/>
      <c r="V27" s="364">
        <f t="shared" si="4"/>
        <v>3</v>
      </c>
      <c r="X27" s="46" t="str">
        <f>P5</f>
        <v>Mean cat</v>
      </c>
      <c r="Y27" s="47"/>
      <c r="Z27"/>
      <c r="AA27"/>
      <c r="AB27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</row>
    <row r="28" spans="2:59" s="7" customFormat="1" ht="20.100000000000001" customHeight="1" thickTop="1" thickBot="1" x14ac:dyDescent="0.3">
      <c r="B28" s="386"/>
      <c r="C28" s="170">
        <v>23</v>
      </c>
      <c r="D28" s="203" t="s">
        <v>18</v>
      </c>
      <c r="E28" s="171">
        <v>4</v>
      </c>
      <c r="F28" s="171">
        <v>5</v>
      </c>
      <c r="G28" s="349">
        <v>5</v>
      </c>
      <c r="H28" s="349">
        <v>4</v>
      </c>
      <c r="I28" s="349">
        <v>6</v>
      </c>
      <c r="J28" s="349">
        <v>4</v>
      </c>
      <c r="K28" s="349">
        <v>3</v>
      </c>
      <c r="L28" s="171">
        <v>4</v>
      </c>
      <c r="M28" s="171">
        <v>2</v>
      </c>
      <c r="N28" s="171">
        <v>5</v>
      </c>
      <c r="O28" s="17">
        <f t="shared" si="0"/>
        <v>4.1111111111111107</v>
      </c>
      <c r="P28" s="173"/>
      <c r="Q28" s="20">
        <f t="shared" si="1"/>
        <v>4</v>
      </c>
      <c r="R28" s="173"/>
      <c r="S28" s="355">
        <f t="shared" si="5"/>
        <v>0.11111111111111072</v>
      </c>
      <c r="T28" s="365">
        <f t="shared" si="3"/>
        <v>4</v>
      </c>
      <c r="U28" s="173"/>
      <c r="V28" s="364">
        <f t="shared" si="4"/>
        <v>0</v>
      </c>
      <c r="X28" s="146" t="str">
        <f>B6</f>
        <v>Commercial</v>
      </c>
      <c r="Y28" s="176">
        <f>P13</f>
        <v>4.9861111111111116</v>
      </c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</row>
    <row r="29" spans="2:59" s="7" customFormat="1" ht="20.100000000000001" customHeight="1" thickTop="1" thickBot="1" x14ac:dyDescent="0.3">
      <c r="B29" s="386"/>
      <c r="C29" s="170">
        <v>24</v>
      </c>
      <c r="D29" s="202" t="s">
        <v>19</v>
      </c>
      <c r="E29" s="13">
        <v>5</v>
      </c>
      <c r="F29" s="13">
        <v>4</v>
      </c>
      <c r="G29" s="350">
        <v>5</v>
      </c>
      <c r="H29" s="350">
        <v>6</v>
      </c>
      <c r="I29" s="350">
        <v>7</v>
      </c>
      <c r="J29" s="350">
        <v>6</v>
      </c>
      <c r="K29" s="350">
        <v>3</v>
      </c>
      <c r="L29" s="13">
        <v>6</v>
      </c>
      <c r="M29" s="13">
        <v>3</v>
      </c>
      <c r="N29" s="13">
        <v>5</v>
      </c>
      <c r="O29" s="17">
        <f t="shared" si="0"/>
        <v>5</v>
      </c>
      <c r="P29" s="173"/>
      <c r="Q29" s="20">
        <f t="shared" si="1"/>
        <v>4</v>
      </c>
      <c r="R29" s="173"/>
      <c r="S29" s="355">
        <f t="shared" si="5"/>
        <v>1</v>
      </c>
      <c r="T29" s="365">
        <f t="shared" si="3"/>
        <v>5</v>
      </c>
      <c r="U29" s="173"/>
      <c r="V29" s="364">
        <f t="shared" si="4"/>
        <v>1</v>
      </c>
      <c r="X29" s="48" t="str">
        <f>B14</f>
        <v>Affordability</v>
      </c>
      <c r="Y29" s="176">
        <f>P16</f>
        <v>5.814814814814814</v>
      </c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</row>
    <row r="30" spans="2:59" s="7" customFormat="1" ht="20.100000000000001" customHeight="1" thickTop="1" thickBot="1" x14ac:dyDescent="0.3">
      <c r="B30" s="387"/>
      <c r="C30" s="170">
        <v>25</v>
      </c>
      <c r="D30" s="203" t="s">
        <v>52</v>
      </c>
      <c r="E30" s="171">
        <v>5</v>
      </c>
      <c r="F30" s="171">
        <v>4</v>
      </c>
      <c r="G30" s="349">
        <v>4</v>
      </c>
      <c r="H30" s="349">
        <v>6</v>
      </c>
      <c r="I30" s="349">
        <v>5</v>
      </c>
      <c r="J30" s="349">
        <v>4</v>
      </c>
      <c r="K30" s="349">
        <v>6</v>
      </c>
      <c r="L30" s="171">
        <v>3</v>
      </c>
      <c r="M30" s="171">
        <v>5</v>
      </c>
      <c r="N30" s="171">
        <v>4</v>
      </c>
      <c r="O30" s="17">
        <f t="shared" si="0"/>
        <v>4.666666666666667</v>
      </c>
      <c r="P30" s="16">
        <f>AVERAGE(O23:O30)</f>
        <v>5.3055555555555545</v>
      </c>
      <c r="Q30" s="20">
        <f t="shared" si="1"/>
        <v>3</v>
      </c>
      <c r="R30" s="16">
        <f>AVERAGE(Q23:Q30)</f>
        <v>3.25</v>
      </c>
      <c r="S30" s="356">
        <f t="shared" si="5"/>
        <v>1.666666666666667</v>
      </c>
      <c r="T30" s="369">
        <f t="shared" si="3"/>
        <v>4</v>
      </c>
      <c r="U30" s="16">
        <f>AVERAGE(T23:T30)</f>
        <v>5.5</v>
      </c>
      <c r="V30" s="364">
        <f t="shared" si="4"/>
        <v>1</v>
      </c>
      <c r="X30" s="49" t="str">
        <f>B17</f>
        <v>Maintainer performance</v>
      </c>
      <c r="Y30" s="176">
        <f>P22</f>
        <v>5.6111111111111107</v>
      </c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</row>
    <row r="31" spans="2:59" s="7" customFormat="1" ht="20.100000000000001" customHeight="1" thickTop="1" thickBot="1" x14ac:dyDescent="0.3">
      <c r="B31" s="383" t="s">
        <v>5</v>
      </c>
      <c r="C31" s="170">
        <v>26</v>
      </c>
      <c r="D31" s="199" t="s">
        <v>20</v>
      </c>
      <c r="E31" s="13">
        <v>5</v>
      </c>
      <c r="F31" s="13">
        <v>3</v>
      </c>
      <c r="G31" s="350">
        <v>6</v>
      </c>
      <c r="H31" s="350">
        <v>5</v>
      </c>
      <c r="I31" s="350">
        <v>6</v>
      </c>
      <c r="J31" s="350">
        <v>5</v>
      </c>
      <c r="K31" s="350">
        <v>5</v>
      </c>
      <c r="L31" s="13">
        <v>6</v>
      </c>
      <c r="M31" s="13">
        <v>1</v>
      </c>
      <c r="N31" s="13">
        <v>4</v>
      </c>
      <c r="O31" s="17">
        <f t="shared" si="0"/>
        <v>4.666666666666667</v>
      </c>
      <c r="P31" s="175"/>
      <c r="Q31" s="20">
        <f t="shared" si="1"/>
        <v>5</v>
      </c>
      <c r="R31" s="175"/>
      <c r="S31" s="352">
        <f t="shared" si="5"/>
        <v>-0.33333333333333304</v>
      </c>
      <c r="T31" s="370">
        <f t="shared" si="3"/>
        <v>5</v>
      </c>
      <c r="U31" s="175"/>
      <c r="V31" s="364">
        <f t="shared" si="4"/>
        <v>0</v>
      </c>
      <c r="X31" s="209" t="str">
        <f>B23</f>
        <v>Operational</v>
      </c>
      <c r="Y31" s="176">
        <f>P30</f>
        <v>5.3055555555555545</v>
      </c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</row>
    <row r="32" spans="2:59" s="7" customFormat="1" ht="20.100000000000001" customHeight="1" thickTop="1" thickBot="1" x14ac:dyDescent="0.3">
      <c r="B32" s="384"/>
      <c r="C32" s="170">
        <v>27</v>
      </c>
      <c r="D32" s="208" t="s">
        <v>63</v>
      </c>
      <c r="E32" s="171">
        <v>4</v>
      </c>
      <c r="F32" s="171">
        <v>5</v>
      </c>
      <c r="G32" s="349">
        <v>5</v>
      </c>
      <c r="H32" s="349">
        <v>5</v>
      </c>
      <c r="I32" s="349">
        <v>7</v>
      </c>
      <c r="J32" s="349">
        <v>6</v>
      </c>
      <c r="K32" s="349">
        <v>5</v>
      </c>
      <c r="L32" s="347">
        <v>5</v>
      </c>
      <c r="M32" s="347">
        <v>7</v>
      </c>
      <c r="N32" s="347">
        <v>5</v>
      </c>
      <c r="O32" s="17">
        <f t="shared" si="0"/>
        <v>5.4444444444444446</v>
      </c>
      <c r="P32" s="175"/>
      <c r="Q32" s="20">
        <f t="shared" si="1"/>
        <v>3</v>
      </c>
      <c r="R32" s="175"/>
      <c r="S32" s="355">
        <f t="shared" si="5"/>
        <v>2.4444444444444446</v>
      </c>
      <c r="T32" s="365">
        <f t="shared" si="3"/>
        <v>5</v>
      </c>
      <c r="U32" s="175"/>
      <c r="V32" s="364">
        <f t="shared" si="4"/>
        <v>2</v>
      </c>
      <c r="X32" s="210" t="str">
        <f>B31</f>
        <v>Engineering</v>
      </c>
      <c r="Y32" s="177">
        <f>P37</f>
        <v>5.2063492063492065</v>
      </c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</row>
    <row r="33" spans="2:59" s="7" customFormat="1" ht="20.100000000000001" customHeight="1" thickTop="1" thickBot="1" x14ac:dyDescent="0.3">
      <c r="B33" s="384"/>
      <c r="C33" s="170">
        <v>28</v>
      </c>
      <c r="D33" s="206" t="s">
        <v>62</v>
      </c>
      <c r="E33" s="13">
        <v>5</v>
      </c>
      <c r="F33" s="13">
        <v>4</v>
      </c>
      <c r="G33" s="350">
        <v>2</v>
      </c>
      <c r="H33" s="350">
        <v>5</v>
      </c>
      <c r="I33" s="350">
        <v>6</v>
      </c>
      <c r="J33" s="350">
        <v>6</v>
      </c>
      <c r="K33" s="350">
        <v>4</v>
      </c>
      <c r="L33" s="348">
        <v>4</v>
      </c>
      <c r="M33" s="348">
        <v>5</v>
      </c>
      <c r="N33" s="348">
        <v>6</v>
      </c>
      <c r="O33" s="17">
        <f t="shared" si="0"/>
        <v>4.5555555555555554</v>
      </c>
      <c r="P33" s="175"/>
      <c r="Q33" s="20">
        <f t="shared" si="1"/>
        <v>4</v>
      </c>
      <c r="R33" s="175"/>
      <c r="S33" s="355">
        <f t="shared" si="5"/>
        <v>0.55555555555555536</v>
      </c>
      <c r="T33" s="365">
        <f t="shared" si="3"/>
        <v>5</v>
      </c>
      <c r="U33" s="175"/>
      <c r="V33" s="364">
        <f t="shared" si="4"/>
        <v>1</v>
      </c>
      <c r="X33"/>
      <c r="Y3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</row>
    <row r="34" spans="2:59" s="7" customFormat="1" ht="20.100000000000001" customHeight="1" thickTop="1" thickBot="1" x14ac:dyDescent="0.3">
      <c r="B34" s="384"/>
      <c r="C34" s="170">
        <v>29</v>
      </c>
      <c r="D34" s="200" t="s">
        <v>24</v>
      </c>
      <c r="E34" s="171">
        <v>6</v>
      </c>
      <c r="F34" s="171">
        <v>6</v>
      </c>
      <c r="G34" s="349">
        <v>7</v>
      </c>
      <c r="H34" s="349">
        <v>5</v>
      </c>
      <c r="I34" s="349">
        <v>6</v>
      </c>
      <c r="J34" s="349">
        <v>6</v>
      </c>
      <c r="K34" s="349">
        <v>6</v>
      </c>
      <c r="L34" s="171">
        <v>7</v>
      </c>
      <c r="M34" s="171">
        <v>6</v>
      </c>
      <c r="N34" s="171">
        <v>6</v>
      </c>
      <c r="O34" s="17">
        <f t="shared" si="0"/>
        <v>6.1111111111111107</v>
      </c>
      <c r="P34" s="173"/>
      <c r="Q34" s="20">
        <f t="shared" si="1"/>
        <v>2</v>
      </c>
      <c r="R34" s="173"/>
      <c r="S34" s="355">
        <f t="shared" si="5"/>
        <v>4.1111111111111107</v>
      </c>
      <c r="T34" s="365">
        <f t="shared" si="3"/>
        <v>6</v>
      </c>
      <c r="U34" s="173"/>
      <c r="V34" s="364">
        <f t="shared" si="4"/>
        <v>4</v>
      </c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</row>
    <row r="35" spans="2:59" s="7" customFormat="1" ht="20.100000000000001" customHeight="1" thickTop="1" thickBot="1" x14ac:dyDescent="0.3">
      <c r="B35" s="384"/>
      <c r="C35" s="170">
        <v>30</v>
      </c>
      <c r="D35" s="199" t="s">
        <v>21</v>
      </c>
      <c r="E35" s="13">
        <v>5</v>
      </c>
      <c r="F35" s="13">
        <v>5</v>
      </c>
      <c r="G35" s="350">
        <v>5</v>
      </c>
      <c r="H35" s="350">
        <v>6</v>
      </c>
      <c r="I35" s="350">
        <v>6</v>
      </c>
      <c r="J35" s="350">
        <v>6</v>
      </c>
      <c r="K35" s="350">
        <v>3</v>
      </c>
      <c r="L35" s="13">
        <v>5</v>
      </c>
      <c r="M35" s="13">
        <v>6</v>
      </c>
      <c r="N35" s="13">
        <v>5</v>
      </c>
      <c r="O35" s="17">
        <f t="shared" si="0"/>
        <v>5.2222222222222223</v>
      </c>
      <c r="P35" s="173"/>
      <c r="Q35" s="20">
        <f t="shared" si="1"/>
        <v>3</v>
      </c>
      <c r="R35" s="173"/>
      <c r="S35" s="355">
        <f t="shared" si="5"/>
        <v>2.2222222222222223</v>
      </c>
      <c r="T35" s="365">
        <f t="shared" si="3"/>
        <v>5</v>
      </c>
      <c r="U35" s="173"/>
      <c r="V35" s="364">
        <f t="shared" si="4"/>
        <v>2</v>
      </c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</row>
    <row r="36" spans="2:59" s="7" customFormat="1" ht="20.100000000000001" customHeight="1" thickTop="1" thickBot="1" x14ac:dyDescent="0.3">
      <c r="B36" s="384"/>
      <c r="C36" s="170">
        <v>31</v>
      </c>
      <c r="D36" s="200" t="s">
        <v>22</v>
      </c>
      <c r="E36" s="171">
        <v>4</v>
      </c>
      <c r="F36" s="171">
        <v>5</v>
      </c>
      <c r="G36" s="349">
        <v>4</v>
      </c>
      <c r="H36" s="349">
        <v>5</v>
      </c>
      <c r="I36" s="349">
        <v>5</v>
      </c>
      <c r="J36" s="349">
        <v>5</v>
      </c>
      <c r="K36" s="349">
        <v>6</v>
      </c>
      <c r="L36" s="171">
        <v>5</v>
      </c>
      <c r="M36" s="171">
        <v>4</v>
      </c>
      <c r="N36" s="171">
        <v>4</v>
      </c>
      <c r="O36" s="17">
        <f t="shared" si="0"/>
        <v>4.7777777777777777</v>
      </c>
      <c r="P36" s="173"/>
      <c r="Q36" s="20">
        <f t="shared" si="1"/>
        <v>2</v>
      </c>
      <c r="R36" s="173"/>
      <c r="S36" s="355">
        <f t="shared" si="5"/>
        <v>2.7777777777777777</v>
      </c>
      <c r="T36" s="365">
        <f t="shared" si="3"/>
        <v>5</v>
      </c>
      <c r="U36" s="173"/>
      <c r="V36" s="364">
        <f t="shared" si="4"/>
        <v>3</v>
      </c>
      <c r="X36"/>
      <c r="Y36"/>
      <c r="Z36"/>
      <c r="AA36"/>
      <c r="AB36"/>
      <c r="AC36"/>
      <c r="AD36"/>
      <c r="AE36"/>
      <c r="AF36"/>
      <c r="AG36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</row>
    <row r="37" spans="2:59" s="7" customFormat="1" ht="20.100000000000001" customHeight="1" thickTop="1" thickBot="1" x14ac:dyDescent="0.3">
      <c r="B37" s="385"/>
      <c r="C37" s="183">
        <v>32</v>
      </c>
      <c r="D37" s="207" t="s">
        <v>25</v>
      </c>
      <c r="E37" s="184">
        <v>4</v>
      </c>
      <c r="F37" s="184">
        <v>6</v>
      </c>
      <c r="G37" s="351">
        <v>6</v>
      </c>
      <c r="H37" s="351">
        <v>5</v>
      </c>
      <c r="I37" s="351">
        <v>5</v>
      </c>
      <c r="J37" s="351">
        <v>5</v>
      </c>
      <c r="K37" s="351">
        <v>7</v>
      </c>
      <c r="L37" s="184">
        <v>7</v>
      </c>
      <c r="M37" s="184">
        <v>6</v>
      </c>
      <c r="N37" s="184">
        <v>5</v>
      </c>
      <c r="O37" s="17">
        <f t="shared" si="0"/>
        <v>5.666666666666667</v>
      </c>
      <c r="P37" s="186">
        <f>AVERAGE(O31:O37)</f>
        <v>5.2063492063492065</v>
      </c>
      <c r="Q37" s="20">
        <f t="shared" si="1"/>
        <v>3</v>
      </c>
      <c r="R37" s="186">
        <f>AVERAGE(Q31:Q37)</f>
        <v>3.1428571428571428</v>
      </c>
      <c r="S37" s="357">
        <f t="shared" si="5"/>
        <v>2.666666666666667</v>
      </c>
      <c r="T37" s="371">
        <f t="shared" si="3"/>
        <v>5</v>
      </c>
      <c r="U37" s="361">
        <f>AVERAGE(T31:T37)</f>
        <v>5.1428571428571432</v>
      </c>
      <c r="V37" s="372">
        <f t="shared" si="4"/>
        <v>2</v>
      </c>
      <c r="X37"/>
      <c r="Y37"/>
      <c r="Z37"/>
      <c r="AA37"/>
      <c r="AB37"/>
      <c r="AC37"/>
      <c r="AD37"/>
      <c r="AE37"/>
      <c r="AF37"/>
      <c r="AG37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</row>
    <row r="38" spans="2:59" s="7" customFormat="1" ht="20.100000000000001" customHeight="1" thickTop="1" x14ac:dyDescent="0.25"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X38"/>
      <c r="Y38"/>
      <c r="Z38"/>
      <c r="AA38"/>
      <c r="AB38"/>
      <c r="AC38"/>
      <c r="AD38"/>
      <c r="AE38"/>
      <c r="AF38"/>
      <c r="AG38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</row>
    <row r="39" spans="2:59" s="7" customFormat="1" ht="20.100000000000001" customHeight="1" x14ac:dyDescent="0.25">
      <c r="B39" s="26" t="s">
        <v>26</v>
      </c>
      <c r="C39" s="21"/>
      <c r="D39" s="21"/>
      <c r="E39" s="21"/>
      <c r="F39" s="26" t="s">
        <v>47</v>
      </c>
      <c r="G39" s="21"/>
      <c r="H39" s="21"/>
      <c r="I39" s="21"/>
      <c r="J39" s="21"/>
      <c r="K39" s="21"/>
      <c r="L39" s="21"/>
      <c r="M39" s="21"/>
      <c r="N39" s="21"/>
      <c r="O39" s="31"/>
      <c r="P39"/>
      <c r="Q39"/>
      <c r="R39"/>
      <c r="S39"/>
      <c r="T39"/>
      <c r="U39"/>
      <c r="V39"/>
      <c r="X39"/>
      <c r="Y39"/>
      <c r="Z39"/>
      <c r="AA39"/>
      <c r="AB39"/>
      <c r="AC39"/>
      <c r="AD39"/>
      <c r="AE39"/>
      <c r="AF39"/>
      <c r="AG39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</row>
    <row r="40" spans="2:59" x14ac:dyDescent="0.25">
      <c r="B40" s="27"/>
      <c r="C40" s="28"/>
      <c r="D40" s="29"/>
      <c r="E40" s="28"/>
      <c r="F40" s="30"/>
      <c r="G40" s="28"/>
      <c r="H40" s="28"/>
      <c r="I40" s="28"/>
      <c r="J40" s="28"/>
      <c r="K40" s="28"/>
      <c r="L40" s="28"/>
      <c r="M40" s="28"/>
      <c r="N40" s="28"/>
      <c r="O40" s="22"/>
      <c r="P40"/>
      <c r="Q40"/>
      <c r="R40"/>
      <c r="S40"/>
      <c r="T40"/>
      <c r="U40"/>
      <c r="V40"/>
      <c r="X40"/>
      <c r="Y40"/>
      <c r="Z40"/>
      <c r="AA40"/>
      <c r="AB40"/>
      <c r="AC40"/>
      <c r="AD40"/>
      <c r="AE40"/>
      <c r="AF40"/>
      <c r="AG40"/>
    </row>
    <row r="41" spans="2:59" x14ac:dyDescent="0.25">
      <c r="B41" s="28"/>
      <c r="C41" s="28"/>
      <c r="D41" s="29"/>
      <c r="E41" s="28"/>
      <c r="F41" s="30"/>
      <c r="G41" s="28"/>
      <c r="H41" s="28"/>
      <c r="I41" s="28"/>
      <c r="J41" s="28"/>
      <c r="K41" s="28"/>
      <c r="L41" s="28"/>
      <c r="M41" s="28"/>
      <c r="N41" s="28"/>
      <c r="O41" s="22"/>
      <c r="P41"/>
      <c r="Q41"/>
      <c r="R41"/>
      <c r="S41"/>
      <c r="T41"/>
      <c r="U41"/>
      <c r="V41"/>
      <c r="X41"/>
      <c r="Y41"/>
      <c r="Z41"/>
      <c r="AA41"/>
      <c r="AB41"/>
      <c r="AC41"/>
      <c r="AD41"/>
      <c r="AE41"/>
      <c r="AF41"/>
      <c r="AG41"/>
    </row>
    <row r="42" spans="2:59" x14ac:dyDescent="0.25">
      <c r="B42" s="28"/>
      <c r="C42" s="28"/>
      <c r="D42" s="29"/>
      <c r="E42" s="28"/>
      <c r="F42" s="30"/>
      <c r="G42" s="28"/>
      <c r="H42" s="28"/>
      <c r="I42" s="28"/>
      <c r="J42" s="28"/>
      <c r="K42" s="28"/>
      <c r="L42" s="28"/>
      <c r="M42" s="28"/>
      <c r="N42" s="28"/>
      <c r="O42"/>
      <c r="P42"/>
      <c r="Q42"/>
      <c r="R42"/>
      <c r="S42"/>
      <c r="T42"/>
      <c r="U42"/>
      <c r="V42"/>
      <c r="X42"/>
      <c r="Y42"/>
      <c r="Z42"/>
      <c r="AA42"/>
      <c r="AB42"/>
      <c r="AC42"/>
      <c r="AD42"/>
      <c r="AE42"/>
      <c r="AF42"/>
      <c r="AG42"/>
    </row>
    <row r="43" spans="2:59" x14ac:dyDescent="0.25">
      <c r="B43" s="11"/>
      <c r="D43" s="14"/>
      <c r="F43" s="10"/>
      <c r="O43"/>
      <c r="P43"/>
      <c r="Q43"/>
      <c r="R43"/>
      <c r="S43"/>
      <c r="T43"/>
      <c r="U43"/>
      <c r="V43"/>
      <c r="X43"/>
      <c r="Y43"/>
      <c r="Z43"/>
      <c r="AA43"/>
      <c r="AB43"/>
      <c r="AC43"/>
      <c r="AD43"/>
      <c r="AE43"/>
      <c r="AF43"/>
      <c r="AG43"/>
    </row>
    <row r="44" spans="2:59" x14ac:dyDescent="0.25">
      <c r="D44" s="14"/>
      <c r="F44" s="10"/>
      <c r="O44"/>
      <c r="P44"/>
      <c r="Q44"/>
      <c r="R44"/>
      <c r="S44"/>
      <c r="T44"/>
      <c r="U44"/>
      <c r="V44"/>
    </row>
    <row r="45" spans="2:59" x14ac:dyDescent="0.25">
      <c r="D45" s="14"/>
      <c r="F45" s="10"/>
      <c r="O45"/>
      <c r="P45"/>
      <c r="Q45"/>
      <c r="R45"/>
      <c r="S45"/>
      <c r="T45"/>
      <c r="U45"/>
      <c r="V45"/>
    </row>
    <row r="46" spans="2:59" x14ac:dyDescent="0.25">
      <c r="B46" s="11"/>
      <c r="D46" s="14"/>
      <c r="F46" s="10"/>
      <c r="O46"/>
      <c r="P46"/>
      <c r="Q46"/>
      <c r="R46"/>
      <c r="S46"/>
      <c r="T46"/>
      <c r="U46"/>
      <c r="V46"/>
    </row>
    <row r="47" spans="2:59" x14ac:dyDescent="0.25">
      <c r="B47" s="11"/>
      <c r="D47" s="14"/>
      <c r="F47" s="10"/>
      <c r="K47" s="3" t="s">
        <v>49</v>
      </c>
      <c r="O47"/>
    </row>
    <row r="48" spans="2:59" x14ac:dyDescent="0.25">
      <c r="D48" s="14"/>
      <c r="F48" s="10"/>
      <c r="O48"/>
    </row>
    <row r="49" spans="2:15" x14ac:dyDescent="0.25">
      <c r="D49" s="14"/>
      <c r="F49" s="10"/>
      <c r="O49"/>
    </row>
    <row r="50" spans="2:15" x14ac:dyDescent="0.25">
      <c r="B50" s="11"/>
      <c r="D50" s="15"/>
      <c r="F50" s="10"/>
      <c r="O50"/>
    </row>
    <row r="51" spans="2:15" x14ac:dyDescent="0.25">
      <c r="D51" s="14"/>
      <c r="F51" s="10"/>
      <c r="O51"/>
    </row>
    <row r="52" spans="2:15" x14ac:dyDescent="0.25">
      <c r="D52" s="14"/>
      <c r="F52" s="10"/>
      <c r="O52"/>
    </row>
    <row r="53" spans="2:15" x14ac:dyDescent="0.25">
      <c r="B53" s="11"/>
      <c r="F53" s="10"/>
      <c r="O53"/>
    </row>
    <row r="54" spans="2:15" x14ac:dyDescent="0.25">
      <c r="F54" s="10"/>
    </row>
    <row r="55" spans="2:15" x14ac:dyDescent="0.25">
      <c r="F55" s="10"/>
    </row>
    <row r="56" spans="2:15" x14ac:dyDescent="0.25">
      <c r="F56" s="10"/>
    </row>
    <row r="57" spans="2:15" x14ac:dyDescent="0.25">
      <c r="F57" s="10"/>
    </row>
    <row r="58" spans="2:15" x14ac:dyDescent="0.25">
      <c r="F58" s="10"/>
    </row>
    <row r="59" spans="2:15" x14ac:dyDescent="0.25">
      <c r="F59" s="10"/>
    </row>
    <row r="60" spans="2:15" x14ac:dyDescent="0.25">
      <c r="F60" s="10"/>
    </row>
    <row r="61" spans="2:15" x14ac:dyDescent="0.25">
      <c r="F61" s="10"/>
    </row>
    <row r="62" spans="2:15" x14ac:dyDescent="0.25">
      <c r="F62" s="10"/>
    </row>
    <row r="63" spans="2:15" x14ac:dyDescent="0.25">
      <c r="F63" s="10"/>
    </row>
    <row r="64" spans="2:15" x14ac:dyDescent="0.25">
      <c r="F64" s="10"/>
    </row>
    <row r="65" spans="6:6" x14ac:dyDescent="0.25">
      <c r="F65" s="10"/>
    </row>
    <row r="66" spans="6:6" x14ac:dyDescent="0.25">
      <c r="F66" s="10"/>
    </row>
    <row r="67" spans="6:6" x14ac:dyDescent="0.25">
      <c r="F67" s="10"/>
    </row>
    <row r="68" spans="6:6" x14ac:dyDescent="0.25">
      <c r="F68" s="10"/>
    </row>
    <row r="69" spans="6:6" x14ac:dyDescent="0.25">
      <c r="F69" s="10"/>
    </row>
    <row r="70" spans="6:6" x14ac:dyDescent="0.25">
      <c r="F70" s="10"/>
    </row>
    <row r="71" spans="6:6" x14ac:dyDescent="0.25">
      <c r="F71" s="10"/>
    </row>
    <row r="72" spans="6:6" x14ac:dyDescent="0.25">
      <c r="F72" s="10"/>
    </row>
    <row r="73" spans="6:6" x14ac:dyDescent="0.25">
      <c r="F73" s="10"/>
    </row>
    <row r="74" spans="6:6" x14ac:dyDescent="0.25">
      <c r="F74" s="10"/>
    </row>
    <row r="75" spans="6:6" x14ac:dyDescent="0.25">
      <c r="F75" s="10"/>
    </row>
    <row r="76" spans="6:6" x14ac:dyDescent="0.25">
      <c r="F76" s="10"/>
    </row>
    <row r="77" spans="6:6" x14ac:dyDescent="0.25">
      <c r="F77" s="10"/>
    </row>
  </sheetData>
  <mergeCells count="8">
    <mergeCell ref="B17:B22"/>
    <mergeCell ref="B31:B37"/>
    <mergeCell ref="B23:B30"/>
    <mergeCell ref="O4:P4"/>
    <mergeCell ref="Q4:R4"/>
    <mergeCell ref="E4:N4"/>
    <mergeCell ref="B6:B13"/>
    <mergeCell ref="B14:B16"/>
  </mergeCells>
  <conditionalFormatting sqref="D16:D17 D6:D7 D23:D37">
    <cfRule type="expression" dxfId="41" priority="38">
      <formula>$O6&gt;=5</formula>
    </cfRule>
    <cfRule type="expression" dxfId="40" priority="39">
      <formula>$Q6&gt;=5</formula>
    </cfRule>
  </conditionalFormatting>
  <conditionalFormatting sqref="D14">
    <cfRule type="expression" dxfId="39" priority="32">
      <formula>$O14&gt;=5</formula>
    </cfRule>
    <cfRule type="expression" dxfId="38" priority="33">
      <formula>$Q14&gt;=5</formula>
    </cfRule>
  </conditionalFormatting>
  <conditionalFormatting sqref="D15">
    <cfRule type="expression" dxfId="37" priority="30">
      <formula>$O15&gt;=5</formula>
    </cfRule>
    <cfRule type="expression" dxfId="36" priority="31">
      <formula>$Q15&gt;=5</formula>
    </cfRule>
  </conditionalFormatting>
  <conditionalFormatting sqref="D18">
    <cfRule type="expression" dxfId="35" priority="17">
      <formula>$O18&gt;=5</formula>
    </cfRule>
    <cfRule type="expression" dxfId="34" priority="18">
      <formula>$Q18&gt;=5</formula>
    </cfRule>
  </conditionalFormatting>
  <conditionalFormatting sqref="O6:P37">
    <cfRule type="colorScale" priority="180">
      <colorScale>
        <cfvo type="min"/>
        <cfvo type="percentile" val="50"/>
        <cfvo type="max"/>
        <color rgb="FF00B050"/>
        <color rgb="FFFCFCFF"/>
        <color rgb="FFF8696B"/>
      </colorScale>
    </cfRule>
  </conditionalFormatting>
  <conditionalFormatting sqref="Q6:R37">
    <cfRule type="colorScale" priority="182">
      <colorScale>
        <cfvo type="min"/>
        <cfvo type="percentile" val="50"/>
        <cfvo type="max"/>
        <color rgb="FF00B050"/>
        <color rgb="FFFCFCFF"/>
        <color rgb="FFF8696B"/>
      </colorScale>
    </cfRule>
  </conditionalFormatting>
  <conditionalFormatting sqref="S6:S37">
    <cfRule type="colorScale" priority="184">
      <colorScale>
        <cfvo type="min"/>
        <cfvo type="num" val="0"/>
        <cfvo type="max"/>
        <color theme="4"/>
        <color theme="0"/>
        <color rgb="FF00B0F0"/>
      </colorScale>
    </cfRule>
  </conditionalFormatting>
  <conditionalFormatting sqref="D8:D13">
    <cfRule type="expression" dxfId="33" priority="9">
      <formula>$O8&gt;=5</formula>
    </cfRule>
    <cfRule type="expression" dxfId="32" priority="10">
      <formula>$Q8&gt;=5</formula>
    </cfRule>
  </conditionalFormatting>
  <conditionalFormatting sqref="D19 D21">
    <cfRule type="expression" dxfId="31" priority="7">
      <formula>$O19&gt;=5</formula>
    </cfRule>
    <cfRule type="expression" dxfId="30" priority="8">
      <formula>$Q19&gt;=5</formula>
    </cfRule>
  </conditionalFormatting>
  <conditionalFormatting sqref="D20 D22">
    <cfRule type="expression" dxfId="29" priority="5">
      <formula>$O20&gt;=5</formula>
    </cfRule>
    <cfRule type="expression" dxfId="28" priority="6">
      <formula>$Q20&gt;=5</formula>
    </cfRule>
  </conditionalFormatting>
  <conditionalFormatting sqref="T6:T37">
    <cfRule type="colorScale" priority="4">
      <colorScale>
        <cfvo type="min"/>
        <cfvo type="percentile" val="50"/>
        <cfvo type="max"/>
        <color rgb="FF00B050"/>
        <color rgb="FFFCFCFF"/>
        <color rgb="FFF8696B"/>
      </colorScale>
    </cfRule>
  </conditionalFormatting>
  <conditionalFormatting sqref="U6:U37">
    <cfRule type="colorScale" priority="1">
      <colorScale>
        <cfvo type="min"/>
        <cfvo type="percentile" val="50"/>
        <cfvo type="max"/>
        <color rgb="FF00B050"/>
        <color rgb="FFFCFCFF"/>
        <color rgb="FFF8696B"/>
      </colorScale>
    </cfRule>
  </conditionalFormatting>
  <conditionalFormatting sqref="V6:V37">
    <cfRule type="colorScale" priority="3">
      <colorScale>
        <cfvo type="min"/>
        <cfvo type="num" val="0"/>
        <cfvo type="max"/>
        <color theme="4"/>
        <color theme="0"/>
        <color rgb="FF00B0F0"/>
      </colorScale>
    </cfRule>
  </conditionalFormatting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BF77"/>
  <sheetViews>
    <sheetView showGridLines="0" zoomScale="55" zoomScaleNormal="55" workbookViewId="0">
      <selection activeCell="AK8" sqref="AK8"/>
    </sheetView>
  </sheetViews>
  <sheetFormatPr defaultColWidth="9.140625" defaultRowHeight="15" x14ac:dyDescent="0.25"/>
  <cols>
    <col min="1" max="1" width="5.7109375" style="3" customWidth="1"/>
    <col min="2" max="2" width="10.7109375" style="3" customWidth="1"/>
    <col min="3" max="3" width="5.7109375" style="3" customWidth="1"/>
    <col min="4" max="4" width="65.5703125" style="3" customWidth="1"/>
    <col min="5" max="14" width="5.7109375" style="3" customWidth="1"/>
    <col min="15" max="19" width="10.7109375" style="3" customWidth="1"/>
    <col min="20" max="30" width="5.7109375" style="3" customWidth="1"/>
    <col min="31" max="47" width="10.7109375" style="3" customWidth="1"/>
    <col min="48" max="16384" width="9.140625" style="3"/>
  </cols>
  <sheetData>
    <row r="2" spans="2:56" ht="26.25" x14ac:dyDescent="0.4">
      <c r="B2" s="5" t="s">
        <v>64</v>
      </c>
      <c r="U2" s="344" t="s">
        <v>112</v>
      </c>
      <c r="V2" s="14"/>
      <c r="W2" s="14"/>
      <c r="X2" s="14"/>
      <c r="Y2" s="14"/>
    </row>
    <row r="3" spans="2:56" x14ac:dyDescent="0.25"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</row>
    <row r="4" spans="2:56" s="7" customFormat="1" ht="24.95" customHeight="1" x14ac:dyDescent="0.25">
      <c r="B4" s="9"/>
      <c r="C4" s="9"/>
      <c r="D4" s="9"/>
      <c r="E4" s="390" t="s">
        <v>35</v>
      </c>
      <c r="F4" s="390"/>
      <c r="G4" s="390"/>
      <c r="H4" s="390"/>
      <c r="I4" s="390"/>
      <c r="J4" s="390"/>
      <c r="K4" s="390"/>
      <c r="L4" s="390"/>
      <c r="M4" s="397"/>
      <c r="N4" s="388" t="s">
        <v>6</v>
      </c>
      <c r="O4" s="389"/>
      <c r="P4" s="390" t="s">
        <v>65</v>
      </c>
      <c r="Q4" s="390"/>
      <c r="R4" s="9"/>
      <c r="T4" s="390" t="s">
        <v>35</v>
      </c>
      <c r="U4" s="390"/>
      <c r="V4" s="390"/>
      <c r="W4" s="390"/>
      <c r="X4" s="390"/>
      <c r="Y4" s="390"/>
      <c r="Z4" s="390"/>
      <c r="AA4" s="390"/>
      <c r="AB4" s="397"/>
      <c r="AC4" s="388" t="s">
        <v>6</v>
      </c>
      <c r="AD4" s="389"/>
      <c r="AE4" s="390" t="s">
        <v>65</v>
      </c>
      <c r="AF4" s="390"/>
      <c r="AG4" s="9"/>
      <c r="AH4" s="9"/>
    </row>
    <row r="5" spans="2:56" s="7" customFormat="1" ht="20.100000000000001" customHeight="1" thickBot="1" x14ac:dyDescent="0.3">
      <c r="B5" s="164"/>
      <c r="C5" s="164"/>
      <c r="D5" s="164"/>
      <c r="E5" s="165">
        <v>1</v>
      </c>
      <c r="F5" s="166">
        <v>2</v>
      </c>
      <c r="G5" s="166">
        <v>3</v>
      </c>
      <c r="H5" s="166">
        <v>4</v>
      </c>
      <c r="I5" s="166">
        <v>5</v>
      </c>
      <c r="J5" s="166">
        <v>6</v>
      </c>
      <c r="K5" s="166">
        <v>7</v>
      </c>
      <c r="L5" s="166">
        <v>8</v>
      </c>
      <c r="M5" s="166">
        <v>9</v>
      </c>
      <c r="N5" s="165" t="s">
        <v>6</v>
      </c>
      <c r="O5" s="167" t="s">
        <v>38</v>
      </c>
      <c r="P5" s="165" t="s">
        <v>37</v>
      </c>
      <c r="Q5" s="167" t="s">
        <v>46</v>
      </c>
      <c r="R5" s="168" t="s">
        <v>41</v>
      </c>
      <c r="T5" s="165">
        <v>1</v>
      </c>
      <c r="U5" s="166">
        <v>2</v>
      </c>
      <c r="V5" s="166">
        <v>3</v>
      </c>
      <c r="W5" s="166">
        <v>4</v>
      </c>
      <c r="X5" s="166">
        <v>5</v>
      </c>
      <c r="Y5" s="166">
        <v>6</v>
      </c>
      <c r="Z5" s="166">
        <v>7</v>
      </c>
      <c r="AA5" s="166">
        <v>8</v>
      </c>
      <c r="AB5" s="166">
        <v>9</v>
      </c>
      <c r="AC5" s="165" t="s">
        <v>6</v>
      </c>
      <c r="AD5" s="167" t="s">
        <v>109</v>
      </c>
      <c r="AE5" s="165" t="s">
        <v>37</v>
      </c>
      <c r="AF5" s="167" t="s">
        <v>46</v>
      </c>
      <c r="AG5" s="168" t="s">
        <v>41</v>
      </c>
      <c r="AH5" s="166" t="s">
        <v>126</v>
      </c>
    </row>
    <row r="6" spans="2:56" s="7" customFormat="1" ht="20.100000000000001" customHeight="1" thickTop="1" thickBot="1" x14ac:dyDescent="0.3">
      <c r="B6" s="391" t="s">
        <v>3</v>
      </c>
      <c r="C6" s="169">
        <v>1</v>
      </c>
      <c r="D6" s="189" t="s">
        <v>7</v>
      </c>
      <c r="E6" s="171">
        <f>'Influencing Factors'!E6</f>
        <v>4</v>
      </c>
      <c r="F6" s="171">
        <f>'Influencing Factors'!F6</f>
        <v>5</v>
      </c>
      <c r="G6" s="171">
        <f>'Influencing Factors'!G6</f>
        <v>3</v>
      </c>
      <c r="H6" s="171">
        <f>'Influencing Factors'!H6</f>
        <v>5</v>
      </c>
      <c r="I6" s="171">
        <f>'Influencing Factors'!I6</f>
        <v>7</v>
      </c>
      <c r="J6" s="171">
        <f>'Influencing Factors'!J6</f>
        <v>5</v>
      </c>
      <c r="K6" s="171">
        <f>'Influencing Factors'!K6</f>
        <v>5</v>
      </c>
      <c r="L6" s="171">
        <f>'Influencing Factors'!L6</f>
        <v>4</v>
      </c>
      <c r="M6" s="171">
        <f>'Influencing Factors'!M6</f>
        <v>4</v>
      </c>
      <c r="N6" s="17">
        <f t="shared" ref="N6:N37" si="0">AVERAGE(E6:M6)</f>
        <v>4.666666666666667</v>
      </c>
      <c r="O6" s="172"/>
      <c r="P6" s="20">
        <f t="shared" ref="P6:P37" si="1">(MAX(E6:M6)-MIN(E6:M6))</f>
        <v>4</v>
      </c>
      <c r="Q6" s="172"/>
      <c r="R6" s="178">
        <f>N6-P6</f>
        <v>0.66666666666666696</v>
      </c>
      <c r="T6" s="341">
        <f>E6*(1/Details!O$6)</f>
        <v>1.04</v>
      </c>
      <c r="U6" s="341">
        <f>F6*(1/Details!O$7)</f>
        <v>1.9696969696969702</v>
      </c>
      <c r="V6" s="341">
        <f>G6*(1/Details!O$8)</f>
        <v>4.8750000000000009</v>
      </c>
      <c r="W6" s="341">
        <f>H6*(1/Details!O$9)</f>
        <v>1.9117647058823533</v>
      </c>
      <c r="X6" s="341">
        <f>I6*(1/Details!O$10)</f>
        <v>3.0333333333333341</v>
      </c>
      <c r="Y6" s="341">
        <f>J6*(1/Details!O$11)</f>
        <v>3.4210526315789478</v>
      </c>
      <c r="Z6" s="341">
        <f>K6*(1/Details!O$12)</f>
        <v>2.5000000000000004</v>
      </c>
      <c r="AA6" s="341">
        <f>L6*(1/Details!O$13)</f>
        <v>2.0000000000000004</v>
      </c>
      <c r="AB6" s="341">
        <f>M6*(1/Details!O$14)</f>
        <v>3.7142857142857144</v>
      </c>
      <c r="AC6" s="17">
        <f t="shared" ref="AC6:AC37" si="2">AVERAGE(T6:AB6)</f>
        <v>2.7183481505308134</v>
      </c>
      <c r="AD6" s="172"/>
      <c r="AE6" s="17">
        <f t="shared" ref="AE6:AE37" si="3">(MAX(T6:AB6)-MIN(T6:AB6))</f>
        <v>3.8350000000000009</v>
      </c>
      <c r="AF6" s="172"/>
      <c r="AG6" s="178">
        <f>AC6-AE6</f>
        <v>-1.1166518494691875</v>
      </c>
      <c r="AH6" s="17">
        <f t="shared" ref="AH6:AH37" si="4">MEDIAN(T6:AB6)</f>
        <v>2.5000000000000004</v>
      </c>
    </row>
    <row r="7" spans="2:56" s="7" customFormat="1" ht="20.100000000000001" customHeight="1" thickTop="1" thickBot="1" x14ac:dyDescent="0.3">
      <c r="B7" s="392"/>
      <c r="C7" s="170">
        <v>2</v>
      </c>
      <c r="D7" s="190" t="s">
        <v>8</v>
      </c>
      <c r="E7" s="13">
        <f>'Influencing Factors'!E7</f>
        <v>5</v>
      </c>
      <c r="F7" s="13">
        <f>'Influencing Factors'!F7</f>
        <v>6</v>
      </c>
      <c r="G7" s="13">
        <f>'Influencing Factors'!G7</f>
        <v>3</v>
      </c>
      <c r="H7" s="13">
        <f>'Influencing Factors'!H7</f>
        <v>4</v>
      </c>
      <c r="I7" s="13">
        <f>'Influencing Factors'!I7</f>
        <v>6</v>
      </c>
      <c r="J7" s="13">
        <f>'Influencing Factors'!J7</f>
        <v>5</v>
      </c>
      <c r="K7" s="13">
        <f>'Influencing Factors'!K7</f>
        <v>4</v>
      </c>
      <c r="L7" s="13">
        <f>'Influencing Factors'!L7</f>
        <v>4</v>
      </c>
      <c r="M7" s="13">
        <f>'Influencing Factors'!M7</f>
        <v>2</v>
      </c>
      <c r="N7" s="18">
        <f t="shared" si="0"/>
        <v>4.333333333333333</v>
      </c>
      <c r="O7" s="173"/>
      <c r="P7" s="20">
        <f t="shared" si="1"/>
        <v>4</v>
      </c>
      <c r="Q7" s="173"/>
      <c r="R7" s="179">
        <f t="shared" ref="R7:R10" si="5">N7-P7</f>
        <v>0.33333333333333304</v>
      </c>
      <c r="T7" s="342">
        <f>E7*(1/Details!O$6)</f>
        <v>1.3</v>
      </c>
      <c r="U7" s="342">
        <f>F7*(1/Details!O$7)</f>
        <v>2.3636363636363642</v>
      </c>
      <c r="V7" s="342">
        <f>G7*(1/Details!O$8)</f>
        <v>4.8750000000000009</v>
      </c>
      <c r="W7" s="342">
        <f>H7*(1/Details!O$9)</f>
        <v>1.5294117647058827</v>
      </c>
      <c r="X7" s="342">
        <f>I7*(1/Details!O$10)</f>
        <v>2.6000000000000005</v>
      </c>
      <c r="Y7" s="342">
        <f>J7*(1/Details!O$11)</f>
        <v>3.4210526315789478</v>
      </c>
      <c r="Z7" s="342">
        <f>K7*(1/Details!O$12)</f>
        <v>2.0000000000000004</v>
      </c>
      <c r="AA7" s="342">
        <f>L7*(1/Details!O$13)</f>
        <v>2.0000000000000004</v>
      </c>
      <c r="AB7" s="342">
        <f>M7*(1/Details!O$14)</f>
        <v>1.8571428571428572</v>
      </c>
      <c r="AC7" s="18">
        <f t="shared" si="2"/>
        <v>2.4384715130071171</v>
      </c>
      <c r="AD7" s="173"/>
      <c r="AE7" s="17">
        <f t="shared" si="3"/>
        <v>3.5750000000000011</v>
      </c>
      <c r="AF7" s="173"/>
      <c r="AG7" s="179">
        <f t="shared" ref="AG7:AG10" si="6">AC7-AE7</f>
        <v>-1.136528486992884</v>
      </c>
      <c r="AH7" s="18">
        <f t="shared" si="4"/>
        <v>2.0000000000000004</v>
      </c>
    </row>
    <row r="8" spans="2:56" s="7" customFormat="1" ht="20.100000000000001" customHeight="1" thickTop="1" thickBot="1" x14ac:dyDescent="0.3">
      <c r="B8" s="392"/>
      <c r="C8" s="170">
        <v>3</v>
      </c>
      <c r="D8" s="191" t="s">
        <v>9</v>
      </c>
      <c r="E8" s="171">
        <f>'Influencing Factors'!E8</f>
        <v>3</v>
      </c>
      <c r="F8" s="171">
        <f>'Influencing Factors'!F8</f>
        <v>4</v>
      </c>
      <c r="G8" s="171">
        <f>'Influencing Factors'!G8</f>
        <v>4</v>
      </c>
      <c r="H8" s="171">
        <f>'Influencing Factors'!H8</f>
        <v>4</v>
      </c>
      <c r="I8" s="171">
        <f>'Influencing Factors'!I8</f>
        <v>5</v>
      </c>
      <c r="J8" s="171">
        <f>'Influencing Factors'!J8</f>
        <v>4</v>
      </c>
      <c r="K8" s="171">
        <f>'Influencing Factors'!K8</f>
        <v>7</v>
      </c>
      <c r="L8" s="171">
        <f>'Influencing Factors'!L8</f>
        <v>4</v>
      </c>
      <c r="M8" s="171">
        <f>'Influencing Factors'!M8</f>
        <v>2</v>
      </c>
      <c r="N8" s="18">
        <f t="shared" si="0"/>
        <v>4.1111111111111107</v>
      </c>
      <c r="O8" s="173"/>
      <c r="P8" s="20">
        <f t="shared" si="1"/>
        <v>5</v>
      </c>
      <c r="Q8" s="173"/>
      <c r="R8" s="179">
        <f t="shared" si="5"/>
        <v>-0.88888888888888928</v>
      </c>
      <c r="T8" s="341">
        <f>E8*(1/Details!O$6)</f>
        <v>0.78</v>
      </c>
      <c r="U8" s="341">
        <f>F8*(1/Details!O$7)</f>
        <v>1.5757575757575761</v>
      </c>
      <c r="V8" s="341">
        <f>G8*(1/Details!O$8)</f>
        <v>6.5000000000000009</v>
      </c>
      <c r="W8" s="341">
        <f>H8*(1/Details!O$9)</f>
        <v>1.5294117647058827</v>
      </c>
      <c r="X8" s="341">
        <f>I8*(1/Details!O$10)</f>
        <v>2.1666666666666674</v>
      </c>
      <c r="Y8" s="341">
        <f>J8*(1/Details!O$11)</f>
        <v>2.7368421052631584</v>
      </c>
      <c r="Z8" s="341">
        <f>K8*(1/Details!O$12)</f>
        <v>3.5000000000000009</v>
      </c>
      <c r="AA8" s="341">
        <f>L8*(1/Details!O$13)</f>
        <v>2.0000000000000004</v>
      </c>
      <c r="AB8" s="341">
        <f>M8*(1/Details!O$14)</f>
        <v>1.8571428571428572</v>
      </c>
      <c r="AC8" s="18">
        <f t="shared" si="2"/>
        <v>2.5162023299484604</v>
      </c>
      <c r="AD8" s="173"/>
      <c r="AE8" s="17">
        <f t="shared" si="3"/>
        <v>5.7200000000000006</v>
      </c>
      <c r="AF8" s="173"/>
      <c r="AG8" s="179">
        <f t="shared" si="6"/>
        <v>-3.2037976700515403</v>
      </c>
      <c r="AH8" s="18">
        <f t="shared" si="4"/>
        <v>2.0000000000000004</v>
      </c>
    </row>
    <row r="9" spans="2:56" s="7" customFormat="1" ht="20.100000000000001" customHeight="1" thickTop="1" thickBot="1" x14ac:dyDescent="0.3">
      <c r="B9" s="392"/>
      <c r="C9" s="170">
        <v>4</v>
      </c>
      <c r="D9" s="190" t="s">
        <v>10</v>
      </c>
      <c r="E9" s="13">
        <f>'Influencing Factors'!E9</f>
        <v>4</v>
      </c>
      <c r="F9" s="13">
        <f>'Influencing Factors'!F9</f>
        <v>5</v>
      </c>
      <c r="G9" s="13">
        <f>'Influencing Factors'!G9</f>
        <v>6</v>
      </c>
      <c r="H9" s="13">
        <f>'Influencing Factors'!H9</f>
        <v>4</v>
      </c>
      <c r="I9" s="13">
        <f>'Influencing Factors'!I9</f>
        <v>5</v>
      </c>
      <c r="J9" s="13">
        <f>'Influencing Factors'!J9</f>
        <v>5</v>
      </c>
      <c r="K9" s="13">
        <f>'Influencing Factors'!K9</f>
        <v>5</v>
      </c>
      <c r="L9" s="13">
        <f>'Influencing Factors'!L9</f>
        <v>4</v>
      </c>
      <c r="M9" s="13">
        <f>'Influencing Factors'!M9</f>
        <v>7</v>
      </c>
      <c r="N9" s="18">
        <f t="shared" si="0"/>
        <v>5</v>
      </c>
      <c r="O9" s="173"/>
      <c r="P9" s="20">
        <f t="shared" si="1"/>
        <v>3</v>
      </c>
      <c r="Q9" s="173"/>
      <c r="R9" s="179">
        <f t="shared" si="5"/>
        <v>2</v>
      </c>
      <c r="T9" s="342">
        <f>E9*(1/Details!O$6)</f>
        <v>1.04</v>
      </c>
      <c r="U9" s="342">
        <f>F9*(1/Details!O$7)</f>
        <v>1.9696969696969702</v>
      </c>
      <c r="V9" s="342">
        <f>G9*(1/Details!O$8)</f>
        <v>9.7500000000000018</v>
      </c>
      <c r="W9" s="342">
        <f>H9*(1/Details!O$9)</f>
        <v>1.5294117647058827</v>
      </c>
      <c r="X9" s="342">
        <f>I9*(1/Details!O$10)</f>
        <v>2.1666666666666674</v>
      </c>
      <c r="Y9" s="342">
        <f>J9*(1/Details!O$11)</f>
        <v>3.4210526315789478</v>
      </c>
      <c r="Z9" s="342">
        <f>K9*(1/Details!O$12)</f>
        <v>2.5000000000000004</v>
      </c>
      <c r="AA9" s="342">
        <f>L9*(1/Details!O$13)</f>
        <v>2.0000000000000004</v>
      </c>
      <c r="AB9" s="342">
        <f>M9*(1/Details!O$14)</f>
        <v>6.5</v>
      </c>
      <c r="AC9" s="18">
        <f t="shared" si="2"/>
        <v>3.4307586702942743</v>
      </c>
      <c r="AD9" s="173"/>
      <c r="AE9" s="17">
        <f t="shared" si="3"/>
        <v>8.7100000000000009</v>
      </c>
      <c r="AF9" s="173"/>
      <c r="AG9" s="179">
        <f t="shared" si="6"/>
        <v>-5.2792413297057266</v>
      </c>
      <c r="AH9" s="18">
        <f t="shared" si="4"/>
        <v>2.1666666666666674</v>
      </c>
    </row>
    <row r="10" spans="2:56" s="7" customFormat="1" ht="20.100000000000001" customHeight="1" thickTop="1" thickBot="1" x14ac:dyDescent="0.3">
      <c r="B10" s="392"/>
      <c r="C10" s="170">
        <v>5</v>
      </c>
      <c r="D10" s="192" t="s">
        <v>61</v>
      </c>
      <c r="E10" s="171">
        <f>'Influencing Factors'!E10</f>
        <v>3</v>
      </c>
      <c r="F10" s="171">
        <f>'Influencing Factors'!F10</f>
        <v>4</v>
      </c>
      <c r="G10" s="171">
        <f>'Influencing Factors'!G10</f>
        <v>6</v>
      </c>
      <c r="H10" s="171">
        <f>'Influencing Factors'!H10</f>
        <v>5</v>
      </c>
      <c r="I10" s="171">
        <f>'Influencing Factors'!I10</f>
        <v>5</v>
      </c>
      <c r="J10" s="171">
        <f>'Influencing Factors'!J10</f>
        <v>5</v>
      </c>
      <c r="K10" s="171">
        <f>'Influencing Factors'!K10</f>
        <v>6</v>
      </c>
      <c r="L10" s="171">
        <f>'Influencing Factors'!L10</f>
        <v>6</v>
      </c>
      <c r="M10" s="171">
        <f>'Influencing Factors'!M10</f>
        <v>4</v>
      </c>
      <c r="N10" s="18">
        <f t="shared" si="0"/>
        <v>4.8888888888888893</v>
      </c>
      <c r="O10" s="173"/>
      <c r="P10" s="20">
        <f t="shared" si="1"/>
        <v>3</v>
      </c>
      <c r="Q10" s="173"/>
      <c r="R10" s="179">
        <f t="shared" si="5"/>
        <v>1.8888888888888893</v>
      </c>
      <c r="T10" s="341">
        <f>E10*(1/Details!O$6)</f>
        <v>0.78</v>
      </c>
      <c r="U10" s="341">
        <f>F10*(1/Details!O$7)</f>
        <v>1.5757575757575761</v>
      </c>
      <c r="V10" s="341">
        <f>G10*(1/Details!O$8)</f>
        <v>9.7500000000000018</v>
      </c>
      <c r="W10" s="341">
        <f>H10*(1/Details!O$9)</f>
        <v>1.9117647058823533</v>
      </c>
      <c r="X10" s="341">
        <f>I10*(1/Details!O$10)</f>
        <v>2.1666666666666674</v>
      </c>
      <c r="Y10" s="341">
        <f>J10*(1/Details!O$11)</f>
        <v>3.4210526315789478</v>
      </c>
      <c r="Z10" s="341">
        <f>K10*(1/Details!O$12)</f>
        <v>3.0000000000000009</v>
      </c>
      <c r="AA10" s="341">
        <f>L10*(1/Details!O$13)</f>
        <v>3.0000000000000009</v>
      </c>
      <c r="AB10" s="341">
        <f>M10*(1/Details!O$14)</f>
        <v>3.7142857142857144</v>
      </c>
      <c r="AC10" s="18">
        <f t="shared" si="2"/>
        <v>3.2577252549079181</v>
      </c>
      <c r="AD10" s="173"/>
      <c r="AE10" s="17">
        <f t="shared" si="3"/>
        <v>8.9700000000000024</v>
      </c>
      <c r="AF10" s="173"/>
      <c r="AG10" s="179">
        <f t="shared" si="6"/>
        <v>-5.7122747450920848</v>
      </c>
      <c r="AH10" s="18">
        <f t="shared" si="4"/>
        <v>3.0000000000000009</v>
      </c>
    </row>
    <row r="11" spans="2:56" s="7" customFormat="1" ht="20.100000000000001" customHeight="1" thickTop="1" thickBot="1" x14ac:dyDescent="0.3">
      <c r="B11" s="393"/>
      <c r="C11" s="170">
        <v>6</v>
      </c>
      <c r="D11" s="193" t="s">
        <v>60</v>
      </c>
      <c r="E11" s="13">
        <f>'Influencing Factors'!E11</f>
        <v>4</v>
      </c>
      <c r="F11" s="13">
        <f>'Influencing Factors'!F11</f>
        <v>5</v>
      </c>
      <c r="G11" s="13">
        <f>'Influencing Factors'!G11</f>
        <v>4</v>
      </c>
      <c r="H11" s="13">
        <f>'Influencing Factors'!H11</f>
        <v>5</v>
      </c>
      <c r="I11" s="13">
        <f>'Influencing Factors'!I11</f>
        <v>6</v>
      </c>
      <c r="J11" s="13">
        <f>'Influencing Factors'!J11</f>
        <v>6</v>
      </c>
      <c r="K11" s="13">
        <f>'Influencing Factors'!K11</f>
        <v>6</v>
      </c>
      <c r="L11" s="13">
        <f>'Influencing Factors'!L11</f>
        <v>6</v>
      </c>
      <c r="M11" s="13">
        <f>'Influencing Factors'!M11</f>
        <v>4</v>
      </c>
      <c r="N11" s="23">
        <f t="shared" si="0"/>
        <v>5.1111111111111107</v>
      </c>
      <c r="O11" s="174"/>
      <c r="P11" s="20">
        <f t="shared" si="1"/>
        <v>2</v>
      </c>
      <c r="Q11" s="174"/>
      <c r="R11" s="180">
        <f>N11-P11</f>
        <v>3.1111111111111107</v>
      </c>
      <c r="T11" s="342">
        <f>E11*(1/Details!O$6)</f>
        <v>1.04</v>
      </c>
      <c r="U11" s="342">
        <f>F11*(1/Details!O$7)</f>
        <v>1.9696969696969702</v>
      </c>
      <c r="V11" s="342">
        <f>G11*(1/Details!O$8)</f>
        <v>6.5000000000000009</v>
      </c>
      <c r="W11" s="342">
        <f>H11*(1/Details!O$9)</f>
        <v>1.9117647058823533</v>
      </c>
      <c r="X11" s="342">
        <f>I11*(1/Details!O$10)</f>
        <v>2.6000000000000005</v>
      </c>
      <c r="Y11" s="342">
        <f>J11*(1/Details!O$11)</f>
        <v>4.1052631578947381</v>
      </c>
      <c r="Z11" s="342">
        <f>K11*(1/Details!O$12)</f>
        <v>3.0000000000000009</v>
      </c>
      <c r="AA11" s="342">
        <f>L11*(1/Details!O$13)</f>
        <v>3.0000000000000009</v>
      </c>
      <c r="AB11" s="342">
        <f>M11*(1/Details!O$14)</f>
        <v>3.7142857142857144</v>
      </c>
      <c r="AC11" s="23">
        <f t="shared" si="2"/>
        <v>3.0934456164177533</v>
      </c>
      <c r="AD11" s="174"/>
      <c r="AE11" s="17">
        <f t="shared" si="3"/>
        <v>5.4600000000000009</v>
      </c>
      <c r="AF11" s="174"/>
      <c r="AG11" s="180">
        <f>AC11-AE11</f>
        <v>-2.3665543835822476</v>
      </c>
      <c r="AH11" s="23">
        <f t="shared" si="4"/>
        <v>3.0000000000000009</v>
      </c>
    </row>
    <row r="12" spans="2:56" s="7" customFormat="1" ht="20.100000000000001" customHeight="1" thickTop="1" thickBot="1" x14ac:dyDescent="0.3">
      <c r="B12" s="393"/>
      <c r="C12" s="170">
        <v>7</v>
      </c>
      <c r="D12" s="191" t="s">
        <v>53</v>
      </c>
      <c r="E12" s="171">
        <f>'Influencing Factors'!E12</f>
        <v>6</v>
      </c>
      <c r="F12" s="171">
        <f>'Influencing Factors'!F12</f>
        <v>7</v>
      </c>
      <c r="G12" s="171">
        <f>'Influencing Factors'!G12</f>
        <v>7</v>
      </c>
      <c r="H12" s="171">
        <f>'Influencing Factors'!H12</f>
        <v>5</v>
      </c>
      <c r="I12" s="171">
        <f>'Influencing Factors'!I12</f>
        <v>7</v>
      </c>
      <c r="J12" s="171">
        <f>'Influencing Factors'!J12</f>
        <v>7</v>
      </c>
      <c r="K12" s="171">
        <f>'Influencing Factors'!K12</f>
        <v>4</v>
      </c>
      <c r="L12" s="171">
        <f>'Influencing Factors'!L12</f>
        <v>6</v>
      </c>
      <c r="M12" s="171">
        <f>'Influencing Factors'!M12</f>
        <v>7</v>
      </c>
      <c r="N12" s="23">
        <f t="shared" si="0"/>
        <v>6.2222222222222223</v>
      </c>
      <c r="O12" s="174"/>
      <c r="P12" s="20">
        <f t="shared" si="1"/>
        <v>3</v>
      </c>
      <c r="Q12" s="174"/>
      <c r="R12" s="180">
        <f t="shared" ref="R12:R37" si="7">N12-P12</f>
        <v>3.2222222222222223</v>
      </c>
      <c r="T12" s="341">
        <f>E12*(1/Details!O$6)</f>
        <v>1.56</v>
      </c>
      <c r="U12" s="341">
        <f>F12*(1/Details!O$7)</f>
        <v>2.7575757575757582</v>
      </c>
      <c r="V12" s="341">
        <f>G12*(1/Details!O$8)</f>
        <v>11.375000000000002</v>
      </c>
      <c r="W12" s="341">
        <f>H12*(1/Details!O$9)</f>
        <v>1.9117647058823533</v>
      </c>
      <c r="X12" s="341">
        <f>I12*(1/Details!O$10)</f>
        <v>3.0333333333333341</v>
      </c>
      <c r="Y12" s="341">
        <f>J12*(1/Details!O$11)</f>
        <v>4.7894736842105274</v>
      </c>
      <c r="Z12" s="341">
        <f>K12*(1/Details!O$12)</f>
        <v>2.0000000000000004</v>
      </c>
      <c r="AA12" s="341">
        <f>L12*(1/Details!O$13)</f>
        <v>3.0000000000000009</v>
      </c>
      <c r="AB12" s="341">
        <f>M12*(1/Details!O$14)</f>
        <v>6.5</v>
      </c>
      <c r="AC12" s="23">
        <f t="shared" si="2"/>
        <v>4.1030163867779983</v>
      </c>
      <c r="AD12" s="174"/>
      <c r="AE12" s="17">
        <f t="shared" si="3"/>
        <v>9.8150000000000013</v>
      </c>
      <c r="AF12" s="174"/>
      <c r="AG12" s="180">
        <f t="shared" ref="AG12:AG37" si="8">AC12-AE12</f>
        <v>-5.711983613222003</v>
      </c>
      <c r="AH12" s="23">
        <f t="shared" si="4"/>
        <v>3.0000000000000009</v>
      </c>
    </row>
    <row r="13" spans="2:56" s="7" customFormat="1" ht="20.100000000000001" customHeight="1" thickTop="1" thickBot="1" x14ac:dyDescent="0.3">
      <c r="B13" s="393"/>
      <c r="C13" s="170">
        <v>8</v>
      </c>
      <c r="D13" s="190" t="s">
        <v>50</v>
      </c>
      <c r="E13" s="13">
        <f>'Influencing Factors'!E13</f>
        <v>5</v>
      </c>
      <c r="F13" s="13">
        <f>'Influencing Factors'!F13</f>
        <v>5</v>
      </c>
      <c r="G13" s="13">
        <f>'Influencing Factors'!G13</f>
        <v>6</v>
      </c>
      <c r="H13" s="13">
        <f>'Influencing Factors'!H13</f>
        <v>6</v>
      </c>
      <c r="I13" s="13">
        <f>'Influencing Factors'!I13</f>
        <v>7</v>
      </c>
      <c r="J13" s="13">
        <f>'Influencing Factors'!J13</f>
        <v>5</v>
      </c>
      <c r="K13" s="13">
        <f>'Influencing Factors'!K13</f>
        <v>3</v>
      </c>
      <c r="L13" s="13">
        <f>'Influencing Factors'!L13</f>
        <v>6</v>
      </c>
      <c r="M13" s="13">
        <f>'Influencing Factors'!M13</f>
        <v>7</v>
      </c>
      <c r="N13" s="19">
        <f t="shared" si="0"/>
        <v>5.5555555555555554</v>
      </c>
      <c r="O13" s="16">
        <f>AVERAGE(N6:N13)</f>
        <v>4.9861111111111116</v>
      </c>
      <c r="P13" s="32">
        <f t="shared" si="1"/>
        <v>4</v>
      </c>
      <c r="Q13" s="16">
        <f>AVERAGE(P6:P13)</f>
        <v>3.5</v>
      </c>
      <c r="R13" s="181">
        <f t="shared" si="7"/>
        <v>1.5555555555555554</v>
      </c>
      <c r="T13" s="342">
        <f>E13*(1/Details!O$6)</f>
        <v>1.3</v>
      </c>
      <c r="U13" s="342">
        <f>F13*(1/Details!O$7)</f>
        <v>1.9696969696969702</v>
      </c>
      <c r="V13" s="342">
        <f>G13*(1/Details!O$8)</f>
        <v>9.7500000000000018</v>
      </c>
      <c r="W13" s="342">
        <f>H13*(1/Details!O$9)</f>
        <v>2.2941176470588243</v>
      </c>
      <c r="X13" s="342">
        <f>I13*(1/Details!O$10)</f>
        <v>3.0333333333333341</v>
      </c>
      <c r="Y13" s="342">
        <f>J13*(1/Details!O$11)</f>
        <v>3.4210526315789478</v>
      </c>
      <c r="Z13" s="342">
        <f>K13*(1/Details!O$12)</f>
        <v>1.5000000000000004</v>
      </c>
      <c r="AA13" s="342">
        <f>L13*(1/Details!O$13)</f>
        <v>3.0000000000000009</v>
      </c>
      <c r="AB13" s="342">
        <f>M13*(1/Details!O$14)</f>
        <v>6.5</v>
      </c>
      <c r="AC13" s="19">
        <f t="shared" si="2"/>
        <v>3.6409111757408983</v>
      </c>
      <c r="AD13" s="16">
        <f>AVERAGE(AC6:AC13)</f>
        <v>3.1498598872031538</v>
      </c>
      <c r="AE13" s="17">
        <f t="shared" si="3"/>
        <v>8.4500000000000011</v>
      </c>
      <c r="AF13" s="16">
        <f>AVERAGE(AE6:AE13)</f>
        <v>6.8168750000000014</v>
      </c>
      <c r="AG13" s="181">
        <f t="shared" si="8"/>
        <v>-4.8090888242591028</v>
      </c>
      <c r="AH13" s="19">
        <f t="shared" si="4"/>
        <v>3.0000000000000009</v>
      </c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</row>
    <row r="14" spans="2:56" s="7" customFormat="1" ht="20.100000000000001" customHeight="1" thickTop="1" thickBot="1" x14ac:dyDescent="0.3">
      <c r="B14" s="394" t="s">
        <v>4</v>
      </c>
      <c r="C14" s="170">
        <v>9</v>
      </c>
      <c r="D14" s="194" t="s">
        <v>11</v>
      </c>
      <c r="E14" s="171">
        <f>'Influencing Factors'!E14</f>
        <v>6</v>
      </c>
      <c r="F14" s="171">
        <f>'Influencing Factors'!F14</f>
        <v>7</v>
      </c>
      <c r="G14" s="171">
        <f>'Influencing Factors'!G14</f>
        <v>3</v>
      </c>
      <c r="H14" s="171">
        <f>'Influencing Factors'!H14</f>
        <v>6</v>
      </c>
      <c r="I14" s="171">
        <f>'Influencing Factors'!I14</f>
        <v>7</v>
      </c>
      <c r="J14" s="171">
        <f>'Influencing Factors'!J14</f>
        <v>7</v>
      </c>
      <c r="K14" s="171">
        <f>'Influencing Factors'!K14</f>
        <v>6</v>
      </c>
      <c r="L14" s="171">
        <f>'Influencing Factors'!L14</f>
        <v>3</v>
      </c>
      <c r="M14" s="171">
        <f>'Influencing Factors'!M14</f>
        <v>6</v>
      </c>
      <c r="N14" s="24">
        <f t="shared" si="0"/>
        <v>5.666666666666667</v>
      </c>
      <c r="O14" s="175"/>
      <c r="P14" s="25">
        <f t="shared" si="1"/>
        <v>4</v>
      </c>
      <c r="Q14" s="175"/>
      <c r="R14" s="182">
        <f t="shared" si="7"/>
        <v>1.666666666666667</v>
      </c>
      <c r="T14" s="341">
        <f>E14*(1/Details!O$6)</f>
        <v>1.56</v>
      </c>
      <c r="U14" s="341">
        <f>F14*(1/Details!O$7)</f>
        <v>2.7575757575757582</v>
      </c>
      <c r="V14" s="341">
        <f>G14*(1/Details!O$8)</f>
        <v>4.8750000000000009</v>
      </c>
      <c r="W14" s="341">
        <f>H14*(1/Details!O$9)</f>
        <v>2.2941176470588243</v>
      </c>
      <c r="X14" s="341">
        <f>I14*(1/Details!O$10)</f>
        <v>3.0333333333333341</v>
      </c>
      <c r="Y14" s="341">
        <f>J14*(1/Details!O$11)</f>
        <v>4.7894736842105274</v>
      </c>
      <c r="Z14" s="341">
        <f>K14*(1/Details!O$12)</f>
        <v>3.0000000000000009</v>
      </c>
      <c r="AA14" s="341">
        <f>L14*(1/Details!O$13)</f>
        <v>1.5000000000000004</v>
      </c>
      <c r="AB14" s="341">
        <f>M14*(1/Details!O$14)</f>
        <v>5.5714285714285712</v>
      </c>
      <c r="AC14" s="24">
        <f t="shared" si="2"/>
        <v>3.2645476659563348</v>
      </c>
      <c r="AD14" s="175"/>
      <c r="AE14" s="17">
        <f t="shared" si="3"/>
        <v>4.0714285714285712</v>
      </c>
      <c r="AF14" s="175"/>
      <c r="AG14" s="182">
        <f t="shared" si="8"/>
        <v>-0.80688090547223634</v>
      </c>
      <c r="AH14" s="24">
        <f t="shared" si="4"/>
        <v>3.0000000000000009</v>
      </c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</row>
    <row r="15" spans="2:56" s="7" customFormat="1" ht="20.100000000000001" customHeight="1" thickTop="1" thickBot="1" x14ac:dyDescent="0.3">
      <c r="B15" s="395"/>
      <c r="C15" s="170">
        <v>10</v>
      </c>
      <c r="D15" s="195" t="s">
        <v>12</v>
      </c>
      <c r="E15" s="13">
        <f>'Influencing Factors'!E15</f>
        <v>6</v>
      </c>
      <c r="F15" s="13">
        <f>'Influencing Factors'!F15</f>
        <v>5</v>
      </c>
      <c r="G15" s="13">
        <f>'Influencing Factors'!G15</f>
        <v>4</v>
      </c>
      <c r="H15" s="13">
        <f>'Influencing Factors'!H15</f>
        <v>7</v>
      </c>
      <c r="I15" s="13">
        <f>'Influencing Factors'!I15</f>
        <v>6</v>
      </c>
      <c r="J15" s="13">
        <f>'Influencing Factors'!J15</f>
        <v>7</v>
      </c>
      <c r="K15" s="13">
        <f>'Influencing Factors'!K15</f>
        <v>5</v>
      </c>
      <c r="L15" s="13">
        <f>'Influencing Factors'!L15</f>
        <v>5</v>
      </c>
      <c r="M15" s="13">
        <f>'Influencing Factors'!M15</f>
        <v>6</v>
      </c>
      <c r="N15" s="18">
        <f t="shared" si="0"/>
        <v>5.666666666666667</v>
      </c>
      <c r="O15" s="173"/>
      <c r="P15" s="20">
        <f t="shared" si="1"/>
        <v>3</v>
      </c>
      <c r="Q15" s="173"/>
      <c r="R15" s="180">
        <f t="shared" si="7"/>
        <v>2.666666666666667</v>
      </c>
      <c r="T15" s="342">
        <f>E15*(1/Details!O$6)</f>
        <v>1.56</v>
      </c>
      <c r="U15" s="342">
        <f>F15*(1/Details!O$7)</f>
        <v>1.9696969696969702</v>
      </c>
      <c r="V15" s="342">
        <f>G15*(1/Details!O$8)</f>
        <v>6.5000000000000009</v>
      </c>
      <c r="W15" s="342">
        <f>H15*(1/Details!O$9)</f>
        <v>2.6764705882352948</v>
      </c>
      <c r="X15" s="342">
        <f>I15*(1/Details!O$10)</f>
        <v>2.6000000000000005</v>
      </c>
      <c r="Y15" s="342">
        <f>J15*(1/Details!O$11)</f>
        <v>4.7894736842105274</v>
      </c>
      <c r="Z15" s="342">
        <f>K15*(1/Details!O$12)</f>
        <v>2.5000000000000004</v>
      </c>
      <c r="AA15" s="342">
        <f>L15*(1/Details!O$13)</f>
        <v>2.5000000000000004</v>
      </c>
      <c r="AB15" s="342">
        <f>M15*(1/Details!O$14)</f>
        <v>5.5714285714285712</v>
      </c>
      <c r="AC15" s="18">
        <f t="shared" si="2"/>
        <v>3.4074522015079296</v>
      </c>
      <c r="AD15" s="173"/>
      <c r="AE15" s="17">
        <f t="shared" si="3"/>
        <v>4.9400000000000013</v>
      </c>
      <c r="AF15" s="173"/>
      <c r="AG15" s="180">
        <f t="shared" si="8"/>
        <v>-1.5325477984920717</v>
      </c>
      <c r="AH15" s="18">
        <f t="shared" si="4"/>
        <v>2.6000000000000005</v>
      </c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</row>
    <row r="16" spans="2:56" s="7" customFormat="1" ht="20.100000000000001" customHeight="1" thickTop="1" thickBot="1" x14ac:dyDescent="0.3">
      <c r="B16" s="396"/>
      <c r="C16" s="170">
        <v>11</v>
      </c>
      <c r="D16" s="194" t="s">
        <v>13</v>
      </c>
      <c r="E16" s="171">
        <f>'Influencing Factors'!E16</f>
        <v>6</v>
      </c>
      <c r="F16" s="171">
        <f>'Influencing Factors'!F16</f>
        <v>6</v>
      </c>
      <c r="G16" s="171">
        <f>'Influencing Factors'!G16</f>
        <v>6</v>
      </c>
      <c r="H16" s="171">
        <f>'Influencing Factors'!H16</f>
        <v>7</v>
      </c>
      <c r="I16" s="171">
        <f>'Influencing Factors'!I16</f>
        <v>7</v>
      </c>
      <c r="J16" s="171">
        <f>'Influencing Factors'!J16</f>
        <v>5</v>
      </c>
      <c r="K16" s="171">
        <f>'Influencing Factors'!K16</f>
        <v>7</v>
      </c>
      <c r="L16" s="171">
        <f>'Influencing Factors'!L16</f>
        <v>4</v>
      </c>
      <c r="M16" s="171">
        <f>'Influencing Factors'!M16</f>
        <v>7</v>
      </c>
      <c r="N16" s="19">
        <f t="shared" si="0"/>
        <v>6.1111111111111107</v>
      </c>
      <c r="O16" s="16">
        <f>AVERAGE(N14:N16)</f>
        <v>5.814814814814814</v>
      </c>
      <c r="P16" s="32">
        <f t="shared" si="1"/>
        <v>3</v>
      </c>
      <c r="Q16" s="16">
        <f>AVERAGE(P14:P16)</f>
        <v>3.3333333333333335</v>
      </c>
      <c r="R16" s="181">
        <f t="shared" si="7"/>
        <v>3.1111111111111107</v>
      </c>
      <c r="T16" s="341">
        <f>E16*(1/Details!O$6)</f>
        <v>1.56</v>
      </c>
      <c r="U16" s="341">
        <f>F16*(1/Details!O$7)</f>
        <v>2.3636363636363642</v>
      </c>
      <c r="V16" s="341">
        <f>G16*(1/Details!O$8)</f>
        <v>9.7500000000000018</v>
      </c>
      <c r="W16" s="341">
        <f>H16*(1/Details!O$9)</f>
        <v>2.6764705882352948</v>
      </c>
      <c r="X16" s="341">
        <f>I16*(1/Details!O$10)</f>
        <v>3.0333333333333341</v>
      </c>
      <c r="Y16" s="341">
        <f>J16*(1/Details!O$11)</f>
        <v>3.4210526315789478</v>
      </c>
      <c r="Z16" s="341">
        <f>K16*(1/Details!O$12)</f>
        <v>3.5000000000000009</v>
      </c>
      <c r="AA16" s="341">
        <f>L16*(1/Details!O$13)</f>
        <v>2.0000000000000004</v>
      </c>
      <c r="AB16" s="341">
        <f>M16*(1/Details!O$14)</f>
        <v>6.5</v>
      </c>
      <c r="AC16" s="19">
        <f t="shared" si="2"/>
        <v>3.8671658796426605</v>
      </c>
      <c r="AD16" s="16">
        <f>AVERAGE(AC14:AC16)</f>
        <v>3.5130552490356415</v>
      </c>
      <c r="AE16" s="17">
        <f t="shared" si="3"/>
        <v>8.1900000000000013</v>
      </c>
      <c r="AF16" s="16">
        <f>AVERAGE(AE14:AE16)</f>
        <v>5.7338095238095237</v>
      </c>
      <c r="AG16" s="181">
        <f t="shared" si="8"/>
        <v>-4.3228341203573404</v>
      </c>
      <c r="AH16" s="19">
        <f t="shared" si="4"/>
        <v>3.0333333333333341</v>
      </c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</row>
    <row r="17" spans="2:56" s="7" customFormat="1" ht="20.100000000000001" customHeight="1" thickTop="1" thickBot="1" x14ac:dyDescent="0.3">
      <c r="B17" s="380" t="s">
        <v>14</v>
      </c>
      <c r="C17" s="170">
        <v>12</v>
      </c>
      <c r="D17" s="196" t="s">
        <v>51</v>
      </c>
      <c r="E17" s="13">
        <f>'Influencing Factors'!E17</f>
        <v>7</v>
      </c>
      <c r="F17" s="13">
        <f>'Influencing Factors'!F17</f>
        <v>7</v>
      </c>
      <c r="G17" s="13">
        <f>'Influencing Factors'!G17</f>
        <v>5</v>
      </c>
      <c r="H17" s="13">
        <f>'Influencing Factors'!H17</f>
        <v>6</v>
      </c>
      <c r="I17" s="13">
        <f>'Influencing Factors'!I17</f>
        <v>7</v>
      </c>
      <c r="J17" s="13">
        <f>'Influencing Factors'!J17</f>
        <v>6</v>
      </c>
      <c r="K17" s="13">
        <f>'Influencing Factors'!K17</f>
        <v>6</v>
      </c>
      <c r="L17" s="13">
        <f>'Influencing Factors'!L17</f>
        <v>6</v>
      </c>
      <c r="M17" s="13">
        <f>'Influencing Factors'!M17</f>
        <v>5</v>
      </c>
      <c r="N17" s="24">
        <f t="shared" si="0"/>
        <v>6.1111111111111107</v>
      </c>
      <c r="O17" s="175"/>
      <c r="P17" s="25">
        <f t="shared" si="1"/>
        <v>2</v>
      </c>
      <c r="Q17" s="175"/>
      <c r="R17" s="182">
        <f t="shared" si="7"/>
        <v>4.1111111111111107</v>
      </c>
      <c r="T17" s="342">
        <f>E17*(1/Details!O$6)</f>
        <v>1.82</v>
      </c>
      <c r="U17" s="342">
        <f>F17*(1/Details!O$7)</f>
        <v>2.7575757575757582</v>
      </c>
      <c r="V17" s="342">
        <f>G17*(1/Details!O$8)</f>
        <v>8.1250000000000018</v>
      </c>
      <c r="W17" s="342">
        <f>H17*(1/Details!O$9)</f>
        <v>2.2941176470588243</v>
      </c>
      <c r="X17" s="342">
        <f>I17*(1/Details!O$10)</f>
        <v>3.0333333333333341</v>
      </c>
      <c r="Y17" s="342">
        <f>J17*(1/Details!O$11)</f>
        <v>4.1052631578947381</v>
      </c>
      <c r="Z17" s="342">
        <f>K17*(1/Details!O$12)</f>
        <v>3.0000000000000009</v>
      </c>
      <c r="AA17" s="342">
        <f>L17*(1/Details!O$13)</f>
        <v>3.0000000000000009</v>
      </c>
      <c r="AB17" s="342">
        <f>M17*(1/Details!O$14)</f>
        <v>4.6428571428571432</v>
      </c>
      <c r="AC17" s="24">
        <f t="shared" si="2"/>
        <v>3.6420163376355337</v>
      </c>
      <c r="AD17" s="175"/>
      <c r="AE17" s="17">
        <f t="shared" si="3"/>
        <v>6.3050000000000015</v>
      </c>
      <c r="AF17" s="175"/>
      <c r="AG17" s="182">
        <f t="shared" si="8"/>
        <v>-2.6629836623644678</v>
      </c>
      <c r="AH17" s="24">
        <f t="shared" si="4"/>
        <v>3.0000000000000009</v>
      </c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</row>
    <row r="18" spans="2:56" s="7" customFormat="1" ht="20.100000000000001" customHeight="1" thickTop="1" thickBot="1" x14ac:dyDescent="0.3">
      <c r="B18" s="381"/>
      <c r="C18" s="170">
        <v>13</v>
      </c>
      <c r="D18" s="197" t="s">
        <v>56</v>
      </c>
      <c r="E18" s="171">
        <f>'Influencing Factors'!E18</f>
        <v>5</v>
      </c>
      <c r="F18" s="171">
        <f>'Influencing Factors'!F18</f>
        <v>6</v>
      </c>
      <c r="G18" s="171">
        <f>'Influencing Factors'!G18</f>
        <v>7</v>
      </c>
      <c r="H18" s="171">
        <f>'Influencing Factors'!H18</f>
        <v>5</v>
      </c>
      <c r="I18" s="171">
        <f>'Influencing Factors'!I18</f>
        <v>7</v>
      </c>
      <c r="J18" s="171">
        <f>'Influencing Factors'!J18</f>
        <v>6</v>
      </c>
      <c r="K18" s="171">
        <f>'Influencing Factors'!K18</f>
        <v>5</v>
      </c>
      <c r="L18" s="171">
        <f>'Influencing Factors'!L18</f>
        <v>6</v>
      </c>
      <c r="M18" s="171">
        <f>'Influencing Factors'!M18</f>
        <v>6</v>
      </c>
      <c r="N18" s="18">
        <f t="shared" si="0"/>
        <v>5.8888888888888893</v>
      </c>
      <c r="O18" s="173"/>
      <c r="P18" s="20">
        <f t="shared" si="1"/>
        <v>2</v>
      </c>
      <c r="Q18" s="173"/>
      <c r="R18" s="180">
        <f t="shared" si="7"/>
        <v>3.8888888888888893</v>
      </c>
      <c r="T18" s="341">
        <f>E18*(1/Details!O$6)</f>
        <v>1.3</v>
      </c>
      <c r="U18" s="341">
        <f>F18*(1/Details!O$7)</f>
        <v>2.3636363636363642</v>
      </c>
      <c r="V18" s="341">
        <f>G18*(1/Details!O$8)</f>
        <v>11.375000000000002</v>
      </c>
      <c r="W18" s="341">
        <f>H18*(1/Details!O$9)</f>
        <v>1.9117647058823533</v>
      </c>
      <c r="X18" s="341">
        <f>I18*(1/Details!O$10)</f>
        <v>3.0333333333333341</v>
      </c>
      <c r="Y18" s="341">
        <f>J18*(1/Details!O$11)</f>
        <v>4.1052631578947381</v>
      </c>
      <c r="Z18" s="341">
        <f>K18*(1/Details!O$12)</f>
        <v>2.5000000000000004</v>
      </c>
      <c r="AA18" s="341">
        <f>L18*(1/Details!O$13)</f>
        <v>3.0000000000000009</v>
      </c>
      <c r="AB18" s="341">
        <f>M18*(1/Details!O$14)</f>
        <v>5.5714285714285712</v>
      </c>
      <c r="AC18" s="18">
        <f t="shared" si="2"/>
        <v>3.906714014686151</v>
      </c>
      <c r="AD18" s="173"/>
      <c r="AE18" s="17">
        <f t="shared" si="3"/>
        <v>10.075000000000001</v>
      </c>
      <c r="AF18" s="173"/>
      <c r="AG18" s="180">
        <f t="shared" si="8"/>
        <v>-6.1682859853138501</v>
      </c>
      <c r="AH18" s="18">
        <f t="shared" si="4"/>
        <v>3.0000000000000009</v>
      </c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</row>
    <row r="19" spans="2:56" s="7" customFormat="1" ht="20.100000000000001" customHeight="1" thickTop="1" thickBot="1" x14ac:dyDescent="0.3">
      <c r="B19" s="381"/>
      <c r="C19" s="170">
        <v>14</v>
      </c>
      <c r="D19" s="196" t="s">
        <v>57</v>
      </c>
      <c r="E19" s="13">
        <f>'Influencing Factors'!E19</f>
        <v>5</v>
      </c>
      <c r="F19" s="13">
        <f>'Influencing Factors'!F19</f>
        <v>5</v>
      </c>
      <c r="G19" s="13">
        <f>'Influencing Factors'!G19</f>
        <v>7</v>
      </c>
      <c r="H19" s="13">
        <f>'Influencing Factors'!H19</f>
        <v>5</v>
      </c>
      <c r="I19" s="13">
        <f>'Influencing Factors'!I19</f>
        <v>5</v>
      </c>
      <c r="J19" s="13">
        <f>'Influencing Factors'!J19</f>
        <v>7</v>
      </c>
      <c r="K19" s="13">
        <f>'Influencing Factors'!K19</f>
        <v>6</v>
      </c>
      <c r="L19" s="13">
        <f>'Influencing Factors'!L19</f>
        <v>6</v>
      </c>
      <c r="M19" s="13">
        <f>'Influencing Factors'!M19</f>
        <v>7</v>
      </c>
      <c r="N19" s="18">
        <f t="shared" si="0"/>
        <v>5.8888888888888893</v>
      </c>
      <c r="O19" s="174"/>
      <c r="P19" s="20">
        <f t="shared" si="1"/>
        <v>2</v>
      </c>
      <c r="Q19" s="174"/>
      <c r="R19" s="180">
        <f t="shared" si="7"/>
        <v>3.8888888888888893</v>
      </c>
      <c r="T19" s="342">
        <f>E19*(1/Details!O$6)</f>
        <v>1.3</v>
      </c>
      <c r="U19" s="342">
        <f>F19*(1/Details!O$7)</f>
        <v>1.9696969696969702</v>
      </c>
      <c r="V19" s="342">
        <f>G19*(1/Details!O$8)</f>
        <v>11.375000000000002</v>
      </c>
      <c r="W19" s="342">
        <f>H19*(1/Details!O$9)</f>
        <v>1.9117647058823533</v>
      </c>
      <c r="X19" s="342">
        <f>I19*(1/Details!O$10)</f>
        <v>2.1666666666666674</v>
      </c>
      <c r="Y19" s="342">
        <f>J19*(1/Details!O$11)</f>
        <v>4.7894736842105274</v>
      </c>
      <c r="Z19" s="342">
        <f>K19*(1/Details!O$12)</f>
        <v>3.0000000000000009</v>
      </c>
      <c r="AA19" s="342">
        <f>L19*(1/Details!O$13)</f>
        <v>3.0000000000000009</v>
      </c>
      <c r="AB19" s="342">
        <f>M19*(1/Details!O$14)</f>
        <v>6.5</v>
      </c>
      <c r="AC19" s="18">
        <f t="shared" si="2"/>
        <v>4.0014002251618352</v>
      </c>
      <c r="AD19" s="174"/>
      <c r="AE19" s="17">
        <f t="shared" si="3"/>
        <v>10.075000000000001</v>
      </c>
      <c r="AF19" s="174"/>
      <c r="AG19" s="180">
        <f t="shared" si="8"/>
        <v>-6.0735997748381658</v>
      </c>
      <c r="AH19" s="18">
        <f t="shared" si="4"/>
        <v>3.0000000000000009</v>
      </c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</row>
    <row r="20" spans="2:56" s="7" customFormat="1" ht="20.100000000000001" customHeight="1" thickTop="1" thickBot="1" x14ac:dyDescent="0.3">
      <c r="B20" s="381"/>
      <c r="C20" s="170">
        <v>15</v>
      </c>
      <c r="D20" s="197" t="s">
        <v>58</v>
      </c>
      <c r="E20" s="171">
        <f>'Influencing Factors'!E20</f>
        <v>5</v>
      </c>
      <c r="F20" s="171">
        <f>'Influencing Factors'!F20</f>
        <v>5</v>
      </c>
      <c r="G20" s="171">
        <f>'Influencing Factors'!G20</f>
        <v>3</v>
      </c>
      <c r="H20" s="171">
        <f>'Influencing Factors'!H20</f>
        <v>4</v>
      </c>
      <c r="I20" s="171">
        <f>'Influencing Factors'!I20</f>
        <v>6</v>
      </c>
      <c r="J20" s="171">
        <f>'Influencing Factors'!J20</f>
        <v>6</v>
      </c>
      <c r="K20" s="171">
        <f>'Influencing Factors'!K20</f>
        <v>4</v>
      </c>
      <c r="L20" s="171">
        <f>'Influencing Factors'!L20</f>
        <v>5</v>
      </c>
      <c r="M20" s="171">
        <f>'Influencing Factors'!M20</f>
        <v>6</v>
      </c>
      <c r="N20" s="18">
        <f t="shared" si="0"/>
        <v>4.8888888888888893</v>
      </c>
      <c r="O20" s="174"/>
      <c r="P20" s="20">
        <f t="shared" si="1"/>
        <v>3</v>
      </c>
      <c r="Q20" s="174"/>
      <c r="R20" s="180">
        <f t="shared" si="7"/>
        <v>1.8888888888888893</v>
      </c>
      <c r="T20" s="341">
        <f>E20*(1/Details!O$6)</f>
        <v>1.3</v>
      </c>
      <c r="U20" s="341">
        <f>F20*(1/Details!O$7)</f>
        <v>1.9696969696969702</v>
      </c>
      <c r="V20" s="341">
        <f>G20*(1/Details!O$8)</f>
        <v>4.8750000000000009</v>
      </c>
      <c r="W20" s="341">
        <f>H20*(1/Details!O$9)</f>
        <v>1.5294117647058827</v>
      </c>
      <c r="X20" s="341">
        <f>I20*(1/Details!O$10)</f>
        <v>2.6000000000000005</v>
      </c>
      <c r="Y20" s="341">
        <f>J20*(1/Details!O$11)</f>
        <v>4.1052631578947381</v>
      </c>
      <c r="Z20" s="341">
        <f>K20*(1/Details!O$12)</f>
        <v>2.0000000000000004</v>
      </c>
      <c r="AA20" s="341">
        <f>L20*(1/Details!O$13)</f>
        <v>2.5000000000000004</v>
      </c>
      <c r="AB20" s="341">
        <f>M20*(1/Details!O$14)</f>
        <v>5.5714285714285712</v>
      </c>
      <c r="AC20" s="18">
        <f t="shared" si="2"/>
        <v>2.9389778293029067</v>
      </c>
      <c r="AD20" s="174"/>
      <c r="AE20" s="17">
        <f t="shared" si="3"/>
        <v>4.2714285714285714</v>
      </c>
      <c r="AF20" s="174"/>
      <c r="AG20" s="180">
        <f t="shared" si="8"/>
        <v>-1.3324507421256646</v>
      </c>
      <c r="AH20" s="18">
        <f t="shared" si="4"/>
        <v>2.5000000000000004</v>
      </c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</row>
    <row r="21" spans="2:56" s="7" customFormat="1" ht="20.100000000000001" customHeight="1" thickTop="1" thickBot="1" x14ac:dyDescent="0.3">
      <c r="B21" s="381"/>
      <c r="C21" s="170">
        <v>16</v>
      </c>
      <c r="D21" s="198" t="s">
        <v>68</v>
      </c>
      <c r="E21" s="13">
        <f>'Influencing Factors'!E21</f>
        <v>7</v>
      </c>
      <c r="F21" s="13">
        <f>'Influencing Factors'!F21</f>
        <v>6</v>
      </c>
      <c r="G21" s="13">
        <f>'Influencing Factors'!G21</f>
        <v>4</v>
      </c>
      <c r="H21" s="13">
        <f>'Influencing Factors'!H21</f>
        <v>7</v>
      </c>
      <c r="I21" s="13">
        <f>'Influencing Factors'!I21</f>
        <v>7</v>
      </c>
      <c r="J21" s="13">
        <f>'Influencing Factors'!J21</f>
        <v>7</v>
      </c>
      <c r="K21" s="13">
        <f>'Influencing Factors'!K21</f>
        <v>6</v>
      </c>
      <c r="L21" s="13">
        <f>'Influencing Factors'!L21</f>
        <v>5</v>
      </c>
      <c r="M21" s="13">
        <f>'Influencing Factors'!M21</f>
        <v>6</v>
      </c>
      <c r="N21" s="18">
        <f t="shared" si="0"/>
        <v>6.1111111111111107</v>
      </c>
      <c r="O21" s="174"/>
      <c r="P21" s="20">
        <f t="shared" si="1"/>
        <v>3</v>
      </c>
      <c r="Q21" s="174"/>
      <c r="R21" s="180">
        <f t="shared" si="7"/>
        <v>3.1111111111111107</v>
      </c>
      <c r="T21" s="342">
        <f>E21*(1/Details!O$6)</f>
        <v>1.82</v>
      </c>
      <c r="U21" s="342">
        <f>F21*(1/Details!O$7)</f>
        <v>2.3636363636363642</v>
      </c>
      <c r="V21" s="342">
        <f>G21*(1/Details!O$8)</f>
        <v>6.5000000000000009</v>
      </c>
      <c r="W21" s="342">
        <f>H21*(1/Details!O$9)</f>
        <v>2.6764705882352948</v>
      </c>
      <c r="X21" s="342">
        <f>I21*(1/Details!O$10)</f>
        <v>3.0333333333333341</v>
      </c>
      <c r="Y21" s="342">
        <f>J21*(1/Details!O$11)</f>
        <v>4.7894736842105274</v>
      </c>
      <c r="Z21" s="342">
        <f>K21*(1/Details!O$12)</f>
        <v>3.0000000000000009</v>
      </c>
      <c r="AA21" s="342">
        <f>L21*(1/Details!O$13)</f>
        <v>2.5000000000000004</v>
      </c>
      <c r="AB21" s="342">
        <f>M21*(1/Details!O$14)</f>
        <v>5.5714285714285712</v>
      </c>
      <c r="AC21" s="18">
        <f t="shared" si="2"/>
        <v>3.5838158378715659</v>
      </c>
      <c r="AD21" s="174"/>
      <c r="AE21" s="17">
        <f t="shared" si="3"/>
        <v>4.6800000000000006</v>
      </c>
      <c r="AF21" s="174"/>
      <c r="AG21" s="180">
        <f t="shared" si="8"/>
        <v>-1.0961841621284347</v>
      </c>
      <c r="AH21" s="18">
        <f t="shared" si="4"/>
        <v>3.0000000000000009</v>
      </c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</row>
    <row r="22" spans="2:56" s="7" customFormat="1" ht="20.100000000000001" customHeight="1" thickTop="1" thickBot="1" x14ac:dyDescent="0.3">
      <c r="B22" s="382"/>
      <c r="C22" s="170">
        <v>17</v>
      </c>
      <c r="D22" s="197" t="s">
        <v>54</v>
      </c>
      <c r="E22" s="171">
        <f>'Influencing Factors'!E22</f>
        <v>5</v>
      </c>
      <c r="F22" s="171">
        <f>'Influencing Factors'!F22</f>
        <v>5</v>
      </c>
      <c r="G22" s="171">
        <f>'Influencing Factors'!G22</f>
        <v>4</v>
      </c>
      <c r="H22" s="171">
        <f>'Influencing Factors'!H22</f>
        <v>5</v>
      </c>
      <c r="I22" s="171">
        <f>'Influencing Factors'!I22</f>
        <v>5</v>
      </c>
      <c r="J22" s="171">
        <f>'Influencing Factors'!J22</f>
        <v>5</v>
      </c>
      <c r="K22" s="171">
        <f>'Influencing Factors'!K22</f>
        <v>5</v>
      </c>
      <c r="L22" s="171">
        <f>'Influencing Factors'!L22</f>
        <v>5</v>
      </c>
      <c r="M22" s="171">
        <f>'Influencing Factors'!M22</f>
        <v>4</v>
      </c>
      <c r="N22" s="19">
        <f t="shared" si="0"/>
        <v>4.7777777777777777</v>
      </c>
      <c r="O22" s="16">
        <f>AVERAGE(N17:N22)</f>
        <v>5.6111111111111107</v>
      </c>
      <c r="P22" s="32">
        <f t="shared" si="1"/>
        <v>1</v>
      </c>
      <c r="Q22" s="16">
        <f>AVERAGE(P17:P22)</f>
        <v>2.1666666666666665</v>
      </c>
      <c r="R22" s="181">
        <f t="shared" si="7"/>
        <v>3.7777777777777777</v>
      </c>
      <c r="T22" s="341">
        <f>E22*(1/Details!O$6)</f>
        <v>1.3</v>
      </c>
      <c r="U22" s="341">
        <f>F22*(1/Details!O$7)</f>
        <v>1.9696969696969702</v>
      </c>
      <c r="V22" s="341">
        <f>G22*(1/Details!O$8)</f>
        <v>6.5000000000000009</v>
      </c>
      <c r="W22" s="341">
        <f>H22*(1/Details!O$9)</f>
        <v>1.9117647058823533</v>
      </c>
      <c r="X22" s="341">
        <f>I22*(1/Details!O$10)</f>
        <v>2.1666666666666674</v>
      </c>
      <c r="Y22" s="341">
        <f>J22*(1/Details!O$11)</f>
        <v>3.4210526315789478</v>
      </c>
      <c r="Z22" s="341">
        <f>K22*(1/Details!O$12)</f>
        <v>2.5000000000000004</v>
      </c>
      <c r="AA22" s="341">
        <f>L22*(1/Details!O$13)</f>
        <v>2.5000000000000004</v>
      </c>
      <c r="AB22" s="341">
        <f>M22*(1/Details!O$14)</f>
        <v>3.7142857142857144</v>
      </c>
      <c r="AC22" s="19">
        <f t="shared" si="2"/>
        <v>2.8870518542345174</v>
      </c>
      <c r="AD22" s="16">
        <f>AVERAGE(AC17:AC22)</f>
        <v>3.4933293498154185</v>
      </c>
      <c r="AE22" s="17">
        <f t="shared" si="3"/>
        <v>5.2000000000000011</v>
      </c>
      <c r="AF22" s="16">
        <f>AVERAGE(AE17:AE22)</f>
        <v>6.767738095238097</v>
      </c>
      <c r="AG22" s="181">
        <f t="shared" si="8"/>
        <v>-2.3129481457654837</v>
      </c>
      <c r="AH22" s="19">
        <f t="shared" si="4"/>
        <v>2.5000000000000004</v>
      </c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</row>
    <row r="23" spans="2:56" s="7" customFormat="1" ht="20.100000000000001" customHeight="1" thickTop="1" thickBot="1" x14ac:dyDescent="0.3">
      <c r="B23" s="386" t="s">
        <v>59</v>
      </c>
      <c r="C23" s="170">
        <v>18</v>
      </c>
      <c r="D23" s="202" t="s">
        <v>55</v>
      </c>
      <c r="E23" s="13">
        <f>'Influencing Factors'!E23</f>
        <v>6</v>
      </c>
      <c r="F23" s="13">
        <f>'Influencing Factors'!F23</f>
        <v>7</v>
      </c>
      <c r="G23" s="13">
        <f>'Influencing Factors'!G23</f>
        <v>6</v>
      </c>
      <c r="H23" s="13">
        <f>'Influencing Factors'!H23</f>
        <v>7</v>
      </c>
      <c r="I23" s="13">
        <f>'Influencing Factors'!I23</f>
        <v>7</v>
      </c>
      <c r="J23" s="13">
        <f>'Influencing Factors'!J23</f>
        <v>7</v>
      </c>
      <c r="K23" s="13">
        <f>'Influencing Factors'!K23</f>
        <v>5</v>
      </c>
      <c r="L23" s="13">
        <f>'Influencing Factors'!L23</f>
        <v>7</v>
      </c>
      <c r="M23" s="13">
        <f>'Influencing Factors'!M23</f>
        <v>7</v>
      </c>
      <c r="N23" s="24">
        <f t="shared" si="0"/>
        <v>6.5555555555555554</v>
      </c>
      <c r="O23" s="175"/>
      <c r="P23" s="25">
        <f t="shared" si="1"/>
        <v>2</v>
      </c>
      <c r="Q23" s="175"/>
      <c r="R23" s="182">
        <f t="shared" si="7"/>
        <v>4.5555555555555554</v>
      </c>
      <c r="T23" s="342">
        <f>E23*(1/Details!O$6)</f>
        <v>1.56</v>
      </c>
      <c r="U23" s="342">
        <f>F23*(1/Details!O$7)</f>
        <v>2.7575757575757582</v>
      </c>
      <c r="V23" s="342">
        <f>G23*(1/Details!O$8)</f>
        <v>9.7500000000000018</v>
      </c>
      <c r="W23" s="342">
        <f>H23*(1/Details!O$9)</f>
        <v>2.6764705882352948</v>
      </c>
      <c r="X23" s="342">
        <f>I23*(1/Details!O$10)</f>
        <v>3.0333333333333341</v>
      </c>
      <c r="Y23" s="342">
        <f>J23*(1/Details!O$11)</f>
        <v>4.7894736842105274</v>
      </c>
      <c r="Z23" s="342">
        <f>K23*(1/Details!O$12)</f>
        <v>2.5000000000000004</v>
      </c>
      <c r="AA23" s="342">
        <f>L23*(1/Details!O$13)</f>
        <v>3.5000000000000009</v>
      </c>
      <c r="AB23" s="342">
        <f>M23*(1/Details!O$14)</f>
        <v>6.5</v>
      </c>
      <c r="AC23" s="24">
        <f t="shared" si="2"/>
        <v>4.1185392625949904</v>
      </c>
      <c r="AD23" s="175"/>
      <c r="AE23" s="17">
        <f t="shared" si="3"/>
        <v>8.1900000000000013</v>
      </c>
      <c r="AF23" s="175"/>
      <c r="AG23" s="182">
        <f t="shared" si="8"/>
        <v>-4.0714607374050109</v>
      </c>
      <c r="AH23" s="24">
        <f t="shared" si="4"/>
        <v>3.0333333333333341</v>
      </c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</row>
    <row r="24" spans="2:56" s="7" customFormat="1" ht="20.100000000000001" customHeight="1" thickTop="1" thickBot="1" x14ac:dyDescent="0.3">
      <c r="B24" s="386"/>
      <c r="C24" s="170">
        <v>19</v>
      </c>
      <c r="D24" s="205" t="s">
        <v>15</v>
      </c>
      <c r="E24" s="171">
        <f>'Influencing Factors'!E24</f>
        <v>6</v>
      </c>
      <c r="F24" s="171">
        <f>'Influencing Factors'!F24</f>
        <v>6</v>
      </c>
      <c r="G24" s="171">
        <f>'Influencing Factors'!G24</f>
        <v>3</v>
      </c>
      <c r="H24" s="171">
        <f>'Influencing Factors'!H24</f>
        <v>7</v>
      </c>
      <c r="I24" s="171">
        <f>'Influencing Factors'!I24</f>
        <v>7</v>
      </c>
      <c r="J24" s="171">
        <f>'Influencing Factors'!J24</f>
        <v>5</v>
      </c>
      <c r="K24" s="171">
        <f>'Influencing Factors'!K24</f>
        <v>4</v>
      </c>
      <c r="L24" s="171">
        <f>'Influencing Factors'!L24</f>
        <v>6</v>
      </c>
      <c r="M24" s="171">
        <f>'Influencing Factors'!M24</f>
        <v>6</v>
      </c>
      <c r="N24" s="18">
        <f t="shared" si="0"/>
        <v>5.5555555555555554</v>
      </c>
      <c r="O24" s="173"/>
      <c r="P24" s="20">
        <f t="shared" si="1"/>
        <v>4</v>
      </c>
      <c r="Q24" s="173"/>
      <c r="R24" s="180">
        <f t="shared" si="7"/>
        <v>1.5555555555555554</v>
      </c>
      <c r="T24" s="341">
        <f>E24*(1/Details!O$6)</f>
        <v>1.56</v>
      </c>
      <c r="U24" s="341">
        <f>F24*(1/Details!O$7)</f>
        <v>2.3636363636363642</v>
      </c>
      <c r="V24" s="341">
        <f>G24*(1/Details!O$8)</f>
        <v>4.8750000000000009</v>
      </c>
      <c r="W24" s="341">
        <f>H24*(1/Details!O$9)</f>
        <v>2.6764705882352948</v>
      </c>
      <c r="X24" s="341">
        <f>I24*(1/Details!O$10)</f>
        <v>3.0333333333333341</v>
      </c>
      <c r="Y24" s="341">
        <f>J24*(1/Details!O$11)</f>
        <v>3.4210526315789478</v>
      </c>
      <c r="Z24" s="341">
        <f>K24*(1/Details!O$12)</f>
        <v>2.0000000000000004</v>
      </c>
      <c r="AA24" s="341">
        <f>L24*(1/Details!O$13)</f>
        <v>3.0000000000000009</v>
      </c>
      <c r="AB24" s="341">
        <f>M24*(1/Details!O$14)</f>
        <v>5.5714285714285712</v>
      </c>
      <c r="AC24" s="18">
        <f t="shared" si="2"/>
        <v>3.1667690542458349</v>
      </c>
      <c r="AD24" s="173"/>
      <c r="AE24" s="17">
        <f t="shared" si="3"/>
        <v>4.0114285714285707</v>
      </c>
      <c r="AF24" s="173"/>
      <c r="AG24" s="180">
        <f t="shared" si="8"/>
        <v>-0.8446595171827358</v>
      </c>
      <c r="AH24" s="18">
        <f t="shared" si="4"/>
        <v>3.0000000000000009</v>
      </c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</row>
    <row r="25" spans="2:56" s="7" customFormat="1" ht="20.100000000000001" customHeight="1" thickTop="1" thickBot="1" x14ac:dyDescent="0.3">
      <c r="B25" s="386"/>
      <c r="C25" s="170">
        <v>20</v>
      </c>
      <c r="D25" s="202" t="s">
        <v>23</v>
      </c>
      <c r="E25" s="13">
        <f>'Influencing Factors'!E25</f>
        <v>6</v>
      </c>
      <c r="F25" s="13">
        <f>'Influencing Factors'!F25</f>
        <v>5</v>
      </c>
      <c r="G25" s="13">
        <f>'Influencing Factors'!G25</f>
        <v>4</v>
      </c>
      <c r="H25" s="13">
        <f>'Influencing Factors'!H25</f>
        <v>7</v>
      </c>
      <c r="I25" s="13">
        <f>'Influencing Factors'!I25</f>
        <v>7</v>
      </c>
      <c r="J25" s="13">
        <f>'Influencing Factors'!J25</f>
        <v>7</v>
      </c>
      <c r="K25" s="13">
        <f>'Influencing Factors'!K25</f>
        <v>4</v>
      </c>
      <c r="L25" s="13">
        <f>'Influencing Factors'!L25</f>
        <v>7</v>
      </c>
      <c r="M25" s="13">
        <f>'Influencing Factors'!M25</f>
        <v>6</v>
      </c>
      <c r="N25" s="18">
        <f t="shared" si="0"/>
        <v>5.8888888888888893</v>
      </c>
      <c r="O25" s="173"/>
      <c r="P25" s="20">
        <f t="shared" si="1"/>
        <v>3</v>
      </c>
      <c r="Q25" s="173"/>
      <c r="R25" s="180">
        <f t="shared" si="7"/>
        <v>2.8888888888888893</v>
      </c>
      <c r="T25" s="342">
        <f>E25*(1/Details!O$6)</f>
        <v>1.56</v>
      </c>
      <c r="U25" s="342">
        <f>F25*(1/Details!O$7)</f>
        <v>1.9696969696969702</v>
      </c>
      <c r="V25" s="342">
        <f>G25*(1/Details!O$8)</f>
        <v>6.5000000000000009</v>
      </c>
      <c r="W25" s="342">
        <f>H25*(1/Details!O$9)</f>
        <v>2.6764705882352948</v>
      </c>
      <c r="X25" s="342">
        <f>I25*(1/Details!O$10)</f>
        <v>3.0333333333333341</v>
      </c>
      <c r="Y25" s="342">
        <f>J25*(1/Details!O$11)</f>
        <v>4.7894736842105274</v>
      </c>
      <c r="Z25" s="342">
        <f>K25*(1/Details!O$12)</f>
        <v>2.0000000000000004</v>
      </c>
      <c r="AA25" s="342">
        <f>L25*(1/Details!O$13)</f>
        <v>3.5000000000000009</v>
      </c>
      <c r="AB25" s="342">
        <f>M25*(1/Details!O$14)</f>
        <v>5.5714285714285712</v>
      </c>
      <c r="AC25" s="18">
        <f t="shared" si="2"/>
        <v>3.5111559052116328</v>
      </c>
      <c r="AD25" s="173"/>
      <c r="AE25" s="17">
        <f t="shared" si="3"/>
        <v>4.9400000000000013</v>
      </c>
      <c r="AF25" s="173"/>
      <c r="AG25" s="180">
        <f t="shared" si="8"/>
        <v>-1.4288440947883685</v>
      </c>
      <c r="AH25" s="18">
        <f t="shared" si="4"/>
        <v>3.0333333333333341</v>
      </c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</row>
    <row r="26" spans="2:56" s="7" customFormat="1" ht="20.100000000000001" customHeight="1" thickTop="1" thickBot="1" x14ac:dyDescent="0.3">
      <c r="B26" s="386"/>
      <c r="C26" s="170">
        <v>21</v>
      </c>
      <c r="D26" s="204" t="s">
        <v>16</v>
      </c>
      <c r="E26" s="171">
        <f>'Influencing Factors'!E26</f>
        <v>5</v>
      </c>
      <c r="F26" s="171">
        <f>'Influencing Factors'!F26</f>
        <v>4</v>
      </c>
      <c r="G26" s="171">
        <f>'Influencing Factors'!G26</f>
        <v>4</v>
      </c>
      <c r="H26" s="171">
        <f>'Influencing Factors'!H26</f>
        <v>5</v>
      </c>
      <c r="I26" s="171">
        <f>'Influencing Factors'!I26</f>
        <v>6</v>
      </c>
      <c r="J26" s="171">
        <f>'Influencing Factors'!J26</f>
        <v>4</v>
      </c>
      <c r="K26" s="171">
        <f>'Influencing Factors'!K26</f>
        <v>6</v>
      </c>
      <c r="L26" s="171">
        <f>'Influencing Factors'!L26</f>
        <v>6</v>
      </c>
      <c r="M26" s="171">
        <f>'Influencing Factors'!M26</f>
        <v>7</v>
      </c>
      <c r="N26" s="18">
        <f t="shared" si="0"/>
        <v>5.2222222222222223</v>
      </c>
      <c r="O26" s="173"/>
      <c r="P26" s="20">
        <f t="shared" si="1"/>
        <v>3</v>
      </c>
      <c r="Q26" s="173"/>
      <c r="R26" s="180">
        <f t="shared" si="7"/>
        <v>2.2222222222222223</v>
      </c>
      <c r="T26" s="341">
        <f>E26*(1/Details!O$6)</f>
        <v>1.3</v>
      </c>
      <c r="U26" s="341">
        <f>F26*(1/Details!O$7)</f>
        <v>1.5757575757575761</v>
      </c>
      <c r="V26" s="341">
        <f>G26*(1/Details!O$8)</f>
        <v>6.5000000000000009</v>
      </c>
      <c r="W26" s="341">
        <f>H26*(1/Details!O$9)</f>
        <v>1.9117647058823533</v>
      </c>
      <c r="X26" s="341">
        <f>I26*(1/Details!O$10)</f>
        <v>2.6000000000000005</v>
      </c>
      <c r="Y26" s="341">
        <f>J26*(1/Details!O$11)</f>
        <v>2.7368421052631584</v>
      </c>
      <c r="Z26" s="341">
        <f>K26*(1/Details!O$12)</f>
        <v>3.0000000000000009</v>
      </c>
      <c r="AA26" s="341">
        <f>L26*(1/Details!O$13)</f>
        <v>3.0000000000000009</v>
      </c>
      <c r="AB26" s="341">
        <f>M26*(1/Details!O$14)</f>
        <v>6.5</v>
      </c>
      <c r="AC26" s="18">
        <f t="shared" si="2"/>
        <v>3.2360404874336766</v>
      </c>
      <c r="AD26" s="173"/>
      <c r="AE26" s="17">
        <f t="shared" si="3"/>
        <v>5.2000000000000011</v>
      </c>
      <c r="AF26" s="173"/>
      <c r="AG26" s="180">
        <f t="shared" si="8"/>
        <v>-1.9639595125663245</v>
      </c>
      <c r="AH26" s="18">
        <f t="shared" si="4"/>
        <v>2.7368421052631584</v>
      </c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</row>
    <row r="27" spans="2:56" s="7" customFormat="1" ht="20.100000000000001" customHeight="1" thickTop="1" thickBot="1" x14ac:dyDescent="0.3">
      <c r="B27" s="386"/>
      <c r="C27" s="170">
        <v>22</v>
      </c>
      <c r="D27" s="202" t="s">
        <v>17</v>
      </c>
      <c r="E27" s="13">
        <f>'Influencing Factors'!E27</f>
        <v>6</v>
      </c>
      <c r="F27" s="13">
        <f>'Influencing Factors'!F27</f>
        <v>4</v>
      </c>
      <c r="G27" s="13">
        <f>'Influencing Factors'!G27</f>
        <v>5</v>
      </c>
      <c r="H27" s="13">
        <f>'Influencing Factors'!H27</f>
        <v>5</v>
      </c>
      <c r="I27" s="13">
        <f>'Influencing Factors'!I27</f>
        <v>6</v>
      </c>
      <c r="J27" s="13">
        <f>'Influencing Factors'!J27</f>
        <v>4</v>
      </c>
      <c r="K27" s="13">
        <f>'Influencing Factors'!K27</f>
        <v>6</v>
      </c>
      <c r="L27" s="13">
        <f>'Influencing Factors'!L27</f>
        <v>6</v>
      </c>
      <c r="M27" s="13">
        <f>'Influencing Factors'!M27</f>
        <v>7</v>
      </c>
      <c r="N27" s="18">
        <f t="shared" si="0"/>
        <v>5.4444444444444446</v>
      </c>
      <c r="O27" s="173"/>
      <c r="P27" s="20">
        <f t="shared" si="1"/>
        <v>3</v>
      </c>
      <c r="Q27" s="173"/>
      <c r="R27" s="180">
        <f t="shared" si="7"/>
        <v>2.4444444444444446</v>
      </c>
      <c r="T27" s="342">
        <f>E27*(1/Details!O$6)</f>
        <v>1.56</v>
      </c>
      <c r="U27" s="342">
        <f>F27*(1/Details!O$7)</f>
        <v>1.5757575757575761</v>
      </c>
      <c r="V27" s="342">
        <f>G27*(1/Details!O$8)</f>
        <v>8.1250000000000018</v>
      </c>
      <c r="W27" s="342">
        <f>H27*(1/Details!O$9)</f>
        <v>1.9117647058823533</v>
      </c>
      <c r="X27" s="342">
        <f>I27*(1/Details!O$10)</f>
        <v>2.6000000000000005</v>
      </c>
      <c r="Y27" s="342">
        <f>J27*(1/Details!O$11)</f>
        <v>2.7368421052631584</v>
      </c>
      <c r="Z27" s="342">
        <f>K27*(1/Details!O$12)</f>
        <v>3.0000000000000009</v>
      </c>
      <c r="AA27" s="342">
        <f>L27*(1/Details!O$13)</f>
        <v>3.0000000000000009</v>
      </c>
      <c r="AB27" s="342">
        <f>M27*(1/Details!O$14)</f>
        <v>6.5</v>
      </c>
      <c r="AC27" s="18">
        <f t="shared" si="2"/>
        <v>3.4454849318781213</v>
      </c>
      <c r="AD27" s="173"/>
      <c r="AE27" s="17">
        <f t="shared" si="3"/>
        <v>6.5650000000000013</v>
      </c>
      <c r="AF27" s="173"/>
      <c r="AG27" s="180">
        <f t="shared" si="8"/>
        <v>-3.11951506812188</v>
      </c>
      <c r="AH27" s="18">
        <f t="shared" si="4"/>
        <v>2.7368421052631584</v>
      </c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</row>
    <row r="28" spans="2:56" s="7" customFormat="1" ht="20.100000000000001" customHeight="1" thickTop="1" thickBot="1" x14ac:dyDescent="0.3">
      <c r="B28" s="386"/>
      <c r="C28" s="170">
        <v>23</v>
      </c>
      <c r="D28" s="203" t="s">
        <v>18</v>
      </c>
      <c r="E28" s="171">
        <f>'Influencing Factors'!E28</f>
        <v>4</v>
      </c>
      <c r="F28" s="171">
        <f>'Influencing Factors'!F28</f>
        <v>5</v>
      </c>
      <c r="G28" s="171">
        <f>'Influencing Factors'!G28</f>
        <v>5</v>
      </c>
      <c r="H28" s="171">
        <f>'Influencing Factors'!H28</f>
        <v>4</v>
      </c>
      <c r="I28" s="171">
        <f>'Influencing Factors'!I28</f>
        <v>6</v>
      </c>
      <c r="J28" s="171">
        <f>'Influencing Factors'!J28</f>
        <v>4</v>
      </c>
      <c r="K28" s="171">
        <f>'Influencing Factors'!K28</f>
        <v>3</v>
      </c>
      <c r="L28" s="171">
        <f>'Influencing Factors'!L28</f>
        <v>4</v>
      </c>
      <c r="M28" s="171">
        <f>'Influencing Factors'!M28</f>
        <v>2</v>
      </c>
      <c r="N28" s="18">
        <f t="shared" si="0"/>
        <v>4.1111111111111107</v>
      </c>
      <c r="O28" s="173"/>
      <c r="P28" s="20">
        <f t="shared" si="1"/>
        <v>4</v>
      </c>
      <c r="Q28" s="173"/>
      <c r="R28" s="180">
        <f t="shared" si="7"/>
        <v>0.11111111111111072</v>
      </c>
      <c r="T28" s="341">
        <f>E28*(1/Details!O$6)</f>
        <v>1.04</v>
      </c>
      <c r="U28" s="341">
        <f>F28*(1/Details!O$7)</f>
        <v>1.9696969696969702</v>
      </c>
      <c r="V28" s="341">
        <f>G28*(1/Details!O$8)</f>
        <v>8.1250000000000018</v>
      </c>
      <c r="W28" s="341">
        <f>H28*(1/Details!O$9)</f>
        <v>1.5294117647058827</v>
      </c>
      <c r="X28" s="341">
        <f>I28*(1/Details!O$10)</f>
        <v>2.6000000000000005</v>
      </c>
      <c r="Y28" s="341">
        <f>J28*(1/Details!O$11)</f>
        <v>2.7368421052631584</v>
      </c>
      <c r="Z28" s="341">
        <f>K28*(1/Details!O$12)</f>
        <v>1.5000000000000004</v>
      </c>
      <c r="AA28" s="341">
        <f>L28*(1/Details!O$13)</f>
        <v>2.0000000000000004</v>
      </c>
      <c r="AB28" s="341">
        <f>M28*(1/Details!O$14)</f>
        <v>1.8571428571428572</v>
      </c>
      <c r="AC28" s="18">
        <f t="shared" si="2"/>
        <v>2.5953437440898743</v>
      </c>
      <c r="AD28" s="173"/>
      <c r="AE28" s="17">
        <f t="shared" si="3"/>
        <v>7.0850000000000017</v>
      </c>
      <c r="AF28" s="173"/>
      <c r="AG28" s="180">
        <f t="shared" si="8"/>
        <v>-4.489656255910127</v>
      </c>
      <c r="AH28" s="18">
        <f t="shared" si="4"/>
        <v>1.9696969696969702</v>
      </c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</row>
    <row r="29" spans="2:56" s="7" customFormat="1" ht="20.100000000000001" customHeight="1" thickTop="1" thickBot="1" x14ac:dyDescent="0.3">
      <c r="B29" s="386"/>
      <c r="C29" s="170">
        <v>24</v>
      </c>
      <c r="D29" s="202" t="s">
        <v>19</v>
      </c>
      <c r="E29" s="13">
        <f>'Influencing Factors'!E29</f>
        <v>5</v>
      </c>
      <c r="F29" s="13">
        <f>'Influencing Factors'!F29</f>
        <v>4</v>
      </c>
      <c r="G29" s="13">
        <f>'Influencing Factors'!G29</f>
        <v>5</v>
      </c>
      <c r="H29" s="13">
        <f>'Influencing Factors'!H29</f>
        <v>6</v>
      </c>
      <c r="I29" s="13">
        <f>'Influencing Factors'!I29</f>
        <v>7</v>
      </c>
      <c r="J29" s="13">
        <f>'Influencing Factors'!J29</f>
        <v>6</v>
      </c>
      <c r="K29" s="13">
        <f>'Influencing Factors'!K29</f>
        <v>3</v>
      </c>
      <c r="L29" s="13">
        <f>'Influencing Factors'!L29</f>
        <v>6</v>
      </c>
      <c r="M29" s="13">
        <f>'Influencing Factors'!M29</f>
        <v>3</v>
      </c>
      <c r="N29" s="18">
        <f t="shared" si="0"/>
        <v>5</v>
      </c>
      <c r="O29" s="173"/>
      <c r="P29" s="20">
        <f t="shared" si="1"/>
        <v>4</v>
      </c>
      <c r="Q29" s="173"/>
      <c r="R29" s="180">
        <f t="shared" si="7"/>
        <v>1</v>
      </c>
      <c r="T29" s="342">
        <f>E29*(1/Details!O$6)</f>
        <v>1.3</v>
      </c>
      <c r="U29" s="342">
        <f>F29*(1/Details!O$7)</f>
        <v>1.5757575757575761</v>
      </c>
      <c r="V29" s="342">
        <f>G29*(1/Details!O$8)</f>
        <v>8.1250000000000018</v>
      </c>
      <c r="W29" s="342">
        <f>H29*(1/Details!O$9)</f>
        <v>2.2941176470588243</v>
      </c>
      <c r="X29" s="342">
        <f>I29*(1/Details!O$10)</f>
        <v>3.0333333333333341</v>
      </c>
      <c r="Y29" s="342">
        <f>J29*(1/Details!O$11)</f>
        <v>4.1052631578947381</v>
      </c>
      <c r="Z29" s="342">
        <f>K29*(1/Details!O$12)</f>
        <v>1.5000000000000004</v>
      </c>
      <c r="AA29" s="342">
        <f>L29*(1/Details!O$13)</f>
        <v>3.0000000000000009</v>
      </c>
      <c r="AB29" s="342">
        <f>M29*(1/Details!O$14)</f>
        <v>2.7857142857142856</v>
      </c>
      <c r="AC29" s="18">
        <f t="shared" si="2"/>
        <v>3.0799095555287508</v>
      </c>
      <c r="AD29" s="173"/>
      <c r="AE29" s="17">
        <f t="shared" si="3"/>
        <v>6.825000000000002</v>
      </c>
      <c r="AF29" s="173"/>
      <c r="AG29" s="180">
        <f t="shared" si="8"/>
        <v>-3.7450904444712512</v>
      </c>
      <c r="AH29" s="18">
        <f t="shared" si="4"/>
        <v>2.7857142857142856</v>
      </c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</row>
    <row r="30" spans="2:56" s="7" customFormat="1" ht="20.100000000000001" customHeight="1" thickTop="1" thickBot="1" x14ac:dyDescent="0.3">
      <c r="B30" s="387"/>
      <c r="C30" s="170">
        <v>25</v>
      </c>
      <c r="D30" s="203" t="s">
        <v>52</v>
      </c>
      <c r="E30" s="171">
        <f>'Influencing Factors'!E30</f>
        <v>5</v>
      </c>
      <c r="F30" s="171">
        <f>'Influencing Factors'!F30</f>
        <v>4</v>
      </c>
      <c r="G30" s="171">
        <f>'Influencing Factors'!G30</f>
        <v>4</v>
      </c>
      <c r="H30" s="171">
        <f>'Influencing Factors'!H30</f>
        <v>6</v>
      </c>
      <c r="I30" s="171">
        <f>'Influencing Factors'!I30</f>
        <v>5</v>
      </c>
      <c r="J30" s="171">
        <f>'Influencing Factors'!J30</f>
        <v>4</v>
      </c>
      <c r="K30" s="171">
        <f>'Influencing Factors'!K30</f>
        <v>6</v>
      </c>
      <c r="L30" s="171">
        <f>'Influencing Factors'!L30</f>
        <v>3</v>
      </c>
      <c r="M30" s="171">
        <f>'Influencing Factors'!M30</f>
        <v>5</v>
      </c>
      <c r="N30" s="19">
        <f t="shared" si="0"/>
        <v>4.666666666666667</v>
      </c>
      <c r="O30" s="16">
        <f>AVERAGE(N23:N30)</f>
        <v>5.3055555555555545</v>
      </c>
      <c r="P30" s="32">
        <f t="shared" si="1"/>
        <v>3</v>
      </c>
      <c r="Q30" s="16">
        <f>AVERAGE(P23:P30)</f>
        <v>3.25</v>
      </c>
      <c r="R30" s="181">
        <f t="shared" si="7"/>
        <v>1.666666666666667</v>
      </c>
      <c r="T30" s="341">
        <f>E30*(1/Details!O$6)</f>
        <v>1.3</v>
      </c>
      <c r="U30" s="341">
        <f>F30*(1/Details!O$7)</f>
        <v>1.5757575757575761</v>
      </c>
      <c r="V30" s="341">
        <f>G30*(1/Details!O$8)</f>
        <v>6.5000000000000009</v>
      </c>
      <c r="W30" s="341">
        <f>H30*(1/Details!O$9)</f>
        <v>2.2941176470588243</v>
      </c>
      <c r="X30" s="341">
        <f>I30*(1/Details!O$10)</f>
        <v>2.1666666666666674</v>
      </c>
      <c r="Y30" s="341">
        <f>J30*(1/Details!O$11)</f>
        <v>2.7368421052631584</v>
      </c>
      <c r="Z30" s="341">
        <f>K30*(1/Details!O$12)</f>
        <v>3.0000000000000009</v>
      </c>
      <c r="AA30" s="341">
        <f>L30*(1/Details!O$13)</f>
        <v>1.5000000000000004</v>
      </c>
      <c r="AB30" s="341">
        <f>M30*(1/Details!O$14)</f>
        <v>4.6428571428571432</v>
      </c>
      <c r="AC30" s="19">
        <f t="shared" si="2"/>
        <v>2.8573601264003745</v>
      </c>
      <c r="AD30" s="16">
        <f>AVERAGE(AC23:AC30)</f>
        <v>3.2513253834229072</v>
      </c>
      <c r="AE30" s="17">
        <f t="shared" si="3"/>
        <v>5.2000000000000011</v>
      </c>
      <c r="AF30" s="16">
        <f>AVERAGE(AE23:AE30)</f>
        <v>6.002053571428573</v>
      </c>
      <c r="AG30" s="181">
        <f t="shared" si="8"/>
        <v>-2.3426398735996266</v>
      </c>
      <c r="AH30" s="19">
        <f t="shared" si="4"/>
        <v>2.2941176470588243</v>
      </c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</row>
    <row r="31" spans="2:56" s="7" customFormat="1" ht="20.100000000000001" customHeight="1" thickTop="1" thickBot="1" x14ac:dyDescent="0.3">
      <c r="B31" s="383" t="s">
        <v>5</v>
      </c>
      <c r="C31" s="170">
        <v>26</v>
      </c>
      <c r="D31" s="199" t="s">
        <v>20</v>
      </c>
      <c r="E31" s="13">
        <f>'Influencing Factors'!E31</f>
        <v>5</v>
      </c>
      <c r="F31" s="13">
        <f>'Influencing Factors'!F31</f>
        <v>3</v>
      </c>
      <c r="G31" s="13">
        <f>'Influencing Factors'!G31</f>
        <v>6</v>
      </c>
      <c r="H31" s="13">
        <f>'Influencing Factors'!H31</f>
        <v>5</v>
      </c>
      <c r="I31" s="13">
        <f>'Influencing Factors'!I31</f>
        <v>6</v>
      </c>
      <c r="J31" s="13">
        <f>'Influencing Factors'!J31</f>
        <v>5</v>
      </c>
      <c r="K31" s="13">
        <f>'Influencing Factors'!K31</f>
        <v>5</v>
      </c>
      <c r="L31" s="13">
        <f>'Influencing Factors'!L31</f>
        <v>6</v>
      </c>
      <c r="M31" s="13">
        <f>'Influencing Factors'!M31</f>
        <v>1</v>
      </c>
      <c r="N31" s="24">
        <f t="shared" si="0"/>
        <v>4.666666666666667</v>
      </c>
      <c r="O31" s="175"/>
      <c r="P31" s="25">
        <f t="shared" si="1"/>
        <v>5</v>
      </c>
      <c r="Q31" s="175"/>
      <c r="R31" s="182">
        <f t="shared" si="7"/>
        <v>-0.33333333333333304</v>
      </c>
      <c r="T31" s="342">
        <f>E31*(1/Details!O$6)</f>
        <v>1.3</v>
      </c>
      <c r="U31" s="342">
        <f>F31*(1/Details!O$7)</f>
        <v>1.1818181818181821</v>
      </c>
      <c r="V31" s="342">
        <f>G31*(1/Details!O$8)</f>
        <v>9.7500000000000018</v>
      </c>
      <c r="W31" s="342">
        <f>H31*(1/Details!O$9)</f>
        <v>1.9117647058823533</v>
      </c>
      <c r="X31" s="342">
        <f>I31*(1/Details!O$10)</f>
        <v>2.6000000000000005</v>
      </c>
      <c r="Y31" s="342">
        <f>J31*(1/Details!O$11)</f>
        <v>3.4210526315789478</v>
      </c>
      <c r="Z31" s="342">
        <f>K31*(1/Details!O$12)</f>
        <v>2.5000000000000004</v>
      </c>
      <c r="AA31" s="342">
        <f>L31*(1/Details!O$13)</f>
        <v>3.0000000000000009</v>
      </c>
      <c r="AB31" s="342">
        <f>M31*(1/Details!O$14)</f>
        <v>0.9285714285714286</v>
      </c>
      <c r="AC31" s="24">
        <f t="shared" si="2"/>
        <v>2.9548007719834346</v>
      </c>
      <c r="AD31" s="175"/>
      <c r="AE31" s="17">
        <f t="shared" si="3"/>
        <v>8.821428571428573</v>
      </c>
      <c r="AF31" s="175"/>
      <c r="AG31" s="182">
        <f t="shared" si="8"/>
        <v>-5.8666277994451388</v>
      </c>
      <c r="AH31" s="24">
        <f t="shared" si="4"/>
        <v>2.5000000000000004</v>
      </c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</row>
    <row r="32" spans="2:56" s="7" customFormat="1" ht="20.100000000000001" customHeight="1" thickTop="1" thickBot="1" x14ac:dyDescent="0.3">
      <c r="B32" s="384"/>
      <c r="C32" s="170">
        <v>27</v>
      </c>
      <c r="D32" s="208" t="s">
        <v>63</v>
      </c>
      <c r="E32" s="171">
        <f>'Influencing Factors'!E32</f>
        <v>4</v>
      </c>
      <c r="F32" s="171">
        <f>'Influencing Factors'!F32</f>
        <v>5</v>
      </c>
      <c r="G32" s="171">
        <f>'Influencing Factors'!G32</f>
        <v>5</v>
      </c>
      <c r="H32" s="171">
        <f>'Influencing Factors'!H32</f>
        <v>5</v>
      </c>
      <c r="I32" s="171">
        <f>'Influencing Factors'!I32</f>
        <v>7</v>
      </c>
      <c r="J32" s="171">
        <f>'Influencing Factors'!J32</f>
        <v>6</v>
      </c>
      <c r="K32" s="171">
        <f>'Influencing Factors'!K32</f>
        <v>5</v>
      </c>
      <c r="L32" s="171">
        <f>'Influencing Factors'!L32</f>
        <v>5</v>
      </c>
      <c r="M32" s="171">
        <f>'Influencing Factors'!M32</f>
        <v>7</v>
      </c>
      <c r="N32" s="18">
        <f t="shared" si="0"/>
        <v>5.4444444444444446</v>
      </c>
      <c r="O32" s="175"/>
      <c r="P32" s="20">
        <f t="shared" si="1"/>
        <v>3</v>
      </c>
      <c r="Q32" s="175"/>
      <c r="R32" s="180">
        <f t="shared" si="7"/>
        <v>2.4444444444444446</v>
      </c>
      <c r="T32" s="341">
        <f>E32*(1/Details!O$6)</f>
        <v>1.04</v>
      </c>
      <c r="U32" s="341">
        <f>F32*(1/Details!O$7)</f>
        <v>1.9696969696969702</v>
      </c>
      <c r="V32" s="341">
        <f>G32*(1/Details!O$8)</f>
        <v>8.1250000000000018</v>
      </c>
      <c r="W32" s="341">
        <f>H32*(1/Details!O$9)</f>
        <v>1.9117647058823533</v>
      </c>
      <c r="X32" s="341">
        <f>I32*(1/Details!O$10)</f>
        <v>3.0333333333333341</v>
      </c>
      <c r="Y32" s="341">
        <f>J32*(1/Details!O$11)</f>
        <v>4.1052631578947381</v>
      </c>
      <c r="Z32" s="341">
        <f>K32*(1/Details!O$12)</f>
        <v>2.5000000000000004</v>
      </c>
      <c r="AA32" s="341">
        <f>L32*(1/Details!O$13)</f>
        <v>2.5000000000000004</v>
      </c>
      <c r="AB32" s="341">
        <f>M32*(1/Details!O$14)</f>
        <v>6.5</v>
      </c>
      <c r="AC32" s="18">
        <f t="shared" si="2"/>
        <v>3.5205620185341551</v>
      </c>
      <c r="AD32" s="175"/>
      <c r="AE32" s="17">
        <f t="shared" si="3"/>
        <v>7.0850000000000017</v>
      </c>
      <c r="AF32" s="175"/>
      <c r="AG32" s="180">
        <f t="shared" si="8"/>
        <v>-3.5644379814658467</v>
      </c>
      <c r="AH32" s="18">
        <f t="shared" si="4"/>
        <v>2.5000000000000004</v>
      </c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</row>
    <row r="33" spans="2:58" s="7" customFormat="1" ht="20.100000000000001" customHeight="1" thickTop="1" thickBot="1" x14ac:dyDescent="0.3">
      <c r="B33" s="384"/>
      <c r="C33" s="170">
        <v>28</v>
      </c>
      <c r="D33" s="206" t="s">
        <v>62</v>
      </c>
      <c r="E33" s="13">
        <f>'Influencing Factors'!E33</f>
        <v>5</v>
      </c>
      <c r="F33" s="13">
        <f>'Influencing Factors'!F33</f>
        <v>4</v>
      </c>
      <c r="G33" s="13">
        <f>'Influencing Factors'!G33</f>
        <v>2</v>
      </c>
      <c r="H33" s="13">
        <f>'Influencing Factors'!H33</f>
        <v>5</v>
      </c>
      <c r="I33" s="13">
        <f>'Influencing Factors'!I33</f>
        <v>6</v>
      </c>
      <c r="J33" s="13">
        <f>'Influencing Factors'!J33</f>
        <v>6</v>
      </c>
      <c r="K33" s="13">
        <f>'Influencing Factors'!K33</f>
        <v>4</v>
      </c>
      <c r="L33" s="13">
        <f>'Influencing Factors'!L33</f>
        <v>4</v>
      </c>
      <c r="M33" s="13">
        <f>'Influencing Factors'!M33</f>
        <v>5</v>
      </c>
      <c r="N33" s="18">
        <f t="shared" si="0"/>
        <v>4.5555555555555554</v>
      </c>
      <c r="O33" s="175"/>
      <c r="P33" s="20">
        <f t="shared" si="1"/>
        <v>4</v>
      </c>
      <c r="Q33" s="175"/>
      <c r="R33" s="180">
        <f t="shared" si="7"/>
        <v>0.55555555555555536</v>
      </c>
      <c r="T33" s="342">
        <f>E33*(1/Details!O$6)</f>
        <v>1.3</v>
      </c>
      <c r="U33" s="342">
        <f>F33*(1/Details!O$7)</f>
        <v>1.5757575757575761</v>
      </c>
      <c r="V33" s="342">
        <f>G33*(1/Details!O$8)</f>
        <v>3.2500000000000004</v>
      </c>
      <c r="W33" s="342">
        <f>H33*(1/Details!O$9)</f>
        <v>1.9117647058823533</v>
      </c>
      <c r="X33" s="342">
        <f>I33*(1/Details!O$10)</f>
        <v>2.6000000000000005</v>
      </c>
      <c r="Y33" s="342">
        <f>J33*(1/Details!O$11)</f>
        <v>4.1052631578947381</v>
      </c>
      <c r="Z33" s="342">
        <f>K33*(1/Details!O$12)</f>
        <v>2.0000000000000004</v>
      </c>
      <c r="AA33" s="342">
        <f>L33*(1/Details!O$13)</f>
        <v>2.0000000000000004</v>
      </c>
      <c r="AB33" s="342">
        <f>M33*(1/Details!O$14)</f>
        <v>4.6428571428571432</v>
      </c>
      <c r="AC33" s="18">
        <f t="shared" si="2"/>
        <v>2.5984047313768683</v>
      </c>
      <c r="AD33" s="175"/>
      <c r="AE33" s="17">
        <f t="shared" si="3"/>
        <v>3.3428571428571434</v>
      </c>
      <c r="AF33" s="175"/>
      <c r="AG33" s="180">
        <f t="shared" si="8"/>
        <v>-0.74445241148027508</v>
      </c>
      <c r="AH33" s="18">
        <f t="shared" si="4"/>
        <v>2.0000000000000004</v>
      </c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</row>
    <row r="34" spans="2:58" s="7" customFormat="1" ht="20.100000000000001" customHeight="1" thickTop="1" thickBot="1" x14ac:dyDescent="0.3">
      <c r="B34" s="384"/>
      <c r="C34" s="170">
        <v>29</v>
      </c>
      <c r="D34" s="200" t="s">
        <v>24</v>
      </c>
      <c r="E34" s="171">
        <f>'Influencing Factors'!E34</f>
        <v>6</v>
      </c>
      <c r="F34" s="171">
        <f>'Influencing Factors'!F34</f>
        <v>6</v>
      </c>
      <c r="G34" s="171">
        <f>'Influencing Factors'!G34</f>
        <v>7</v>
      </c>
      <c r="H34" s="171">
        <f>'Influencing Factors'!H34</f>
        <v>5</v>
      </c>
      <c r="I34" s="171">
        <f>'Influencing Factors'!I34</f>
        <v>6</v>
      </c>
      <c r="J34" s="171">
        <f>'Influencing Factors'!J34</f>
        <v>6</v>
      </c>
      <c r="K34" s="171">
        <f>'Influencing Factors'!K34</f>
        <v>6</v>
      </c>
      <c r="L34" s="171">
        <f>'Influencing Factors'!L34</f>
        <v>7</v>
      </c>
      <c r="M34" s="171">
        <f>'Influencing Factors'!M34</f>
        <v>6</v>
      </c>
      <c r="N34" s="18">
        <f t="shared" si="0"/>
        <v>6.1111111111111107</v>
      </c>
      <c r="O34" s="173"/>
      <c r="P34" s="20">
        <f t="shared" si="1"/>
        <v>2</v>
      </c>
      <c r="Q34" s="173"/>
      <c r="R34" s="180">
        <f t="shared" si="7"/>
        <v>4.1111111111111107</v>
      </c>
      <c r="T34" s="341">
        <f>E34*(1/Details!O$6)</f>
        <v>1.56</v>
      </c>
      <c r="U34" s="341">
        <f>F34*(1/Details!O$7)</f>
        <v>2.3636363636363642</v>
      </c>
      <c r="V34" s="341">
        <f>G34*(1/Details!O$8)</f>
        <v>11.375000000000002</v>
      </c>
      <c r="W34" s="341">
        <f>H34*(1/Details!O$9)</f>
        <v>1.9117647058823533</v>
      </c>
      <c r="X34" s="341">
        <f>I34*(1/Details!O$10)</f>
        <v>2.6000000000000005</v>
      </c>
      <c r="Y34" s="341">
        <f>J34*(1/Details!O$11)</f>
        <v>4.1052631578947381</v>
      </c>
      <c r="Z34" s="341">
        <f>K34*(1/Details!O$12)</f>
        <v>3.0000000000000009</v>
      </c>
      <c r="AA34" s="341">
        <f>L34*(1/Details!O$13)</f>
        <v>3.5000000000000009</v>
      </c>
      <c r="AB34" s="341">
        <f>M34*(1/Details!O$14)</f>
        <v>5.5714285714285712</v>
      </c>
      <c r="AC34" s="18">
        <f t="shared" si="2"/>
        <v>3.9985658665380033</v>
      </c>
      <c r="AD34" s="173"/>
      <c r="AE34" s="17">
        <f t="shared" si="3"/>
        <v>9.8150000000000013</v>
      </c>
      <c r="AF34" s="173"/>
      <c r="AG34" s="180">
        <f t="shared" si="8"/>
        <v>-5.816434133461998</v>
      </c>
      <c r="AH34" s="18">
        <f t="shared" si="4"/>
        <v>3.0000000000000009</v>
      </c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</row>
    <row r="35" spans="2:58" s="7" customFormat="1" ht="20.100000000000001" customHeight="1" thickTop="1" thickBot="1" x14ac:dyDescent="0.3">
      <c r="B35" s="384"/>
      <c r="C35" s="170">
        <v>30</v>
      </c>
      <c r="D35" s="199" t="s">
        <v>21</v>
      </c>
      <c r="E35" s="13">
        <f>'Influencing Factors'!E35</f>
        <v>5</v>
      </c>
      <c r="F35" s="13">
        <f>'Influencing Factors'!F35</f>
        <v>5</v>
      </c>
      <c r="G35" s="13">
        <f>'Influencing Factors'!G35</f>
        <v>5</v>
      </c>
      <c r="H35" s="13">
        <f>'Influencing Factors'!H35</f>
        <v>6</v>
      </c>
      <c r="I35" s="13">
        <f>'Influencing Factors'!I35</f>
        <v>6</v>
      </c>
      <c r="J35" s="13">
        <f>'Influencing Factors'!J35</f>
        <v>6</v>
      </c>
      <c r="K35" s="13">
        <f>'Influencing Factors'!K35</f>
        <v>3</v>
      </c>
      <c r="L35" s="13">
        <f>'Influencing Factors'!L35</f>
        <v>5</v>
      </c>
      <c r="M35" s="13">
        <f>'Influencing Factors'!M35</f>
        <v>6</v>
      </c>
      <c r="N35" s="18">
        <f t="shared" si="0"/>
        <v>5.2222222222222223</v>
      </c>
      <c r="O35" s="173"/>
      <c r="P35" s="20">
        <f t="shared" si="1"/>
        <v>3</v>
      </c>
      <c r="Q35" s="173"/>
      <c r="R35" s="180">
        <f t="shared" si="7"/>
        <v>2.2222222222222223</v>
      </c>
      <c r="T35" s="342">
        <f>E35*(1/Details!O$6)</f>
        <v>1.3</v>
      </c>
      <c r="U35" s="342">
        <f>F35*(1/Details!O$7)</f>
        <v>1.9696969696969702</v>
      </c>
      <c r="V35" s="342">
        <f>G35*(1/Details!O$8)</f>
        <v>8.1250000000000018</v>
      </c>
      <c r="W35" s="342">
        <f>H35*(1/Details!O$9)</f>
        <v>2.2941176470588243</v>
      </c>
      <c r="X35" s="342">
        <f>I35*(1/Details!O$10)</f>
        <v>2.6000000000000005</v>
      </c>
      <c r="Y35" s="342">
        <f>J35*(1/Details!O$11)</f>
        <v>4.1052631578947381</v>
      </c>
      <c r="Z35" s="342">
        <f>K35*(1/Details!O$12)</f>
        <v>1.5000000000000004</v>
      </c>
      <c r="AA35" s="342">
        <f>L35*(1/Details!O$13)</f>
        <v>2.5000000000000004</v>
      </c>
      <c r="AB35" s="342">
        <f>M35*(1/Details!O$14)</f>
        <v>5.5714285714285712</v>
      </c>
      <c r="AC35" s="18">
        <f t="shared" si="2"/>
        <v>3.3295007051199002</v>
      </c>
      <c r="AD35" s="173"/>
      <c r="AE35" s="17">
        <f t="shared" si="3"/>
        <v>6.825000000000002</v>
      </c>
      <c r="AF35" s="173"/>
      <c r="AG35" s="180">
        <f t="shared" si="8"/>
        <v>-3.4954992948801018</v>
      </c>
      <c r="AH35" s="18">
        <f t="shared" si="4"/>
        <v>2.5000000000000004</v>
      </c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</row>
    <row r="36" spans="2:58" s="7" customFormat="1" ht="20.100000000000001" customHeight="1" thickTop="1" thickBot="1" x14ac:dyDescent="0.3">
      <c r="B36" s="384"/>
      <c r="C36" s="170">
        <v>31</v>
      </c>
      <c r="D36" s="200" t="s">
        <v>22</v>
      </c>
      <c r="E36" s="171">
        <f>'Influencing Factors'!E36</f>
        <v>4</v>
      </c>
      <c r="F36" s="171">
        <f>'Influencing Factors'!F36</f>
        <v>5</v>
      </c>
      <c r="G36" s="171">
        <f>'Influencing Factors'!G36</f>
        <v>4</v>
      </c>
      <c r="H36" s="171">
        <f>'Influencing Factors'!H36</f>
        <v>5</v>
      </c>
      <c r="I36" s="171">
        <f>'Influencing Factors'!I36</f>
        <v>5</v>
      </c>
      <c r="J36" s="171">
        <f>'Influencing Factors'!J36</f>
        <v>5</v>
      </c>
      <c r="K36" s="171">
        <f>'Influencing Factors'!K36</f>
        <v>6</v>
      </c>
      <c r="L36" s="171">
        <f>'Influencing Factors'!L36</f>
        <v>5</v>
      </c>
      <c r="M36" s="171">
        <f>'Influencing Factors'!M36</f>
        <v>4</v>
      </c>
      <c r="N36" s="18">
        <f t="shared" si="0"/>
        <v>4.7777777777777777</v>
      </c>
      <c r="O36" s="173"/>
      <c r="P36" s="20">
        <f t="shared" si="1"/>
        <v>2</v>
      </c>
      <c r="Q36" s="173"/>
      <c r="R36" s="180">
        <f t="shared" si="7"/>
        <v>2.7777777777777777</v>
      </c>
      <c r="T36" s="341">
        <f>E36*(1/Details!O$6)</f>
        <v>1.04</v>
      </c>
      <c r="U36" s="341">
        <f>F36*(1/Details!O$7)</f>
        <v>1.9696969696969702</v>
      </c>
      <c r="V36" s="341">
        <f>G36*(1/Details!O$8)</f>
        <v>6.5000000000000009</v>
      </c>
      <c r="W36" s="341">
        <f>H36*(1/Details!O$9)</f>
        <v>1.9117647058823533</v>
      </c>
      <c r="X36" s="341">
        <f>I36*(1/Details!O$10)</f>
        <v>2.1666666666666674</v>
      </c>
      <c r="Y36" s="341">
        <f>J36*(1/Details!O$11)</f>
        <v>3.4210526315789478</v>
      </c>
      <c r="Z36" s="341">
        <f>K36*(1/Details!O$12)</f>
        <v>3.0000000000000009</v>
      </c>
      <c r="AA36" s="341">
        <f>L36*(1/Details!O$13)</f>
        <v>2.5000000000000004</v>
      </c>
      <c r="AB36" s="341">
        <f>M36*(1/Details!O$14)</f>
        <v>3.7142857142857144</v>
      </c>
      <c r="AC36" s="18">
        <f t="shared" si="2"/>
        <v>2.9137185209011838</v>
      </c>
      <c r="AD36" s="173"/>
      <c r="AE36" s="17">
        <f t="shared" si="3"/>
        <v>5.4600000000000009</v>
      </c>
      <c r="AF36" s="173"/>
      <c r="AG36" s="180">
        <f t="shared" si="8"/>
        <v>-2.5462814790988171</v>
      </c>
      <c r="AH36" s="18">
        <f t="shared" si="4"/>
        <v>2.5000000000000004</v>
      </c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</row>
    <row r="37" spans="2:58" s="7" customFormat="1" ht="20.100000000000001" customHeight="1" thickTop="1" thickBot="1" x14ac:dyDescent="0.3">
      <c r="B37" s="385"/>
      <c r="C37" s="183">
        <v>32</v>
      </c>
      <c r="D37" s="207" t="s">
        <v>25</v>
      </c>
      <c r="E37" s="184">
        <f>'Influencing Factors'!E37</f>
        <v>4</v>
      </c>
      <c r="F37" s="184">
        <f>'Influencing Factors'!F37</f>
        <v>6</v>
      </c>
      <c r="G37" s="184">
        <f>'Influencing Factors'!G37</f>
        <v>6</v>
      </c>
      <c r="H37" s="184">
        <f>'Influencing Factors'!H37</f>
        <v>5</v>
      </c>
      <c r="I37" s="184">
        <f>'Influencing Factors'!I37</f>
        <v>5</v>
      </c>
      <c r="J37" s="184">
        <f>'Influencing Factors'!J37</f>
        <v>5</v>
      </c>
      <c r="K37" s="184">
        <f>'Influencing Factors'!K37</f>
        <v>7</v>
      </c>
      <c r="L37" s="184">
        <f>'Influencing Factors'!L37</f>
        <v>7</v>
      </c>
      <c r="M37" s="184">
        <f>'Influencing Factors'!M37</f>
        <v>6</v>
      </c>
      <c r="N37" s="185">
        <f t="shared" si="0"/>
        <v>5.666666666666667</v>
      </c>
      <c r="O37" s="186">
        <f>AVERAGE(N31:N37)</f>
        <v>5.2063492063492065</v>
      </c>
      <c r="P37" s="187">
        <f t="shared" si="1"/>
        <v>3</v>
      </c>
      <c r="Q37" s="186">
        <f>AVERAGE(P31:P37)</f>
        <v>3.1428571428571428</v>
      </c>
      <c r="R37" s="188">
        <f t="shared" si="7"/>
        <v>2.666666666666667</v>
      </c>
      <c r="T37" s="343">
        <f>E37*(1/Details!O$6)</f>
        <v>1.04</v>
      </c>
      <c r="U37" s="343">
        <f>F37*(1/Details!O$7)</f>
        <v>2.3636363636363642</v>
      </c>
      <c r="V37" s="343">
        <f>G37*(1/Details!O$8)</f>
        <v>9.7500000000000018</v>
      </c>
      <c r="W37" s="343">
        <f>H37*(1/Details!O$9)</f>
        <v>1.9117647058823533</v>
      </c>
      <c r="X37" s="343">
        <f>I37*(1/Details!O$10)</f>
        <v>2.1666666666666674</v>
      </c>
      <c r="Y37" s="343">
        <f>J37*(1/Details!O$11)</f>
        <v>3.4210526315789478</v>
      </c>
      <c r="Z37" s="343">
        <f>K37*(1/Details!O$12)</f>
        <v>3.5000000000000009</v>
      </c>
      <c r="AA37" s="343">
        <f>L37*(1/Details!O$13)</f>
        <v>3.5000000000000009</v>
      </c>
      <c r="AB37" s="343">
        <f>M37*(1/Details!O$14)</f>
        <v>5.5714285714285712</v>
      </c>
      <c r="AC37" s="185">
        <f t="shared" si="2"/>
        <v>3.6916165487992121</v>
      </c>
      <c r="AD37" s="186">
        <f>AVERAGE(AC31:AC37)</f>
        <v>3.2867384518932519</v>
      </c>
      <c r="AE37" s="17">
        <f t="shared" si="3"/>
        <v>8.7100000000000009</v>
      </c>
      <c r="AF37" s="186">
        <f>AVERAGE(AE31:AE37)</f>
        <v>7.1513265306122458</v>
      </c>
      <c r="AG37" s="188">
        <f t="shared" si="8"/>
        <v>-5.0183834512007888</v>
      </c>
      <c r="AH37" s="185">
        <f t="shared" si="4"/>
        <v>3.4210526315789478</v>
      </c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</row>
    <row r="38" spans="2:58" s="7" customFormat="1" ht="20.100000000000001" customHeight="1" thickTop="1" x14ac:dyDescent="0.25"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T38"/>
      <c r="U38"/>
      <c r="V38"/>
      <c r="W38"/>
      <c r="X38"/>
      <c r="Y38"/>
      <c r="Z38"/>
      <c r="AA38"/>
      <c r="AB38"/>
      <c r="AC38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</row>
    <row r="39" spans="2:58" s="7" customFormat="1" ht="20.100000000000001" customHeight="1" x14ac:dyDescent="0.25">
      <c r="B39" s="26" t="s">
        <v>26</v>
      </c>
      <c r="C39" s="21"/>
      <c r="D39" s="21"/>
      <c r="E39" s="21"/>
      <c r="F39" s="26" t="s">
        <v>47</v>
      </c>
      <c r="G39" s="21"/>
      <c r="H39" s="21"/>
      <c r="I39" s="21"/>
      <c r="J39" s="21"/>
      <c r="K39" s="21"/>
      <c r="L39" s="21"/>
      <c r="M39" s="21"/>
      <c r="N39" s="21"/>
      <c r="O39" s="31"/>
      <c r="P39"/>
      <c r="Q39" s="46" t="str">
        <f>O5</f>
        <v>Mean cat</v>
      </c>
      <c r="R39" s="47"/>
      <c r="T39" s="33" t="s">
        <v>66</v>
      </c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  <c r="AF39" s="34"/>
      <c r="AG39" s="35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</row>
    <row r="40" spans="2:58" ht="18.75" x14ac:dyDescent="0.25">
      <c r="B40" s="27"/>
      <c r="C40" s="28"/>
      <c r="D40" s="29"/>
      <c r="E40" s="28"/>
      <c r="F40" s="30"/>
      <c r="G40" s="28"/>
      <c r="H40" s="28"/>
      <c r="I40" s="28"/>
      <c r="J40" s="28"/>
      <c r="K40" s="28"/>
      <c r="L40" s="28"/>
      <c r="M40" s="28"/>
      <c r="N40" s="28"/>
      <c r="O40" s="22"/>
      <c r="P40"/>
      <c r="Q40" s="146" t="str">
        <f>B6</f>
        <v>Commercial</v>
      </c>
      <c r="R40" s="176">
        <f>O13</f>
        <v>4.9861111111111116</v>
      </c>
      <c r="T40" s="36" t="s">
        <v>48</v>
      </c>
      <c r="U40" s="37"/>
      <c r="V40" s="37"/>
      <c r="W40" s="37"/>
      <c r="X40" s="37"/>
      <c r="Y40" s="37"/>
      <c r="Z40" s="37"/>
      <c r="AA40" s="37"/>
      <c r="AB40" s="37"/>
      <c r="AC40" s="37"/>
      <c r="AD40" s="37"/>
      <c r="AE40" s="37"/>
      <c r="AF40" s="37"/>
      <c r="AG40" s="38"/>
    </row>
    <row r="41" spans="2:58" ht="18.75" x14ac:dyDescent="0.25">
      <c r="B41" s="28"/>
      <c r="C41" s="28"/>
      <c r="D41" s="29"/>
      <c r="E41" s="28"/>
      <c r="F41" s="30"/>
      <c r="G41" s="28"/>
      <c r="H41" s="28"/>
      <c r="I41" s="28"/>
      <c r="J41" s="28"/>
      <c r="K41" s="28"/>
      <c r="L41" s="28"/>
      <c r="M41" s="28"/>
      <c r="N41" s="28"/>
      <c r="O41" s="22"/>
      <c r="P41"/>
      <c r="Q41" s="48" t="str">
        <f>B14</f>
        <v>Affordability</v>
      </c>
      <c r="R41" s="176">
        <f>O16</f>
        <v>5.814814814814814</v>
      </c>
      <c r="T41" s="39" t="s">
        <v>67</v>
      </c>
      <c r="U41" s="37"/>
      <c r="V41" s="37"/>
      <c r="W41" s="37"/>
      <c r="X41" s="37"/>
      <c r="Y41" s="37"/>
      <c r="Z41" s="37"/>
      <c r="AA41" s="37"/>
      <c r="AB41" s="37"/>
      <c r="AC41" s="37"/>
      <c r="AD41" s="37"/>
      <c r="AE41" s="37"/>
      <c r="AF41" s="37"/>
      <c r="AG41" s="38"/>
    </row>
    <row r="42" spans="2:58" ht="18.75" x14ac:dyDescent="0.25">
      <c r="B42" s="28"/>
      <c r="C42" s="28"/>
      <c r="D42" s="29"/>
      <c r="E42" s="28"/>
      <c r="F42" s="30"/>
      <c r="G42" s="28"/>
      <c r="H42" s="28"/>
      <c r="I42" s="28"/>
      <c r="J42" s="28"/>
      <c r="K42" s="28"/>
      <c r="L42" s="28"/>
      <c r="M42" s="28"/>
      <c r="N42" s="28"/>
      <c r="O42"/>
      <c r="P42"/>
      <c r="Q42" s="49" t="str">
        <f>B17</f>
        <v>Maintainer performance</v>
      </c>
      <c r="R42" s="176">
        <f>O22</f>
        <v>5.6111111111111107</v>
      </c>
      <c r="T42" s="40"/>
      <c r="U42" s="41" t="s">
        <v>44</v>
      </c>
      <c r="V42" s="37"/>
      <c r="W42" s="37"/>
      <c r="X42" s="37"/>
      <c r="Y42" s="37"/>
      <c r="Z42" s="37"/>
      <c r="AA42" s="37"/>
      <c r="AB42" s="37"/>
      <c r="AC42" s="37"/>
      <c r="AD42" s="37"/>
      <c r="AE42" s="37"/>
      <c r="AF42" s="37"/>
      <c r="AG42" s="38"/>
    </row>
    <row r="43" spans="2:58" ht="18.75" x14ac:dyDescent="0.25">
      <c r="B43" s="11"/>
      <c r="D43" s="14"/>
      <c r="F43" s="10"/>
      <c r="O43"/>
      <c r="P43"/>
      <c r="Q43" s="209" t="str">
        <f>B23</f>
        <v>Operational</v>
      </c>
      <c r="R43" s="176">
        <f>O30</f>
        <v>5.3055555555555545</v>
      </c>
      <c r="T43" s="201"/>
      <c r="U43" s="41" t="s">
        <v>45</v>
      </c>
      <c r="V43" s="37"/>
      <c r="W43" s="37"/>
      <c r="X43" s="37"/>
      <c r="Y43" s="37"/>
      <c r="Z43" s="37"/>
      <c r="AA43" s="37"/>
      <c r="AB43" s="37"/>
      <c r="AC43" s="37"/>
      <c r="AD43" s="37"/>
      <c r="AE43" s="37"/>
      <c r="AF43" s="37"/>
      <c r="AG43" s="38"/>
    </row>
    <row r="44" spans="2:58" ht="18.75" x14ac:dyDescent="0.25">
      <c r="D44" s="14"/>
      <c r="F44" s="10"/>
      <c r="O44"/>
      <c r="P44"/>
      <c r="Q44" s="210" t="str">
        <f>B31</f>
        <v>Engineering</v>
      </c>
      <c r="R44" s="177">
        <f>O37</f>
        <v>5.2063492063492065</v>
      </c>
      <c r="T44" s="211"/>
      <c r="U44" s="41" t="s">
        <v>42</v>
      </c>
      <c r="V44" s="37"/>
      <c r="W44" s="37"/>
      <c r="X44" s="37"/>
      <c r="Y44" s="37"/>
      <c r="Z44" s="37"/>
      <c r="AA44" s="37"/>
      <c r="AB44" s="37"/>
      <c r="AC44" s="37"/>
      <c r="AD44" s="37"/>
      <c r="AE44" s="37"/>
      <c r="AF44" s="37"/>
      <c r="AG44" s="38"/>
    </row>
    <row r="45" spans="2:58" ht="18.75" x14ac:dyDescent="0.25">
      <c r="D45" s="14"/>
      <c r="F45" s="10"/>
      <c r="O45"/>
      <c r="P45"/>
      <c r="Q45"/>
      <c r="R45"/>
      <c r="T45" s="42"/>
      <c r="U45" s="43" t="s">
        <v>43</v>
      </c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5"/>
    </row>
    <row r="46" spans="2:58" x14ac:dyDescent="0.25">
      <c r="B46" s="11"/>
      <c r="D46" s="14"/>
      <c r="F46" s="10"/>
      <c r="O46"/>
      <c r="P46"/>
      <c r="Q46"/>
      <c r="R46"/>
      <c r="S46"/>
    </row>
    <row r="47" spans="2:58" x14ac:dyDescent="0.25">
      <c r="B47" s="11"/>
      <c r="D47" s="14"/>
      <c r="F47" s="10"/>
      <c r="K47" s="3" t="s">
        <v>49</v>
      </c>
      <c r="O47"/>
    </row>
    <row r="48" spans="2:58" x14ac:dyDescent="0.25">
      <c r="D48" s="14"/>
      <c r="F48" s="10"/>
      <c r="O48"/>
    </row>
    <row r="49" spans="2:36" x14ac:dyDescent="0.25">
      <c r="D49" s="14"/>
      <c r="F49" s="10"/>
      <c r="O49"/>
    </row>
    <row r="50" spans="2:36" x14ac:dyDescent="0.25">
      <c r="B50" s="11"/>
      <c r="D50" s="15"/>
      <c r="F50" s="10"/>
      <c r="O50"/>
    </row>
    <row r="51" spans="2:36" x14ac:dyDescent="0.25">
      <c r="D51" s="14"/>
      <c r="F51" s="10"/>
      <c r="O51"/>
    </row>
    <row r="52" spans="2:36" x14ac:dyDescent="0.25">
      <c r="D52" s="14"/>
      <c r="F52" s="10"/>
      <c r="O52"/>
    </row>
    <row r="53" spans="2:36" x14ac:dyDescent="0.25">
      <c r="B53" s="11"/>
      <c r="F53" s="10"/>
      <c r="O53"/>
    </row>
    <row r="54" spans="2:36" x14ac:dyDescent="0.25">
      <c r="F54" s="10"/>
    </row>
    <row r="55" spans="2:36" x14ac:dyDescent="0.25">
      <c r="F55" s="10"/>
    </row>
    <row r="56" spans="2:36" x14ac:dyDescent="0.25">
      <c r="F56" s="10"/>
    </row>
    <row r="57" spans="2:36" x14ac:dyDescent="0.25">
      <c r="F57" s="10"/>
    </row>
    <row r="58" spans="2:36" x14ac:dyDescent="0.25">
      <c r="F58" s="10"/>
    </row>
    <row r="59" spans="2:36" x14ac:dyDescent="0.25">
      <c r="F59" s="10"/>
    </row>
    <row r="60" spans="2:36" x14ac:dyDescent="0.25">
      <c r="F60" s="10"/>
    </row>
    <row r="61" spans="2:36" x14ac:dyDescent="0.25">
      <c r="F61" s="10"/>
    </row>
    <row r="62" spans="2:36" x14ac:dyDescent="0.25">
      <c r="F62" s="10"/>
    </row>
    <row r="63" spans="2:36" x14ac:dyDescent="0.25">
      <c r="F63" s="10"/>
    </row>
    <row r="64" spans="2:36" x14ac:dyDescent="0.25">
      <c r="F64" s="10"/>
      <c r="AJ64" s="373" t="s">
        <v>127</v>
      </c>
    </row>
    <row r="65" spans="6:41" x14ac:dyDescent="0.25">
      <c r="F65" s="10"/>
    </row>
    <row r="66" spans="6:41" x14ac:dyDescent="0.25">
      <c r="F66" s="10"/>
    </row>
    <row r="67" spans="6:41" x14ac:dyDescent="0.25">
      <c r="F67" s="10"/>
    </row>
    <row r="68" spans="6:41" x14ac:dyDescent="0.25">
      <c r="F68" s="10"/>
    </row>
    <row r="69" spans="6:41" x14ac:dyDescent="0.25">
      <c r="F69" s="10"/>
    </row>
    <row r="70" spans="6:41" x14ac:dyDescent="0.25">
      <c r="F70" s="10"/>
    </row>
    <row r="71" spans="6:41" x14ac:dyDescent="0.25">
      <c r="F71" s="10"/>
    </row>
    <row r="72" spans="6:41" x14ac:dyDescent="0.25">
      <c r="F72" s="10"/>
    </row>
    <row r="73" spans="6:41" x14ac:dyDescent="0.25">
      <c r="F73" s="10"/>
    </row>
    <row r="74" spans="6:41" x14ac:dyDescent="0.25">
      <c r="F74" s="10"/>
    </row>
    <row r="75" spans="6:41" x14ac:dyDescent="0.25">
      <c r="F75" s="10"/>
      <c r="AO75" s="373" t="s">
        <v>128</v>
      </c>
    </row>
    <row r="76" spans="6:41" x14ac:dyDescent="0.25">
      <c r="F76" s="10"/>
    </row>
    <row r="77" spans="6:41" x14ac:dyDescent="0.25">
      <c r="F77" s="10"/>
    </row>
  </sheetData>
  <mergeCells count="11">
    <mergeCell ref="AC4:AD4"/>
    <mergeCell ref="AE4:AF4"/>
    <mergeCell ref="B23:B30"/>
    <mergeCell ref="B31:B37"/>
    <mergeCell ref="N4:O4"/>
    <mergeCell ref="P4:Q4"/>
    <mergeCell ref="B6:B13"/>
    <mergeCell ref="B14:B16"/>
    <mergeCell ref="B17:B22"/>
    <mergeCell ref="T4:AB4"/>
    <mergeCell ref="E4:M4"/>
  </mergeCells>
  <conditionalFormatting sqref="D16:D17 D6:D7 D21:D37">
    <cfRule type="expression" dxfId="27" priority="25">
      <formula>$N6&gt;=5</formula>
    </cfRule>
    <cfRule type="expression" dxfId="26" priority="26">
      <formula>$P6&gt;=5</formula>
    </cfRule>
  </conditionalFormatting>
  <conditionalFormatting sqref="D14">
    <cfRule type="expression" dxfId="25" priority="23">
      <formula>$N14&gt;=5</formula>
    </cfRule>
    <cfRule type="expression" dxfId="24" priority="24">
      <formula>$P14&gt;=5</formula>
    </cfRule>
  </conditionalFormatting>
  <conditionalFormatting sqref="D15">
    <cfRule type="expression" dxfId="23" priority="21">
      <formula>$N15&gt;=5</formula>
    </cfRule>
    <cfRule type="expression" dxfId="22" priority="22">
      <formula>$P15&gt;=5</formula>
    </cfRule>
  </conditionalFormatting>
  <conditionalFormatting sqref="D18">
    <cfRule type="expression" dxfId="21" priority="19">
      <formula>$N18&gt;=5</formula>
    </cfRule>
    <cfRule type="expression" dxfId="20" priority="20">
      <formula>$P18&gt;=5</formula>
    </cfRule>
  </conditionalFormatting>
  <conditionalFormatting sqref="N6:O37">
    <cfRule type="colorScale" priority="27">
      <colorScale>
        <cfvo type="min"/>
        <cfvo type="percentile" val="50"/>
        <cfvo type="max"/>
        <color rgb="FF00B050"/>
        <color rgb="FFFCFCFF"/>
        <color rgb="FFF8696B"/>
      </colorScale>
    </cfRule>
  </conditionalFormatting>
  <conditionalFormatting sqref="P6:Q37">
    <cfRule type="colorScale" priority="28">
      <colorScale>
        <cfvo type="min"/>
        <cfvo type="percentile" val="50"/>
        <cfvo type="max"/>
        <color rgb="FF00B050"/>
        <color rgb="FFFCFCFF"/>
        <color rgb="FFF8696B"/>
      </colorScale>
    </cfRule>
  </conditionalFormatting>
  <conditionalFormatting sqref="R6:R37">
    <cfRule type="colorScale" priority="29">
      <colorScale>
        <cfvo type="min"/>
        <cfvo type="num" val="0"/>
        <cfvo type="max"/>
        <color theme="4"/>
        <color theme="0"/>
        <color rgb="FF00B0F0"/>
      </colorScale>
    </cfRule>
  </conditionalFormatting>
  <conditionalFormatting sqref="D8:D13">
    <cfRule type="expression" dxfId="19" priority="17">
      <formula>$N8&gt;=5</formula>
    </cfRule>
    <cfRule type="expression" dxfId="18" priority="18">
      <formula>$P8&gt;=5</formula>
    </cfRule>
  </conditionalFormatting>
  <conditionalFormatting sqref="D19">
    <cfRule type="expression" dxfId="17" priority="15">
      <formula>$N19&gt;=5</formula>
    </cfRule>
    <cfRule type="expression" dxfId="16" priority="16">
      <formula>$P19&gt;=5</formula>
    </cfRule>
  </conditionalFormatting>
  <conditionalFormatting sqref="D20">
    <cfRule type="expression" dxfId="15" priority="13">
      <formula>$N20&gt;=5</formula>
    </cfRule>
    <cfRule type="expression" dxfId="14" priority="14">
      <formula>$P20&gt;=5</formula>
    </cfRule>
  </conditionalFormatting>
  <conditionalFormatting sqref="AC6:AD37">
    <cfRule type="colorScale" priority="2">
      <colorScale>
        <cfvo type="min"/>
        <cfvo type="percentile" val="50"/>
        <cfvo type="max"/>
        <color rgb="FF00B050"/>
        <color rgb="FFFCFCFF"/>
        <color rgb="FFF8696B"/>
      </colorScale>
    </cfRule>
  </conditionalFormatting>
  <conditionalFormatting sqref="AE6:AF37">
    <cfRule type="colorScale" priority="3">
      <colorScale>
        <cfvo type="min"/>
        <cfvo type="percentile" val="50"/>
        <cfvo type="max"/>
        <color rgb="FF00B050"/>
        <color rgb="FFFCFCFF"/>
        <color rgb="FFF8696B"/>
      </colorScale>
    </cfRule>
  </conditionalFormatting>
  <conditionalFormatting sqref="AG6:AG37">
    <cfRule type="colorScale" priority="4">
      <colorScale>
        <cfvo type="min"/>
        <cfvo type="num" val="0"/>
        <cfvo type="max"/>
        <color theme="4"/>
        <color theme="0"/>
        <color rgb="FF00B0F0"/>
      </colorScale>
    </cfRule>
  </conditionalFormatting>
  <conditionalFormatting sqref="AH6:AH37">
    <cfRule type="colorScale" priority="1">
      <colorScale>
        <cfvo type="min"/>
        <cfvo type="percentile" val="50"/>
        <cfvo type="max"/>
        <color rgb="FF00B050"/>
        <color rgb="FFFCFCFF"/>
        <color rgb="FFF8696B"/>
      </colorScale>
    </cfRule>
  </conditionalFormatting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BJ77"/>
  <sheetViews>
    <sheetView showGridLines="0" topLeftCell="W1" zoomScale="70" zoomScaleNormal="70" workbookViewId="0">
      <selection activeCell="AS44" sqref="AS44"/>
    </sheetView>
  </sheetViews>
  <sheetFormatPr defaultColWidth="9.140625" defaultRowHeight="15" x14ac:dyDescent="0.25"/>
  <cols>
    <col min="1" max="1" width="5.7109375" style="3" customWidth="1"/>
    <col min="2" max="2" width="10.7109375" style="3" customWidth="1"/>
    <col min="3" max="3" width="5.7109375" style="3" customWidth="1"/>
    <col min="4" max="4" width="65.5703125" style="3" customWidth="1"/>
    <col min="5" max="14" width="5.7109375" style="3" customWidth="1"/>
    <col min="15" max="19" width="10.7109375" style="3" customWidth="1"/>
    <col min="20" max="20" width="5.7109375" style="3" customWidth="1"/>
    <col min="21" max="22" width="10.7109375" style="3" customWidth="1"/>
    <col min="23" max="24" width="5.7109375" style="3" customWidth="1"/>
    <col min="25" max="34" width="10.7109375" style="3" customWidth="1"/>
    <col min="35" max="59" width="9.140625" style="3"/>
    <col min="60" max="60" width="69" style="3" bestFit="1" customWidth="1"/>
    <col min="61" max="16384" width="9.140625" style="3"/>
  </cols>
  <sheetData>
    <row r="2" spans="2:62" ht="26.25" x14ac:dyDescent="0.4">
      <c r="B2" s="5" t="s">
        <v>64</v>
      </c>
      <c r="X2" s="52"/>
      <c r="Y2" s="5" t="s">
        <v>71</v>
      </c>
      <c r="AB2" s="53"/>
      <c r="AC2" s="53"/>
      <c r="AD2" s="53"/>
      <c r="AE2" s="53"/>
      <c r="AF2" s="53"/>
      <c r="AG2" s="53"/>
      <c r="AH2" s="53"/>
      <c r="AI2" s="53"/>
      <c r="AJ2"/>
      <c r="AK2" s="52"/>
      <c r="AL2" s="5" t="s">
        <v>72</v>
      </c>
      <c r="AM2" s="53"/>
      <c r="AN2" s="53"/>
      <c r="AO2" s="53"/>
      <c r="AP2" s="53"/>
      <c r="AQ2" s="53"/>
      <c r="AR2" s="53"/>
      <c r="AS2" s="53"/>
      <c r="AT2" s="53"/>
      <c r="AU2" s="53"/>
      <c r="AV2" s="53"/>
      <c r="AW2" s="53"/>
      <c r="AX2" s="53"/>
      <c r="AY2" s="53"/>
      <c r="AZ2" s="53"/>
      <c r="BA2" s="53"/>
      <c r="BB2" s="53"/>
      <c r="BC2" s="53"/>
    </row>
    <row r="3" spans="2:62" x14ac:dyDescent="0.25">
      <c r="X3" s="52"/>
      <c r="AB3" s="53"/>
      <c r="AC3" s="54"/>
      <c r="AD3" s="54"/>
      <c r="AE3" s="54"/>
      <c r="AF3" s="54"/>
      <c r="AG3" s="54"/>
      <c r="AH3" s="54"/>
      <c r="AI3" s="54"/>
      <c r="AJ3"/>
      <c r="AK3" s="52"/>
      <c r="AL3" s="53"/>
      <c r="AM3" s="54"/>
      <c r="AN3" s="54"/>
      <c r="AO3" s="54"/>
      <c r="AP3" s="54"/>
      <c r="AQ3" s="54"/>
      <c r="AR3" s="54"/>
      <c r="AS3" s="54"/>
      <c r="AT3" s="54"/>
      <c r="AU3" s="54"/>
      <c r="AV3" s="54"/>
      <c r="AW3" s="54"/>
      <c r="AX3" s="54"/>
      <c r="AY3" s="54"/>
      <c r="AZ3" s="54"/>
      <c r="BA3" s="54"/>
      <c r="BB3" s="54"/>
      <c r="BC3" s="54"/>
      <c r="BD3" s="55" t="s">
        <v>73</v>
      </c>
    </row>
    <row r="4" spans="2:62" s="7" customFormat="1" ht="24.95" customHeight="1" x14ac:dyDescent="0.25">
      <c r="B4" s="9">
        <f>'Influencing Factors'!B4</f>
        <v>0</v>
      </c>
      <c r="C4" s="9">
        <f>'Influencing Factors'!C4</f>
        <v>0</v>
      </c>
      <c r="D4" s="9">
        <f>'Influencing Factors'!D4</f>
        <v>0</v>
      </c>
      <c r="E4" s="375" t="str">
        <f>'Influencing Factors'!E4</f>
        <v>Respondent number</v>
      </c>
      <c r="F4" s="375"/>
      <c r="G4" s="375"/>
      <c r="H4" s="375"/>
      <c r="I4" s="375"/>
      <c r="J4" s="375"/>
      <c r="K4" s="375"/>
      <c r="L4" s="375"/>
      <c r="M4" s="375"/>
      <c r="N4"/>
      <c r="O4" s="388" t="str">
        <f>'Influencing Factors'!O4</f>
        <v>Mean</v>
      </c>
      <c r="P4" s="389"/>
      <c r="Q4" s="390" t="str">
        <f>'Influencing Factors'!Q4</f>
        <v>Agreement</v>
      </c>
      <c r="R4" s="390"/>
      <c r="S4" s="9">
        <f>'Influencing Factors'!S4</f>
        <v>0</v>
      </c>
      <c r="X4" s="56"/>
      <c r="AB4" s="54"/>
      <c r="AC4" s="54"/>
      <c r="AD4" s="54"/>
      <c r="AE4" s="54"/>
      <c r="AF4" s="54"/>
      <c r="AG4" s="54"/>
      <c r="AH4" s="54"/>
      <c r="AI4" s="54"/>
      <c r="AJ4"/>
      <c r="AK4" s="56"/>
      <c r="AL4" s="53"/>
      <c r="AM4" s="54"/>
      <c r="AN4" s="54"/>
      <c r="AO4" s="54"/>
      <c r="AP4" s="54"/>
      <c r="AQ4" s="54"/>
      <c r="AR4" s="54"/>
      <c r="AS4" s="54"/>
      <c r="AT4" s="54"/>
      <c r="AU4" s="54"/>
      <c r="AV4" s="54"/>
      <c r="AW4" s="54"/>
      <c r="AX4" s="54"/>
      <c r="AY4" s="54"/>
      <c r="AZ4" s="54"/>
      <c r="BA4" s="54"/>
      <c r="BB4" s="54"/>
      <c r="BC4" s="54"/>
    </row>
    <row r="5" spans="2:62" s="7" customFormat="1" ht="20.100000000000001" customHeight="1" thickBot="1" x14ac:dyDescent="0.3">
      <c r="B5" s="164"/>
      <c r="C5" s="164"/>
      <c r="D5" s="164"/>
      <c r="E5" s="165">
        <f>'Influencing Factors'!E5</f>
        <v>1</v>
      </c>
      <c r="F5" s="166">
        <f>'Influencing Factors'!F5</f>
        <v>2</v>
      </c>
      <c r="G5" s="166">
        <f>'Influencing Factors'!G5</f>
        <v>3</v>
      </c>
      <c r="H5" s="166">
        <f>'Influencing Factors'!H5</f>
        <v>4</v>
      </c>
      <c r="I5" s="166">
        <f>'Influencing Factors'!I5</f>
        <v>5</v>
      </c>
      <c r="J5" s="166">
        <f>'Influencing Factors'!J5</f>
        <v>6</v>
      </c>
      <c r="K5" s="166">
        <f>'Influencing Factors'!K5</f>
        <v>7</v>
      </c>
      <c r="L5" s="166">
        <f>'Influencing Factors'!L5</f>
        <v>8</v>
      </c>
      <c r="M5" s="166">
        <f>'Influencing Factors'!M5</f>
        <v>9</v>
      </c>
      <c r="N5"/>
      <c r="O5" s="165" t="str">
        <f>'Influencing Factors'!O5</f>
        <v>Mean</v>
      </c>
      <c r="P5" s="167" t="str">
        <f>'Influencing Factors'!P5</f>
        <v>Mean cat</v>
      </c>
      <c r="Q5" s="165" t="str">
        <f>'Influencing Factors'!Q5</f>
        <v>Range</v>
      </c>
      <c r="R5" s="167" t="str">
        <f>'Influencing Factors'!R5</f>
        <v>Range cat.</v>
      </c>
      <c r="S5" s="168" t="str">
        <f>'Influencing Factors'!S5</f>
        <v>Mean - range</v>
      </c>
      <c r="X5" s="56"/>
      <c r="AA5" s="57"/>
      <c r="AB5" s="223" t="str">
        <f>AA6</f>
        <v>Labour efficiency</v>
      </c>
      <c r="AC5" s="223" t="str">
        <f>AA7</f>
        <v>Customer equipment usage</v>
      </c>
      <c r="AD5" s="223" t="str">
        <f>AA8</f>
        <v>KPI specifications</v>
      </c>
      <c r="AE5" s="223" t="str">
        <f>AA9</f>
        <v>Stability of requirements</v>
      </c>
      <c r="AF5" s="223" t="str">
        <f>AA10</f>
        <v>Primary contractor relationship with customer</v>
      </c>
      <c r="AG5" s="223" t="str">
        <f>AA11</f>
        <v>Primary contractor relationship with OEM</v>
      </c>
      <c r="AH5" s="223" t="str">
        <f>AA12</f>
        <v>Accuracy &amp; availability of technical data (concerning IPR, etc.)</v>
      </c>
      <c r="AI5" s="223" t="str">
        <f>AA13</f>
        <v>Communication between shareholders</v>
      </c>
      <c r="AJ5"/>
      <c r="AK5" s="56"/>
      <c r="AL5" s="322"/>
      <c r="AM5" s="323" t="str">
        <f t="shared" ref="AM5:AR5" si="0">AB5</f>
        <v>Labour efficiency</v>
      </c>
      <c r="AN5" s="323" t="str">
        <f t="shared" si="0"/>
        <v>Customer equipment usage</v>
      </c>
      <c r="AO5" s="323" t="str">
        <f t="shared" si="0"/>
        <v>KPI specifications</v>
      </c>
      <c r="AP5" s="323" t="str">
        <f t="shared" si="0"/>
        <v>Stability of requirements</v>
      </c>
      <c r="AQ5" s="323" t="str">
        <f t="shared" si="0"/>
        <v>Primary contractor relationship with customer</v>
      </c>
      <c r="AR5" s="323" t="str">
        <f t="shared" si="0"/>
        <v>Primary contractor relationship with OEM</v>
      </c>
      <c r="AS5" s="323" t="str">
        <f>AH5</f>
        <v>Accuracy &amp; availability of technical data (concerning IPR, etc.)</v>
      </c>
      <c r="AT5" s="323" t="str">
        <f>AI5</f>
        <v>Communication between shareholders</v>
      </c>
      <c r="AU5" s="324" t="s">
        <v>74</v>
      </c>
      <c r="AV5" s="324" t="s">
        <v>75</v>
      </c>
      <c r="AW5" s="325" t="s">
        <v>76</v>
      </c>
      <c r="AX5" s="324" t="s">
        <v>77</v>
      </c>
      <c r="AY5" s="325" t="s">
        <v>78</v>
      </c>
      <c r="AZ5" s="324" t="s">
        <v>79</v>
      </c>
      <c r="BA5" s="324" t="s">
        <v>80</v>
      </c>
      <c r="BB5" s="324" t="s">
        <v>81</v>
      </c>
      <c r="BC5" s="324" t="s">
        <v>82</v>
      </c>
      <c r="BD5" s="326" t="s">
        <v>83</v>
      </c>
      <c r="BE5" s="54" t="s">
        <v>84</v>
      </c>
      <c r="BH5" s="8"/>
      <c r="BI5" s="326" t="str">
        <f>BD5</f>
        <v>Normalised weight</v>
      </c>
      <c r="BJ5" s="54" t="str">
        <f>BE5</f>
        <v>Uncertainty score</v>
      </c>
    </row>
    <row r="6" spans="2:62" s="7" customFormat="1" ht="20.100000000000001" customHeight="1" thickTop="1" thickBot="1" x14ac:dyDescent="0.3">
      <c r="B6" s="391" t="str">
        <f>'Influencing Factors'!B6</f>
        <v>Commercial</v>
      </c>
      <c r="C6" s="169">
        <f>'Influencing Factors'!C6</f>
        <v>1</v>
      </c>
      <c r="D6" s="189" t="str">
        <f>'Influencing Factors'!D6</f>
        <v>Labour efficiency</v>
      </c>
      <c r="E6" s="171">
        <f>'Influencing Factors'!E6</f>
        <v>4</v>
      </c>
      <c r="F6" s="171">
        <f>'Influencing Factors'!F6</f>
        <v>5</v>
      </c>
      <c r="G6" s="171">
        <f>'Influencing Factors'!G6</f>
        <v>3</v>
      </c>
      <c r="H6" s="171">
        <f>'Influencing Factors'!H6</f>
        <v>5</v>
      </c>
      <c r="I6" s="171">
        <f>'Influencing Factors'!I6</f>
        <v>7</v>
      </c>
      <c r="J6" s="171">
        <f>'Influencing Factors'!J6</f>
        <v>5</v>
      </c>
      <c r="K6" s="171">
        <f>'Influencing Factors'!K6</f>
        <v>5</v>
      </c>
      <c r="L6" s="171">
        <f>'Influencing Factors'!L6</f>
        <v>4</v>
      </c>
      <c r="M6" s="171">
        <f>'Influencing Factors'!M6</f>
        <v>4</v>
      </c>
      <c r="N6"/>
      <c r="O6" s="17">
        <f>'Influencing Factors'!O6</f>
        <v>4.666666666666667</v>
      </c>
      <c r="P6" s="172"/>
      <c r="Q6" s="20">
        <f>'Influencing Factors'!Q6</f>
        <v>4</v>
      </c>
      <c r="R6" s="172"/>
      <c r="S6" s="178">
        <f>'Influencing Factors'!S6</f>
        <v>0.66666666666666696</v>
      </c>
      <c r="X6" s="56"/>
      <c r="Y6" s="398" t="s">
        <v>3</v>
      </c>
      <c r="Z6" s="222">
        <f>C6</f>
        <v>1</v>
      </c>
      <c r="AA6" s="101" t="str">
        <f>D6</f>
        <v>Labour efficiency</v>
      </c>
      <c r="AB6" s="226">
        <v>1</v>
      </c>
      <c r="AC6" s="58">
        <f>IF(OR(COUNT($O6)&lt;&gt;1,COUNT($O7)&lt;&gt;1),0,
IF($O6-$O7&lt;0,
IF($O6-$O7&gt;=$Z$53,$AA$53,
IF($O6-$O7&gt;=$Z$54,$AA$54,
IF($O6-$O7&gt;=$Z$55,$AA$55,$AA$56))),
IF($O6=$O7,1,
IF($O6-$O7&lt;=$AC$53,$AD$53,
IF($O6-$O7&lt;=$AC$54,$AD$54,
IF($O6-$O7&lt;=$AC$55,$AD$55,$AD$56))))))</f>
        <v>3</v>
      </c>
      <c r="AD6" s="58">
        <f>IF(OR(COUNT($O6)&lt;&gt;1,COUNT($O8)&lt;&gt;1),0,
IF($O6-$O8&lt;0,
IF($O6-$O8&gt;=$Z$53,$AA$53,
IF($O6-$O8&gt;=$Z$54,$AA$54,
IF($O6-$O8&gt;=$Z$55,$AA$55,$AA$56))),
IF($O6=$O8,1,
IF($O6-$O8&lt;=$AC$53,$AD$53,
IF($O6-$O8&lt;=$AC$54,$AD$54,
IF($O6-$O8&lt;=$AC$55,$AD$55,$AD$56))))))</f>
        <v>3</v>
      </c>
      <c r="AE6" s="58">
        <f>IF(OR(COUNT($O6)&lt;&gt;1,COUNT($O9)&lt;&gt;1),0,
IF($O6-$O9&lt;0,
IF($O6-$O9&gt;=$Z$53,$AA$53,
IF($O6-$O9&gt;=$Z$54,$AA$54,
IF($O6-$O9&gt;=$Z$55,$AA$55,$AA$56))),
IF($O6=$O9,1,
IF($O6-$O9&lt;=$AC$53,$AD$53,
IF($O6-$O9&lt;=$AC$54,$AD$54,
IF($O6-$O9&lt;=$AC$55,$AD$55,$AD$56))))))</f>
        <v>0.33333333333333331</v>
      </c>
      <c r="AF6" s="58">
        <f>IF(OR(COUNT($O6)&lt;&gt;1,COUNT($O10)&lt;&gt;1),0,
IF($O6-$O10&lt;0,
IF($O6-$O10&gt;=$Z$53,$AA$53,
IF($O6-$O10&gt;=$Z$54,$AA$54,
IF($O6-$O10&gt;=$Z$55,$AA$55,$AA$56))),
IF($O6=$O10,1,
IF($O6-$O10&lt;=$AC$53,$AD$53,
IF($O6-$O10&lt;=$AC$54,$AD$54,
IF($O6-$O10&lt;=$AC$55,$AD$55,$AD$56))))))</f>
        <v>0.33333333333333331</v>
      </c>
      <c r="AG6" s="58">
        <f>IF(OR(COUNT($O6)&lt;&gt;1,COUNT($O11)&lt;&gt;1),0,
IF($O6-$O11&lt;0,
IF($O6-$O11&gt;=$Z$53,$AA$53,
IF($O6-$O11&gt;=$Z$54,$AA$54,
IF($O6-$O11&gt;=$Z$55,$AA$55,$AA$56))),
IF($O6=$O11,1,
IF($O6-$O11&lt;=$AC$53,$AD$53,
IF($O6-$O11&lt;=$AC$54,$AD$54,
IF($O6-$O11&lt;=$AC$55,$AD$55,$AD$56))))))</f>
        <v>0.33333333333333331</v>
      </c>
      <c r="AH6" s="58">
        <f>IF(OR(COUNT($O6)&lt;&gt;1,COUNT($O12)&lt;&gt;1),0,
IF($O6-$O12&lt;0,
IF($O6-$O12&gt;=$Z$53,$AA$53,
IF($O6-$O12&gt;=$Z$54,$AA$54,
IF($O6-$O12&gt;=$Z$55,$AA$55,$AA$56))),
IF($O6=$O12,1,
IF($O6-$O12&lt;=$AC$53,$AD$53,
IF($O6-$O12&lt;=$AC$54,$AD$54,
IF($O6-$O12&lt;=$AC$55,$AD$55,$AD$56))))))</f>
        <v>0.33333333333333331</v>
      </c>
      <c r="AI6" s="59">
        <f>IF(OR(COUNT($O6)&lt;&gt;1,COUNT($O13)&lt;&gt;1),0,
IF($O6-$O13&lt;0,
IF($O6-$O13&gt;=$Z$53,$AA$53,
IF($O6-$O13&gt;=$Z$54,$AA$54,
IF($O6-$O13&gt;=$Z$55,$AA$55,$AA$56))),
IF($O6=$O13,1,
IF($O6-$O13&lt;=$AC$53,$AD$53,
IF($O6-$O13&lt;=$AC$54,$AD$54,
IF($O6-$O13&lt;=$AC$55,$AD$55,$AD$56))))))</f>
        <v>0.33333333333333331</v>
      </c>
      <c r="AJ6"/>
      <c r="AK6" s="56"/>
      <c r="AL6" s="327" t="str">
        <f>AA6</f>
        <v>Labour efficiency</v>
      </c>
      <c r="AM6" s="102">
        <f t="shared" ref="AM6:AR11" si="1">AB6/AB$14</f>
        <v>6.0000000000000012E-2</v>
      </c>
      <c r="AN6" s="142">
        <f t="shared" si="1"/>
        <v>0.15517241379310345</v>
      </c>
      <c r="AO6" s="142">
        <f t="shared" si="1"/>
        <v>0.13636363636363635</v>
      </c>
      <c r="AP6" s="142">
        <f t="shared" si="1"/>
        <v>2.9411764705882349E-2</v>
      </c>
      <c r="AQ6" s="142">
        <f t="shared" si="1"/>
        <v>2.3809523809523808E-2</v>
      </c>
      <c r="AR6" s="142">
        <f t="shared" si="1"/>
        <v>3.8461538461538464E-2</v>
      </c>
      <c r="AS6" s="142">
        <f t="shared" ref="AS6:AT13" si="2">AH6/AH$14</f>
        <v>9.9999999999999992E-2</v>
      </c>
      <c r="AT6" s="103">
        <f t="shared" si="2"/>
        <v>5.5555555555555552E-2</v>
      </c>
      <c r="AU6" s="104">
        <f>SUM(AM6:AT6)</f>
        <v>0.59877443268924002</v>
      </c>
      <c r="AV6" s="104">
        <f t="shared" ref="AV6:AV12" si="3">AU6/$AU$14</f>
        <v>7.4846804086155003E-2</v>
      </c>
      <c r="AW6" s="105">
        <f>MMULT(AB6:AI6,$AV$6:$AV$13)</f>
        <v>0.64498469076562381</v>
      </c>
      <c r="AX6" s="99">
        <f>AW6/AV6</f>
        <v>8.6173978787817305</v>
      </c>
      <c r="AY6" s="106">
        <f>AVERAGE(AX6:AX13)</f>
        <v>9.1261011618720218</v>
      </c>
      <c r="AZ6" s="99">
        <f>(AY6-AZ14)/(AZ14-1)</f>
        <v>0.16087159455314598</v>
      </c>
      <c r="BA6" s="99">
        <f>VLOOKUP(AZ14,$BA$53:$BB$61,2)</f>
        <v>1.41</v>
      </c>
      <c r="BB6" s="99">
        <f>IF(ISERROR(AZ6/BA6),0,AZ6/BA6)</f>
        <v>0.11409332947031631</v>
      </c>
      <c r="BC6" s="99">
        <f>BB6*100</f>
        <v>11.409332947031631</v>
      </c>
      <c r="BD6" s="100">
        <f>AV6/(1/$AZ$14)</f>
        <v>0.59877443268924002</v>
      </c>
      <c r="BE6" s="51">
        <f t="shared" ref="BE6:BE13" si="4">O6*BD6</f>
        <v>2.7942806858831202</v>
      </c>
      <c r="BG6" s="398" t="str">
        <f>Y6</f>
        <v>Commercial</v>
      </c>
      <c r="BH6" s="101" t="str">
        <f>AA6</f>
        <v>Labour efficiency</v>
      </c>
      <c r="BI6" s="100">
        <f t="shared" ref="BI6:BI13" si="5">BD6</f>
        <v>0.59877443268924002</v>
      </c>
      <c r="BJ6" s="51">
        <f t="shared" ref="BJ6:BJ13" si="6">BE6</f>
        <v>2.7942806858831202</v>
      </c>
    </row>
    <row r="7" spans="2:62" s="7" customFormat="1" ht="20.100000000000001" customHeight="1" thickTop="1" thickBot="1" x14ac:dyDescent="0.3">
      <c r="B7" s="392"/>
      <c r="C7" s="170">
        <f>'Influencing Factors'!C7</f>
        <v>2</v>
      </c>
      <c r="D7" s="190" t="str">
        <f>'Influencing Factors'!D7</f>
        <v>Customer equipment usage</v>
      </c>
      <c r="E7" s="13">
        <f>'Influencing Factors'!E7</f>
        <v>5</v>
      </c>
      <c r="F7" s="13">
        <f>'Influencing Factors'!F7</f>
        <v>6</v>
      </c>
      <c r="G7" s="13">
        <f>'Influencing Factors'!G7</f>
        <v>3</v>
      </c>
      <c r="H7" s="13">
        <f>'Influencing Factors'!H7</f>
        <v>4</v>
      </c>
      <c r="I7" s="13">
        <f>'Influencing Factors'!I7</f>
        <v>6</v>
      </c>
      <c r="J7" s="13">
        <f>'Influencing Factors'!J7</f>
        <v>5</v>
      </c>
      <c r="K7" s="13">
        <f>'Influencing Factors'!K7</f>
        <v>4</v>
      </c>
      <c r="L7" s="13">
        <f>'Influencing Factors'!L7</f>
        <v>4</v>
      </c>
      <c r="M7" s="13">
        <f>'Influencing Factors'!M7</f>
        <v>2</v>
      </c>
      <c r="N7"/>
      <c r="O7" s="18">
        <f>'Influencing Factors'!O7</f>
        <v>4.333333333333333</v>
      </c>
      <c r="P7" s="173"/>
      <c r="Q7" s="20">
        <f>'Influencing Factors'!Q7</f>
        <v>4</v>
      </c>
      <c r="R7" s="173"/>
      <c r="S7" s="179">
        <f>'Influencing Factors'!S7</f>
        <v>0.33333333333333304</v>
      </c>
      <c r="X7" s="56"/>
      <c r="Y7" s="398"/>
      <c r="Z7" s="222">
        <f t="shared" ref="Z7:Z13" si="7">C7</f>
        <v>2</v>
      </c>
      <c r="AA7" s="101" t="str">
        <f t="shared" ref="AA7:AA11" si="8">D7</f>
        <v>Customer equipment usage</v>
      </c>
      <c r="AB7" s="60">
        <f>IF(ISERROR(1/$AC6),0,IF(OR(COUNT($O6)&lt;&gt;1,COUNT($O7)&lt;&gt;1),"",1/$AC6))</f>
        <v>0.33333333333333331</v>
      </c>
      <c r="AC7" s="225">
        <v>1</v>
      </c>
      <c r="AD7" s="61">
        <f>IF(OR(COUNT($O7)&lt;&gt;1,COUNT($O8)&lt;&gt;1),0,
IF($O7-$O8&lt;0,
IF($O7-$O8&gt;=$Z$53,$AA$53,
IF($O7-$O8&gt;=$Z$54,$AA$54,
IF($O7-$O8&gt;=$Z$55,$AA$55,$AA$56))),
IF($O7=$O8,1,
IF($O7-$O8&lt;=$AC$53,$AD$53,
IF($O7-$O8&lt;=$AC$54,$AD$54,
IF($O7-$O8&lt;=$AC$55,$AD$55,$AD$56))))))</f>
        <v>3</v>
      </c>
      <c r="AE7" s="61">
        <f>IF(OR(COUNT($O7)&lt;&gt;1,COUNT($O9)&lt;&gt;1),0,
IF($O7-$O9&lt;0,
IF($O7-$O9&gt;=$Z$53,$AA$53,
IF($O7-$O9&gt;=$Z$54,$AA$54,
IF($O7-$O9&gt;=$Z$55,$AA$55,$AA$56))),
IF($O7=$O9,1,
IF($O7-$O9&lt;=$AC$53,$AD$53,
IF($O7-$O9&lt;=$AC$54,$AD$54,
IF($O7-$O9&lt;=$AC$55,$AD$55,$AD$56))))))</f>
        <v>0.33333333333333331</v>
      </c>
      <c r="AF7" s="61">
        <f>IF(OR(COUNT($O7)&lt;&gt;1,COUNT($O10)&lt;&gt;1),0,
IF($O7-$O10&lt;0,
IF($O7-$O10&gt;=$Z$53,$AA$53,
IF($O7-$O10&gt;=$Z$54,$AA$54,
IF($O7-$O10&gt;=$Z$55,$AA$55,$AA$56))),
IF($O7=$O10,1,
IF($O7-$O10&lt;=$AC$53,$AD$53,
IF($O7-$O10&lt;=$AC$54,$AD$54,
IF($O7-$O10&lt;=$AC$55,$AD$55,$AD$56))))))</f>
        <v>0.33333333333333331</v>
      </c>
      <c r="AG7" s="61">
        <f>IF(OR(COUNT($O7)&lt;&gt;1,COUNT($O11)&lt;&gt;1),0,
IF($O7-$O11&lt;0,
IF($O7-$O11&gt;=$Z$53,$AA$53,
IF($O7-$O11&gt;=$Z$54,$AA$54,
IF($O7-$O11&gt;=$Z$55,$AA$55,$AA$56))),
IF($O7=$O11,1,
IF($O7-$O11&lt;=$AC$53,$AD$53,
IF($O7-$O11&lt;=$AC$54,$AD$54,
IF($O7-$O11&lt;=$AC$55,$AD$55,$AD$56))))))</f>
        <v>0.33333333333333331</v>
      </c>
      <c r="AH7" s="61">
        <f>IF(OR(COUNT($O7)&lt;&gt;1,COUNT($O12)&lt;&gt;1),0,
IF($O7-$O12&lt;0,
IF($O7-$O12&gt;=$Z$53,$AA$53,
IF($O7-$O12&gt;=$Z$54,$AA$54,
IF($O7-$O12&gt;=$Z$55,$AA$55,$AA$56))),
IF($O7=$O12,1,
IF($O7-$O12&lt;=$AC$53,$AD$53,
IF($O7-$O12&lt;=$AC$54,$AD$54,
IF($O7-$O12&lt;=$AC$55,$AD$55,$AD$56))))))</f>
        <v>0.33333333333333331</v>
      </c>
      <c r="AI7" s="62">
        <f>IF(OR(COUNT($O7)&lt;&gt;1,COUNT($O13)&lt;&gt;1),0,
IF($O7-$O13&lt;0,
IF($O7-$O13&gt;=$Z$53,$AA$53,
IF($O7-$O13&gt;=$Z$54,$AA$54,
IF($O7-$O13&gt;=$Z$55,$AA$55,$AA$56))),
IF($O7=$O13,1,
IF($O7-$O13&lt;=$AC$53,$AD$53,
IF($O7-$O13&lt;=$AC$54,$AD$54,
IF($O7-$O13&lt;=$AC$55,$AD$55,$AD$56))))))</f>
        <v>0.33333333333333331</v>
      </c>
      <c r="AJ7"/>
      <c r="AK7" s="56"/>
      <c r="AL7" s="327" t="str">
        <f t="shared" ref="AL7:AL11" si="9">AA7</f>
        <v>Customer equipment usage</v>
      </c>
      <c r="AM7" s="143">
        <f t="shared" si="1"/>
        <v>0.02</v>
      </c>
      <c r="AN7" s="141">
        <f t="shared" si="1"/>
        <v>5.1724137931034489E-2</v>
      </c>
      <c r="AO7" s="141">
        <f t="shared" si="1"/>
        <v>0.13636363636363635</v>
      </c>
      <c r="AP7" s="141">
        <f t="shared" si="1"/>
        <v>2.9411764705882349E-2</v>
      </c>
      <c r="AQ7" s="141">
        <f t="shared" si="1"/>
        <v>2.3809523809523808E-2</v>
      </c>
      <c r="AR7" s="141">
        <f t="shared" si="1"/>
        <v>3.8461538461538464E-2</v>
      </c>
      <c r="AS7" s="141">
        <f t="shared" si="2"/>
        <v>9.9999999999999992E-2</v>
      </c>
      <c r="AT7" s="144">
        <f t="shared" si="2"/>
        <v>5.5555555555555552E-2</v>
      </c>
      <c r="AU7" s="104">
        <f t="shared" ref="AU7:AU13" si="10">SUM(AM7:AT7)</f>
        <v>0.45532615682717104</v>
      </c>
      <c r="AV7" s="104">
        <f t="shared" si="3"/>
        <v>5.6915769603396379E-2</v>
      </c>
      <c r="AW7" s="105">
        <f t="shared" ref="AW7:AW13" si="11">MMULT(AB7:AI7,$AV$6:$AV$13)</f>
        <v>0.48125528216806102</v>
      </c>
      <c r="AX7" s="99">
        <f t="shared" ref="AX7:AX11" si="12">AW7/AV7</f>
        <v>8.4555701437680764</v>
      </c>
      <c r="AY7" s="106"/>
      <c r="AZ7" s="99"/>
      <c r="BA7" s="99"/>
      <c r="BB7" s="99"/>
      <c r="BC7" s="99"/>
      <c r="BD7" s="100">
        <f t="shared" ref="BD7:BD11" si="13">AV7/(1/$AZ$14)</f>
        <v>0.45532615682717104</v>
      </c>
      <c r="BE7" s="51">
        <f t="shared" si="4"/>
        <v>1.973080012917741</v>
      </c>
      <c r="BG7" s="398"/>
      <c r="BH7" s="101" t="str">
        <f t="shared" ref="BH7:BH13" si="14">AA7</f>
        <v>Customer equipment usage</v>
      </c>
      <c r="BI7" s="100">
        <f t="shared" si="5"/>
        <v>0.45532615682717104</v>
      </c>
      <c r="BJ7" s="51">
        <f t="shared" si="6"/>
        <v>1.973080012917741</v>
      </c>
    </row>
    <row r="8" spans="2:62" s="7" customFormat="1" ht="20.100000000000001" customHeight="1" thickTop="1" thickBot="1" x14ac:dyDescent="0.3">
      <c r="B8" s="392"/>
      <c r="C8" s="170">
        <f>'Influencing Factors'!C8</f>
        <v>3</v>
      </c>
      <c r="D8" s="191" t="str">
        <f>'Influencing Factors'!D8</f>
        <v>KPI specifications</v>
      </c>
      <c r="E8" s="171">
        <f>'Influencing Factors'!E8</f>
        <v>3</v>
      </c>
      <c r="F8" s="171">
        <f>'Influencing Factors'!F8</f>
        <v>4</v>
      </c>
      <c r="G8" s="171">
        <f>'Influencing Factors'!G8</f>
        <v>4</v>
      </c>
      <c r="H8" s="171">
        <f>'Influencing Factors'!H8</f>
        <v>4</v>
      </c>
      <c r="I8" s="171">
        <f>'Influencing Factors'!I8</f>
        <v>5</v>
      </c>
      <c r="J8" s="171">
        <f>'Influencing Factors'!J8</f>
        <v>4</v>
      </c>
      <c r="K8" s="171">
        <f>'Influencing Factors'!K8</f>
        <v>7</v>
      </c>
      <c r="L8" s="171">
        <f>'Influencing Factors'!L8</f>
        <v>4</v>
      </c>
      <c r="M8" s="171">
        <f>'Influencing Factors'!M8</f>
        <v>2</v>
      </c>
      <c r="N8"/>
      <c r="O8" s="18">
        <f>'Influencing Factors'!O8</f>
        <v>4.1111111111111107</v>
      </c>
      <c r="P8" s="173"/>
      <c r="Q8" s="20">
        <f>'Influencing Factors'!Q8</f>
        <v>5</v>
      </c>
      <c r="R8" s="173"/>
      <c r="S8" s="179">
        <f>'Influencing Factors'!S8</f>
        <v>-0.88888888888888928</v>
      </c>
      <c r="X8" s="56"/>
      <c r="Y8" s="398"/>
      <c r="Z8" s="222">
        <f t="shared" si="7"/>
        <v>3</v>
      </c>
      <c r="AA8" s="101" t="str">
        <f t="shared" si="8"/>
        <v>KPI specifications</v>
      </c>
      <c r="AB8" s="60">
        <f>IF(ISERROR(1/$AD6),0,IF(OR(COUNT($O6)&lt;&gt;1,COUNT($O14)&lt;&gt;1),"",1/$AD6))</f>
        <v>0.33333333333333331</v>
      </c>
      <c r="AC8" s="61">
        <f>IF(ISERROR(1/$AD7),0,IF(OR(COUNT($O7)&lt;&gt;1,COUNT($O8)&lt;&gt;1),"",1/$AD7))</f>
        <v>0.33333333333333331</v>
      </c>
      <c r="AD8" s="225">
        <v>1</v>
      </c>
      <c r="AE8" s="61">
        <f>IF(OR(COUNT($O8)&lt;&gt;1,COUNT($O9)&lt;&gt;1),0,
IF($O8-$O9&lt;0,
IF($O8-$O9&gt;=$Z$53,$AA$53,
IF($O8-$O9&gt;=$Z$54,$AA$54,
IF($O8-$O9&gt;=$Z$55,$AA$55,$AA$56))),
IF($O8=$O9,1,
IF($O8-$O9&lt;=$AC$53,$AD$53,
IF($O8-$O9&lt;=$AC$54,$AD$54,
IF($O8-$O9&lt;=$AC$55,$AD$55,$AD$56))))))</f>
        <v>0.33333333333333331</v>
      </c>
      <c r="AF8" s="61">
        <f>IF(OR(COUNT($O8)&lt;&gt;1,COUNT($O10)&lt;&gt;1),0,
IF($O8-$O10&lt;0,
IF($O8-$O10&gt;=$Z$53,$AA$53,
IF($O8-$O10&gt;=$Z$54,$AA$54,
IF($O8-$O10&gt;=$Z$55,$AA$55,$AA$56))),
IF($O8=$O10,1,
IF($O8-$O10&lt;=$AC$53,$AD$53,
IF($O8-$O10&lt;=$AC$54,$AD$54,
IF($O8-$O10&lt;=$AC$55,$AD$55,$AD$56))))))</f>
        <v>0.33333333333333331</v>
      </c>
      <c r="AG8" s="61">
        <f>IF(OR(COUNT($O8)&lt;&gt;1,COUNT($O11)&lt;&gt;1),0,
IF($O8-$O11&lt;0,
IF($O8-$O11&gt;=$Z$53,$AA$53,
IF($O8-$O11&gt;=$Z$54,$AA$54,
IF($O8-$O11&gt;=$Z$55,$AA$55,$AA$56))),
IF($O8=$O11,1,
IF($O8-$O11&lt;=$AC$53,$AD$53,
IF($O8-$O11&lt;=$AC$54,$AD$54,
IF($O8-$O11&lt;=$AC$55,$AD$55,$AD$56))))))</f>
        <v>0.33333333333333331</v>
      </c>
      <c r="AH8" s="61">
        <f>IF(OR(COUNT($O8)&lt;&gt;1,COUNT($O12)&lt;&gt;1),0,
IF($O8-$O12&lt;0,
IF($O8-$O12&gt;=$Z$53,$AA$53,
IF($O8-$O12&gt;=$Z$54,$AA$54,
IF($O8-$O12&gt;=$Z$55,$AA$55,$AA$56))),
IF($O8=$O12,1,
IF($O8-$O12&lt;=$AC$53,$AD$53,
IF($O8-$O12&lt;=$AC$54,$AD$54,
IF($O8-$O12&lt;=$AC$55,$AD$55,$AD$56))))))</f>
        <v>0.33333333333333331</v>
      </c>
      <c r="AI8" s="62">
        <f>IF(OR(COUNT($O8)&lt;&gt;1,COUNT($O13)&lt;&gt;1),0,
IF($O8-$O13&lt;0,
IF($O8-$O13&gt;=$Z$53,$AA$53,
IF($O8-$O13&gt;=$Z$54,$AA$54,
IF($O8-$O13&gt;=$Z$55,$AA$55,$AA$56))),
IF($O8=$O13,1,
IF($O8-$O13&lt;=$AC$53,$AD$53,
IF($O8-$O13&lt;=$AC$54,$AD$54,
IF($O8-$O13&lt;=$AC$55,$AD$55,$AD$56))))))</f>
        <v>0.33333333333333331</v>
      </c>
      <c r="AJ8"/>
      <c r="AK8" s="56"/>
      <c r="AL8" s="327" t="str">
        <f t="shared" si="9"/>
        <v>KPI specifications</v>
      </c>
      <c r="AM8" s="143">
        <f t="shared" si="1"/>
        <v>0.02</v>
      </c>
      <c r="AN8" s="141">
        <f t="shared" si="1"/>
        <v>1.7241379310344827E-2</v>
      </c>
      <c r="AO8" s="141">
        <f t="shared" si="1"/>
        <v>4.5454545454545456E-2</v>
      </c>
      <c r="AP8" s="141">
        <f t="shared" si="1"/>
        <v>2.9411764705882349E-2</v>
      </c>
      <c r="AQ8" s="141">
        <f t="shared" si="1"/>
        <v>2.3809523809523808E-2</v>
      </c>
      <c r="AR8" s="141">
        <f t="shared" si="1"/>
        <v>3.8461538461538464E-2</v>
      </c>
      <c r="AS8" s="141">
        <f t="shared" si="2"/>
        <v>9.9999999999999992E-2</v>
      </c>
      <c r="AT8" s="144">
        <f t="shared" si="2"/>
        <v>5.5555555555555552E-2</v>
      </c>
      <c r="AU8" s="104">
        <f t="shared" si="10"/>
        <v>0.32993430729739048</v>
      </c>
      <c r="AV8" s="104">
        <f t="shared" si="3"/>
        <v>4.124178841217381E-2</v>
      </c>
      <c r="AW8" s="105">
        <f t="shared" si="11"/>
        <v>0.3608278589414492</v>
      </c>
      <c r="AX8" s="99">
        <f t="shared" si="12"/>
        <v>8.749083704501512</v>
      </c>
      <c r="AY8" s="328"/>
      <c r="AZ8" s="329"/>
      <c r="BA8" s="329"/>
      <c r="BB8" s="329"/>
      <c r="BC8" s="329"/>
      <c r="BD8" s="330">
        <f t="shared" si="13"/>
        <v>0.32993430729739048</v>
      </c>
      <c r="BE8" s="51">
        <f t="shared" si="4"/>
        <v>1.3563965966670497</v>
      </c>
      <c r="BG8" s="398"/>
      <c r="BH8" s="101" t="str">
        <f t="shared" si="14"/>
        <v>KPI specifications</v>
      </c>
      <c r="BI8" s="330">
        <f t="shared" si="5"/>
        <v>0.32993430729739048</v>
      </c>
      <c r="BJ8" s="51">
        <f t="shared" si="6"/>
        <v>1.3563965966670497</v>
      </c>
    </row>
    <row r="9" spans="2:62" s="7" customFormat="1" ht="20.100000000000001" customHeight="1" thickTop="1" thickBot="1" x14ac:dyDescent="0.3">
      <c r="B9" s="392"/>
      <c r="C9" s="170">
        <f>'Influencing Factors'!C9</f>
        <v>4</v>
      </c>
      <c r="D9" s="190" t="str">
        <f>'Influencing Factors'!D9</f>
        <v>Stability of requirements</v>
      </c>
      <c r="E9" s="13">
        <f>'Influencing Factors'!E9</f>
        <v>4</v>
      </c>
      <c r="F9" s="13">
        <f>'Influencing Factors'!F9</f>
        <v>5</v>
      </c>
      <c r="G9" s="13">
        <f>'Influencing Factors'!G9</f>
        <v>6</v>
      </c>
      <c r="H9" s="13">
        <f>'Influencing Factors'!H9</f>
        <v>4</v>
      </c>
      <c r="I9" s="13">
        <f>'Influencing Factors'!I9</f>
        <v>5</v>
      </c>
      <c r="J9" s="13">
        <f>'Influencing Factors'!J9</f>
        <v>5</v>
      </c>
      <c r="K9" s="13">
        <f>'Influencing Factors'!K9</f>
        <v>5</v>
      </c>
      <c r="L9" s="13">
        <f>'Influencing Factors'!L9</f>
        <v>4</v>
      </c>
      <c r="M9" s="13">
        <f>'Influencing Factors'!M9</f>
        <v>7</v>
      </c>
      <c r="N9"/>
      <c r="O9" s="18">
        <f>'Influencing Factors'!O9</f>
        <v>5</v>
      </c>
      <c r="P9" s="173"/>
      <c r="Q9" s="20">
        <f>'Influencing Factors'!Q9</f>
        <v>3</v>
      </c>
      <c r="R9" s="173"/>
      <c r="S9" s="179">
        <f>'Influencing Factors'!S9</f>
        <v>2</v>
      </c>
      <c r="X9" s="56"/>
      <c r="Y9" s="398"/>
      <c r="Z9" s="222">
        <f t="shared" si="7"/>
        <v>4</v>
      </c>
      <c r="AA9" s="101" t="str">
        <f t="shared" si="8"/>
        <v>Stability of requirements</v>
      </c>
      <c r="AB9" s="60">
        <f>IF(ISERROR(1/$AE6),0,IF(OR(COUNT($O6)&lt;&gt;1,COUNT($O9)&lt;&gt;1),"",1/$AE6))</f>
        <v>3</v>
      </c>
      <c r="AC9" s="61">
        <f>IF(ISERROR(1/$AE7),0,IF(OR(COUNT($O7)&lt;&gt;1,COUNT($O9)&lt;&gt;1),"",1/$AE7))</f>
        <v>3</v>
      </c>
      <c r="AD9" s="61">
        <f>IF(ISERROR(1/$AE8),0,IF(OR(COUNT($O8)&lt;&gt;1,COUNT($O9)&lt;&gt;1),"",1/$AE8))</f>
        <v>3</v>
      </c>
      <c r="AE9" s="225">
        <v>1</v>
      </c>
      <c r="AF9" s="61">
        <f>IF(OR(COUNT($O9)&lt;&gt;1,COUNT($O10)&lt;&gt;1),0,
IF($O9-$O10&lt;0,
IF($O9-$O10&gt;=$Z$53,$AA$53,
IF($O9-$O10&gt;=$Z$54,$AA$54,
IF($O9-$O10&gt;=$Z$55,$AA$55,$AA$56))),
IF($O9=$O10,1,
IF($O9-$O10&lt;=$AC$53,$AD$53,
IF($O9-$O10&lt;=$AC$54,$AD$54,
IF($O9-$O10&lt;=$AC$55,$AD$55,$AD$56))))))</f>
        <v>3</v>
      </c>
      <c r="AG9" s="61">
        <f>IF(OR(COUNT($O9)&lt;&gt;1,COUNT($O11)&lt;&gt;1),0,
IF($O9-$O11&lt;0,
IF($O9-$O11&gt;=$Z$53,$AA$53,
IF($O9-$O11&gt;=$Z$54,$AA$54,
IF($O9-$O11&gt;=$Z$55,$AA$55,$AA$56))),
IF($O9=$O11,1,
IF($O9-$O11&lt;=$AC$53,$AD$53,
IF($O9-$O11&lt;=$AC$54,$AD$54,
IF($O9-$O11&lt;=$AC$55,$AD$55,$AD$56))))))</f>
        <v>0.33333333333333331</v>
      </c>
      <c r="AH9" s="61">
        <f>IF(OR(COUNT($O9)&lt;&gt;1,COUNT($O12)&lt;&gt;1),0,
IF($O9-$O12&lt;0,
IF($O9-$O12&gt;=$Z$53,$AA$53,
IF($O9-$O12&gt;=$Z$54,$AA$54,
IF($O9-$O12&gt;=$Z$55,$AA$55,$AA$56))),
IF($O9=$O12,1,
IF($O9-$O12&lt;=$AC$53,$AD$53,
IF($O9-$O12&lt;=$AC$54,$AD$54,
IF($O9-$O12&lt;=$AC$55,$AD$55,$AD$56))))))</f>
        <v>0.33333333333333331</v>
      </c>
      <c r="AI9" s="62">
        <f>IF(OR(COUNT($O9)&lt;&gt;1,COUNT($O13)&lt;&gt;1),0,
IF($O9-$O13&lt;0,
IF($O9-$O13&gt;=$Z$53,$AA$53,
IF($O9-$O13&gt;=$Z$54,$AA$54,
IF($O9-$O13&gt;=$Z$55,$AA$55,$AA$56))),
IF($O9=$O13,1,
IF($O9-$O13&lt;=$AC$53,$AD$53,
IF($O9-$O13&lt;=$AC$54,$AD$54,
IF($O9-$O13&lt;=$AC$55,$AD$55,$AD$56))))))</f>
        <v>0.33333333333333331</v>
      </c>
      <c r="AJ9"/>
      <c r="AK9" s="56"/>
      <c r="AL9" s="327" t="str">
        <f t="shared" si="9"/>
        <v>Stability of requirements</v>
      </c>
      <c r="AM9" s="143">
        <f t="shared" si="1"/>
        <v>0.18000000000000002</v>
      </c>
      <c r="AN9" s="141">
        <f t="shared" si="1"/>
        <v>0.15517241379310345</v>
      </c>
      <c r="AO9" s="141">
        <f t="shared" si="1"/>
        <v>0.13636363636363635</v>
      </c>
      <c r="AP9" s="141">
        <f t="shared" si="1"/>
        <v>8.8235294117647051E-2</v>
      </c>
      <c r="AQ9" s="141">
        <f t="shared" si="1"/>
        <v>0.21428571428571427</v>
      </c>
      <c r="AR9" s="141">
        <f t="shared" si="1"/>
        <v>3.8461538461538464E-2</v>
      </c>
      <c r="AS9" s="141">
        <f t="shared" si="2"/>
        <v>9.9999999999999992E-2</v>
      </c>
      <c r="AT9" s="144">
        <f>AI9/AI$14</f>
        <v>5.5555555555555552E-2</v>
      </c>
      <c r="AU9" s="104">
        <f t="shared" si="10"/>
        <v>0.9680741525771952</v>
      </c>
      <c r="AV9" s="104">
        <f t="shared" si="3"/>
        <v>0.1210092690721494</v>
      </c>
      <c r="AW9" s="105">
        <f t="shared" si="11"/>
        <v>1.1308156384221293</v>
      </c>
      <c r="AX9" s="99">
        <f t="shared" si="12"/>
        <v>9.344867935264551</v>
      </c>
      <c r="AY9" s="328"/>
      <c r="AZ9" s="329"/>
      <c r="BA9" s="329"/>
      <c r="BB9" s="329"/>
      <c r="BC9" s="329"/>
      <c r="BD9" s="330">
        <f t="shared" si="13"/>
        <v>0.9680741525771952</v>
      </c>
      <c r="BE9" s="51">
        <f t="shared" si="4"/>
        <v>4.8403707628859758</v>
      </c>
      <c r="BG9" s="398"/>
      <c r="BH9" s="101" t="str">
        <f t="shared" si="14"/>
        <v>Stability of requirements</v>
      </c>
      <c r="BI9" s="330">
        <f t="shared" si="5"/>
        <v>0.9680741525771952</v>
      </c>
      <c r="BJ9" s="51">
        <f t="shared" si="6"/>
        <v>4.8403707628859758</v>
      </c>
    </row>
    <row r="10" spans="2:62" s="7" customFormat="1" ht="20.100000000000001" customHeight="1" thickTop="1" thickBot="1" x14ac:dyDescent="0.3">
      <c r="B10" s="392"/>
      <c r="C10" s="170">
        <f>'Influencing Factors'!C10</f>
        <v>5</v>
      </c>
      <c r="D10" s="192" t="str">
        <f>'Influencing Factors'!D10</f>
        <v>Primary contractor relationship with customer</v>
      </c>
      <c r="E10" s="171">
        <f>'Influencing Factors'!E10</f>
        <v>3</v>
      </c>
      <c r="F10" s="171">
        <f>'Influencing Factors'!F10</f>
        <v>4</v>
      </c>
      <c r="G10" s="171">
        <f>'Influencing Factors'!G10</f>
        <v>6</v>
      </c>
      <c r="H10" s="171">
        <f>'Influencing Factors'!H10</f>
        <v>5</v>
      </c>
      <c r="I10" s="171">
        <f>'Influencing Factors'!I10</f>
        <v>5</v>
      </c>
      <c r="J10" s="171">
        <f>'Influencing Factors'!J10</f>
        <v>5</v>
      </c>
      <c r="K10" s="171">
        <f>'Influencing Factors'!K10</f>
        <v>6</v>
      </c>
      <c r="L10" s="171">
        <f>'Influencing Factors'!L10</f>
        <v>6</v>
      </c>
      <c r="M10" s="171">
        <f>'Influencing Factors'!M10</f>
        <v>4</v>
      </c>
      <c r="N10"/>
      <c r="O10" s="18">
        <f>'Influencing Factors'!O10</f>
        <v>4.8888888888888893</v>
      </c>
      <c r="P10" s="173"/>
      <c r="Q10" s="20">
        <f>'Influencing Factors'!Q10</f>
        <v>3</v>
      </c>
      <c r="R10" s="173"/>
      <c r="S10" s="179">
        <f>'Influencing Factors'!S10</f>
        <v>1.8888888888888893</v>
      </c>
      <c r="X10" s="56"/>
      <c r="Y10" s="398"/>
      <c r="Z10" s="222">
        <f t="shared" si="7"/>
        <v>5</v>
      </c>
      <c r="AA10" s="101" t="str">
        <f t="shared" si="8"/>
        <v>Primary contractor relationship with customer</v>
      </c>
      <c r="AB10" s="60">
        <f>IF(ISERROR(1/$AF6),0,IF(OR(COUNT($O6)&lt;&gt;1,COUNT($O10)&lt;&gt;1),"",1/$AF6))</f>
        <v>3</v>
      </c>
      <c r="AC10" s="61">
        <f>IF(ISERROR(1/$AF7),0,IF(OR(COUNT($O7)&lt;&gt;1,COUNT($O10)&lt;&gt;1),"",1/$AF7))</f>
        <v>3</v>
      </c>
      <c r="AD10" s="61">
        <f>IF(ISERROR(1/$AF8),0,IF(OR(COUNT($O8)&lt;&gt;1,COUNT($O10)&lt;&gt;1),"",1/$AF8))</f>
        <v>3</v>
      </c>
      <c r="AE10" s="61">
        <f>IF(ISERROR(1/$AF9),0,IF(OR(COUNT($O9)&lt;&gt;1,COUNT($O10)&lt;&gt;1),"",1/$AF9))</f>
        <v>0.33333333333333331</v>
      </c>
      <c r="AF10" s="225">
        <v>1</v>
      </c>
      <c r="AG10" s="61">
        <f>IF(OR(COUNT($O10)&lt;&gt;1,COUNT($O11)&lt;&gt;1),0,
IF($O10-$O11&lt;0,
IF($O10-$O11&gt;=$Z$53,$AA$53,
IF($O10-$O11&gt;=$Z$54,$AA$54,
IF($O10-$O11&gt;=$Z$55,$AA$55,$AA$56))),
IF($O10=$O11,1,
IF($O10-$O11&lt;=$AC$53,$AD$53,
IF($O10-$O11&lt;=$AC$54,$AD$54,
IF($O10-$O11&lt;=$AC$55,$AD$55,$AD$56))))))</f>
        <v>0.33333333333333331</v>
      </c>
      <c r="AH10" s="61">
        <f>IF(OR(COUNT($O10)&lt;&gt;1,COUNT($O12)&lt;&gt;1),0,
IF($O10-$O12&lt;0,
IF($O10-$O12&gt;=$Z$53,$AA$53,
IF($O10-$O12&gt;=$Z$54,$AA$54,
IF($O10-$O12&gt;=$Z$55,$AA$55,$AA$56))),
IF($O10=$O12,1,
IF($O10-$O12&lt;=$AC$53,$AD$53,
IF($O10-$O12&lt;=$AC$54,$AD$54,
IF($O10-$O12&lt;=$AC$55,$AD$55,$AD$56))))))</f>
        <v>0.33333333333333331</v>
      </c>
      <c r="AI10" s="62">
        <f>IF(OR(COUNT($O10)&lt;&gt;1,COUNT($O13)&lt;&gt;1),0,
IF($O10-$O13&lt;0,
IF($O10-$O13&gt;=$Z$53,$AA$53,
IF($O10-$O13&gt;=$Z$54,$AA$54,
IF($O10-$O13&gt;=$Z$55,$AA$55,$AA$56))),
IF($O10=$O13,1,
IF($O10-$O13&lt;=$AC$53,$AD$53,
IF($O10-$O13&lt;=$AC$54,$AD$54,
IF($O10-$O13&lt;=$AC$55,$AD$55,$AD$56))))))</f>
        <v>0.33333333333333331</v>
      </c>
      <c r="AJ10"/>
      <c r="AK10" s="56"/>
      <c r="AL10" s="327" t="str">
        <f t="shared" si="9"/>
        <v>Primary contractor relationship with customer</v>
      </c>
      <c r="AM10" s="143">
        <f t="shared" si="1"/>
        <v>0.18000000000000002</v>
      </c>
      <c r="AN10" s="141">
        <f t="shared" si="1"/>
        <v>0.15517241379310345</v>
      </c>
      <c r="AO10" s="141">
        <f t="shared" si="1"/>
        <v>0.13636363636363635</v>
      </c>
      <c r="AP10" s="141">
        <f t="shared" si="1"/>
        <v>2.9411764705882349E-2</v>
      </c>
      <c r="AQ10" s="141">
        <f t="shared" si="1"/>
        <v>7.1428571428571425E-2</v>
      </c>
      <c r="AR10" s="141">
        <f t="shared" si="1"/>
        <v>3.8461538461538464E-2</v>
      </c>
      <c r="AS10" s="141">
        <f t="shared" si="2"/>
        <v>9.9999999999999992E-2</v>
      </c>
      <c r="AT10" s="144">
        <f t="shared" si="2"/>
        <v>5.5555555555555552E-2</v>
      </c>
      <c r="AU10" s="104">
        <f t="shared" si="10"/>
        <v>0.76639348030828758</v>
      </c>
      <c r="AV10" s="104">
        <f t="shared" si="3"/>
        <v>9.5799185038535947E-2</v>
      </c>
      <c r="AW10" s="105">
        <f t="shared" si="11"/>
        <v>0.85854442229695771</v>
      </c>
      <c r="AX10" s="99">
        <f t="shared" si="12"/>
        <v>8.961917807041905</v>
      </c>
      <c r="AY10" s="328"/>
      <c r="AZ10" s="329"/>
      <c r="BA10" s="329"/>
      <c r="BB10" s="329"/>
      <c r="BC10" s="329"/>
      <c r="BD10" s="330">
        <f t="shared" si="13"/>
        <v>0.76639348030828758</v>
      </c>
      <c r="BE10" s="51">
        <f t="shared" si="4"/>
        <v>3.7468125703960729</v>
      </c>
      <c r="BG10" s="398"/>
      <c r="BH10" s="101" t="str">
        <f t="shared" si="14"/>
        <v>Primary contractor relationship with customer</v>
      </c>
      <c r="BI10" s="330">
        <f t="shared" si="5"/>
        <v>0.76639348030828758</v>
      </c>
      <c r="BJ10" s="51">
        <f t="shared" si="6"/>
        <v>3.7468125703960729</v>
      </c>
    </row>
    <row r="11" spans="2:62" s="7" customFormat="1" ht="20.100000000000001" customHeight="1" thickTop="1" thickBot="1" x14ac:dyDescent="0.3">
      <c r="B11" s="393"/>
      <c r="C11" s="170">
        <f>'Influencing Factors'!C11</f>
        <v>6</v>
      </c>
      <c r="D11" s="193" t="str">
        <f>'Influencing Factors'!D11</f>
        <v>Primary contractor relationship with OEM</v>
      </c>
      <c r="E11" s="13">
        <f>'Influencing Factors'!E11</f>
        <v>4</v>
      </c>
      <c r="F11" s="13">
        <f>'Influencing Factors'!F11</f>
        <v>5</v>
      </c>
      <c r="G11" s="13">
        <f>'Influencing Factors'!G11</f>
        <v>4</v>
      </c>
      <c r="H11" s="13">
        <f>'Influencing Factors'!H11</f>
        <v>5</v>
      </c>
      <c r="I11" s="13">
        <f>'Influencing Factors'!I11</f>
        <v>6</v>
      </c>
      <c r="J11" s="13">
        <f>'Influencing Factors'!J11</f>
        <v>6</v>
      </c>
      <c r="K11" s="13">
        <f>'Influencing Factors'!K11</f>
        <v>6</v>
      </c>
      <c r="L11" s="13">
        <f>'Influencing Factors'!L11</f>
        <v>6</v>
      </c>
      <c r="M11" s="13">
        <f>'Influencing Factors'!M11</f>
        <v>4</v>
      </c>
      <c r="N11"/>
      <c r="O11" s="23">
        <f>'Influencing Factors'!O11</f>
        <v>5.1111111111111107</v>
      </c>
      <c r="P11" s="174"/>
      <c r="Q11" s="20">
        <f>'Influencing Factors'!Q11</f>
        <v>2</v>
      </c>
      <c r="R11" s="174"/>
      <c r="S11" s="180">
        <f>'Influencing Factors'!S11</f>
        <v>3.1111111111111107</v>
      </c>
      <c r="X11" s="56"/>
      <c r="Y11" s="398"/>
      <c r="Z11" s="222">
        <f t="shared" si="7"/>
        <v>6</v>
      </c>
      <c r="AA11" s="101" t="str">
        <f t="shared" si="8"/>
        <v>Primary contractor relationship with OEM</v>
      </c>
      <c r="AB11" s="60">
        <f>IF(ISERROR(1/$AG6),0,IF(OR(COUNT($O6)&lt;&gt;1,COUNT($O11)&lt;&gt;1),"",1/$AG6))</f>
        <v>3</v>
      </c>
      <c r="AC11" s="61">
        <f>IF(ISERROR(1/$AG7),0,IF(OR(COUNT($O7)&lt;&gt;1,COUNT($O11)&lt;&gt;1),"",1/$AG7))</f>
        <v>3</v>
      </c>
      <c r="AD11" s="61">
        <f>IF(ISERROR(1/$AG8),0,IF(OR(COUNT($O8)&lt;&gt;1,COUNT($O11)&lt;&gt;1),"",1/$AG8))</f>
        <v>3</v>
      </c>
      <c r="AE11" s="61">
        <f>IF(ISERROR(1/$AG9),0,IF(OR(COUNT($O9)&lt;&gt;1,COUNT($O11)&lt;&gt;1),"",1/$AG9))</f>
        <v>3</v>
      </c>
      <c r="AF11" s="61">
        <f>IF(ISERROR(1/$AG10),0,IF(OR(COUNT($O10)&lt;&gt;1,COUNT($O11)&lt;&gt;1),"",1/$AG10))</f>
        <v>3</v>
      </c>
      <c r="AG11" s="225">
        <v>1</v>
      </c>
      <c r="AH11" s="61">
        <f>IF(OR(COUNT($O11)&lt;&gt;1,COUNT($O12)&lt;&gt;1),0,
IF($O11-$O12&lt;0,
IF($O11-$O12&gt;=$Z$53,$AA$53,
IF($O11-$O12&gt;=$Z$54,$AA$54,
IF($O11-$O12&gt;=$Z$55,$AA$55,$AA$56))),
IF($O11=$O12,1,
IF($O11-$O12&lt;=$AC$53,$AD$53,
IF($O11-$O12&lt;=$AC$54,$AD$54,
IF($O11-$O12&lt;=$AC$55,$AD$55,$AD$56))))))</f>
        <v>0.33333333333333331</v>
      </c>
      <c r="AI11" s="62">
        <f>IF(OR(COUNT($O11)&lt;&gt;1,COUNT($O13)&lt;&gt;1),0,
IF($O11-$O13&lt;0,
IF($O11-$O13&gt;=$Z$53,$AA$53,
IF($O11-$O13&gt;=$Z$54,$AA$54,
IF($O11-$O13&gt;=$Z$55,$AA$55,$AA$56))),
IF($O11=$O13,1,
IF($O11-$O13&lt;=$AC$53,$AD$53,
IF($O11-$O13&lt;=$AC$54,$AD$54,
IF($O11-$O13&lt;=$AC$55,$AD$55,$AD$56))))))</f>
        <v>0.33333333333333331</v>
      </c>
      <c r="AJ11"/>
      <c r="AK11" s="56"/>
      <c r="AL11" s="327" t="str">
        <f t="shared" si="9"/>
        <v>Primary contractor relationship with OEM</v>
      </c>
      <c r="AM11" s="143">
        <f t="shared" si="1"/>
        <v>0.18000000000000002</v>
      </c>
      <c r="AN11" s="141">
        <f t="shared" si="1"/>
        <v>0.15517241379310345</v>
      </c>
      <c r="AO11" s="141">
        <f t="shared" si="1"/>
        <v>0.13636363636363635</v>
      </c>
      <c r="AP11" s="141">
        <f t="shared" si="1"/>
        <v>0.26470588235294118</v>
      </c>
      <c r="AQ11" s="141">
        <f t="shared" si="1"/>
        <v>0.21428571428571427</v>
      </c>
      <c r="AR11" s="141">
        <f t="shared" si="1"/>
        <v>0.11538461538461539</v>
      </c>
      <c r="AS11" s="141">
        <f t="shared" si="2"/>
        <v>9.9999999999999992E-2</v>
      </c>
      <c r="AT11" s="144">
        <f t="shared" si="2"/>
        <v>5.5555555555555552E-2</v>
      </c>
      <c r="AU11" s="104">
        <f t="shared" si="10"/>
        <v>1.2214678177355662</v>
      </c>
      <c r="AV11" s="104">
        <f t="shared" si="3"/>
        <v>0.15268347721694578</v>
      </c>
      <c r="AW11" s="105">
        <f t="shared" si="11"/>
        <v>1.4746231613777254</v>
      </c>
      <c r="AX11" s="99">
        <f t="shared" si="12"/>
        <v>9.6580402035411748</v>
      </c>
      <c r="AY11" s="328"/>
      <c r="AZ11" s="329"/>
      <c r="BA11" s="329"/>
      <c r="BB11" s="329"/>
      <c r="BC11" s="329"/>
      <c r="BD11" s="330">
        <f t="shared" si="13"/>
        <v>1.2214678177355662</v>
      </c>
      <c r="BE11" s="51">
        <f t="shared" si="4"/>
        <v>6.2430577350928935</v>
      </c>
      <c r="BG11" s="398"/>
      <c r="BH11" s="101" t="str">
        <f t="shared" si="14"/>
        <v>Primary contractor relationship with OEM</v>
      </c>
      <c r="BI11" s="330">
        <f t="shared" si="5"/>
        <v>1.2214678177355662</v>
      </c>
      <c r="BJ11" s="51">
        <f t="shared" si="6"/>
        <v>6.2430577350928935</v>
      </c>
    </row>
    <row r="12" spans="2:62" s="7" customFormat="1" ht="20.100000000000001" customHeight="1" thickTop="1" thickBot="1" x14ac:dyDescent="0.3">
      <c r="B12" s="393"/>
      <c r="C12" s="170">
        <f>'Influencing Factors'!C12</f>
        <v>7</v>
      </c>
      <c r="D12" s="191" t="str">
        <f>'Influencing Factors'!D12</f>
        <v>Accuracy &amp; availability of technical data (concerning IPR, etc.)</v>
      </c>
      <c r="E12" s="171">
        <f>'Influencing Factors'!E12</f>
        <v>6</v>
      </c>
      <c r="F12" s="171">
        <f>'Influencing Factors'!F12</f>
        <v>7</v>
      </c>
      <c r="G12" s="171">
        <f>'Influencing Factors'!G12</f>
        <v>7</v>
      </c>
      <c r="H12" s="171">
        <f>'Influencing Factors'!H12</f>
        <v>5</v>
      </c>
      <c r="I12" s="171">
        <f>'Influencing Factors'!I12</f>
        <v>7</v>
      </c>
      <c r="J12" s="171">
        <f>'Influencing Factors'!J12</f>
        <v>7</v>
      </c>
      <c r="K12" s="171">
        <f>'Influencing Factors'!K12</f>
        <v>4</v>
      </c>
      <c r="L12" s="171">
        <f>'Influencing Factors'!L12</f>
        <v>6</v>
      </c>
      <c r="M12" s="171">
        <f>'Influencing Factors'!M12</f>
        <v>7</v>
      </c>
      <c r="N12"/>
      <c r="O12" s="23">
        <f>'Influencing Factors'!O12</f>
        <v>6.2222222222222223</v>
      </c>
      <c r="P12" s="174"/>
      <c r="Q12" s="20">
        <f>'Influencing Factors'!Q12</f>
        <v>3</v>
      </c>
      <c r="R12" s="174"/>
      <c r="S12" s="180">
        <f>'Influencing Factors'!S12</f>
        <v>3.2222222222222223</v>
      </c>
      <c r="X12" s="56"/>
      <c r="Y12" s="398"/>
      <c r="Z12" s="222">
        <f t="shared" si="7"/>
        <v>7</v>
      </c>
      <c r="AA12" s="101" t="str">
        <f t="shared" ref="AA12:AA13" si="15">D12</f>
        <v>Accuracy &amp; availability of technical data (concerning IPR, etc.)</v>
      </c>
      <c r="AB12" s="60">
        <f>IF(ISERROR(1/$AG7),0,IF(OR(COUNT($O6)&lt;&gt;1,COUNT($O12)&lt;&gt;1),"",1/$AG7))</f>
        <v>3</v>
      </c>
      <c r="AC12" s="61">
        <f>IF(ISERROR(1/$AG8),0,IF(OR(COUNT($O7)&lt;&gt;1,COUNT($O12)&lt;&gt;1),"",1/$AG8))</f>
        <v>3</v>
      </c>
      <c r="AD12" s="61">
        <f>IF(ISERROR(1/$AG9),0,IF(OR(COUNT($O8)&lt;&gt;1,COUNT($O12)&lt;&gt;1),"",1/$AG9))</f>
        <v>3</v>
      </c>
      <c r="AE12" s="61">
        <f>IF(ISERROR(1/$AH9),0,IF(OR(COUNT($O9)&lt;&gt;1,COUNT($O12)&lt;&gt;1),"",1/$AH9))</f>
        <v>3</v>
      </c>
      <c r="AF12" s="61">
        <f>IF(ISERROR(1/$AH10),0,IF(OR(COUNT($O10)&lt;&gt;1,COUNT($O12)&lt;&gt;1),"",1/$AH10))</f>
        <v>3</v>
      </c>
      <c r="AG12" s="61">
        <f>IF(ISERROR(1/$AH11),0,IF(OR(COUNT($O10)&lt;&gt;1,COUNT($O12)&lt;&gt;1),"",1/$AH11))</f>
        <v>3</v>
      </c>
      <c r="AH12" s="225">
        <v>1</v>
      </c>
      <c r="AI12" s="62">
        <f>IF(OR(COUNT($O12)&lt;&gt;1,COUNT($O13)&lt;&gt;1),0,
IF($O12-$O13&lt;0,
IF($O12-$O13&gt;=$Z$53,$AA$53,
IF($O12-$O13&gt;=$Z$54,$AA$54,
IF($O12-$O13&gt;=$Z$55,$AA$55,$AA$56))),
IF($O12=$O13,1,
IF($O12-$O13&lt;=$AC$53,$AD$53,
IF($O12-$O13&lt;=$AC$54,$AD$54,
IF($O12-$O13&lt;=$AC$55,$AD$55,$AD$56))))))</f>
        <v>3</v>
      </c>
      <c r="AJ12"/>
      <c r="AK12" s="56"/>
      <c r="AL12" s="327" t="str">
        <f t="shared" ref="AL12:AL13" si="16">AA12</f>
        <v>Accuracy &amp; availability of technical data (concerning IPR, etc.)</v>
      </c>
      <c r="AM12" s="143">
        <f>AB12/AB$14</f>
        <v>0.18000000000000002</v>
      </c>
      <c r="AN12" s="141">
        <f t="shared" ref="AN12:AN13" si="17">AC12/AC$14</f>
        <v>0.15517241379310345</v>
      </c>
      <c r="AO12" s="141">
        <f t="shared" ref="AO12:AO13" si="18">AD12/AD$14</f>
        <v>0.13636363636363635</v>
      </c>
      <c r="AP12" s="141">
        <f t="shared" ref="AP12:AP13" si="19">AE12/AE$14</f>
        <v>0.26470588235294118</v>
      </c>
      <c r="AQ12" s="141">
        <f t="shared" ref="AQ12:AQ13" si="20">AF12/AF$14</f>
        <v>0.21428571428571427</v>
      </c>
      <c r="AR12" s="141">
        <f t="shared" ref="AR12:AR13" si="21">AG12/AG$14</f>
        <v>0.3461538461538462</v>
      </c>
      <c r="AS12" s="141">
        <f t="shared" si="2"/>
        <v>0.3</v>
      </c>
      <c r="AT12" s="144">
        <f t="shared" si="2"/>
        <v>0.5</v>
      </c>
      <c r="AU12" s="104">
        <f t="shared" si="10"/>
        <v>2.0966814929492417</v>
      </c>
      <c r="AV12" s="104">
        <f t="shared" si="3"/>
        <v>0.26208518661865521</v>
      </c>
      <c r="AW12" s="105">
        <f t="shared" si="11"/>
        <v>2.4758296267626898</v>
      </c>
      <c r="AX12" s="99">
        <f t="shared" ref="AX12" si="22">AW12/AV12</f>
        <v>9.4466599150646555</v>
      </c>
      <c r="AY12" s="328"/>
      <c r="AZ12" s="329"/>
      <c r="BA12" s="329"/>
      <c r="BB12" s="329"/>
      <c r="BC12" s="329"/>
      <c r="BD12" s="330">
        <f t="shared" ref="BD12:BD13" si="23">AV12/(1/$AZ$14)</f>
        <v>2.0966814929492417</v>
      </c>
      <c r="BE12" s="51">
        <f t="shared" si="4"/>
        <v>13.046018178350836</v>
      </c>
      <c r="BG12" s="398"/>
      <c r="BH12" s="346" t="str">
        <f t="shared" si="14"/>
        <v>Accuracy &amp; availability of technical data (concerning IPR, etc.)</v>
      </c>
      <c r="BI12" s="330">
        <f t="shared" si="5"/>
        <v>2.0966814929492417</v>
      </c>
      <c r="BJ12" s="51">
        <f t="shared" si="6"/>
        <v>13.046018178350836</v>
      </c>
    </row>
    <row r="13" spans="2:62" s="7" customFormat="1" ht="20.100000000000001" customHeight="1" thickTop="1" thickBot="1" x14ac:dyDescent="0.3">
      <c r="B13" s="393"/>
      <c r="C13" s="170">
        <f>'Influencing Factors'!C13</f>
        <v>8</v>
      </c>
      <c r="D13" s="190" t="str">
        <f>'Influencing Factors'!D13</f>
        <v>Communication between shareholders</v>
      </c>
      <c r="E13" s="13">
        <f>'Influencing Factors'!E13</f>
        <v>5</v>
      </c>
      <c r="F13" s="13">
        <f>'Influencing Factors'!F13</f>
        <v>5</v>
      </c>
      <c r="G13" s="13">
        <f>'Influencing Factors'!G13</f>
        <v>6</v>
      </c>
      <c r="H13" s="13">
        <f>'Influencing Factors'!H13</f>
        <v>6</v>
      </c>
      <c r="I13" s="13">
        <f>'Influencing Factors'!I13</f>
        <v>7</v>
      </c>
      <c r="J13" s="13">
        <f>'Influencing Factors'!J13</f>
        <v>5</v>
      </c>
      <c r="K13" s="13">
        <f>'Influencing Factors'!K13</f>
        <v>3</v>
      </c>
      <c r="L13" s="13">
        <f>'Influencing Factors'!L13</f>
        <v>6</v>
      </c>
      <c r="M13" s="13">
        <f>'Influencing Factors'!M13</f>
        <v>7</v>
      </c>
      <c r="N13"/>
      <c r="O13" s="19">
        <f>'Influencing Factors'!O13</f>
        <v>5.5555555555555554</v>
      </c>
      <c r="P13" s="16">
        <f>'Influencing Factors'!P13</f>
        <v>4.9861111111111116</v>
      </c>
      <c r="Q13" s="32">
        <f>'Influencing Factors'!Q13</f>
        <v>4</v>
      </c>
      <c r="R13" s="16">
        <f>'Influencing Factors'!R13</f>
        <v>3.5</v>
      </c>
      <c r="S13" s="181">
        <f>'Influencing Factors'!S13</f>
        <v>1.5555555555555554</v>
      </c>
      <c r="X13" s="56"/>
      <c r="Y13" s="398"/>
      <c r="Z13" s="222">
        <f t="shared" si="7"/>
        <v>8</v>
      </c>
      <c r="AA13" s="101" t="str">
        <f t="shared" si="15"/>
        <v>Communication between shareholders</v>
      </c>
      <c r="AB13" s="64">
        <f>IF(ISERROR(1/$AG8),0,IF(OR(COUNT($O6)&lt;&gt;1,COUNT($O13)&lt;&gt;1),"",1/$AG8))</f>
        <v>3</v>
      </c>
      <c r="AC13" s="65">
        <f>IF(ISERROR(1/$AG9),0,IF(OR(COUNT($O7)&lt;&gt;1,COUNT($O13)&lt;&gt;1),"",1/$AG9))</f>
        <v>3</v>
      </c>
      <c r="AD13" s="65">
        <f>IF(ISERROR(1/$AG10),0,IF(OR(COUNT($O8)&lt;&gt;1,COUNT($O13)&lt;&gt;1),"",1/$AG10))</f>
        <v>3</v>
      </c>
      <c r="AE13" s="65">
        <f>IF(ISERROR(1/$AI9),0,IF(OR(COUNT($O9)&lt;&gt;1,COUNT($O13)&lt;&gt;1),"",1/$AI9))</f>
        <v>3</v>
      </c>
      <c r="AF13" s="65">
        <f>IF(ISERROR(1/$AI10),0,IF(OR(COUNT($O10)&lt;&gt;1,COUNT($O13)&lt;&gt;1),"",1/$AI10))</f>
        <v>3</v>
      </c>
      <c r="AG13" s="65">
        <f>IF(ISERROR(1/$AI11),0,IF(OR(COUNT($O10)&lt;&gt;1,COUNT($O13)&lt;&gt;1),"",1/$AI11))</f>
        <v>3</v>
      </c>
      <c r="AH13" s="65">
        <f>IF(ISERROR(1/$AI12),0,IF(OR(COUNT($O10)&lt;&gt;1,COUNT($O13)&lt;&gt;1),"",1/$AI12))</f>
        <v>0.33333333333333331</v>
      </c>
      <c r="AI13" s="224">
        <v>1</v>
      </c>
      <c r="AJ13"/>
      <c r="AK13" s="56"/>
      <c r="AL13" s="327" t="str">
        <f t="shared" si="16"/>
        <v>Communication between shareholders</v>
      </c>
      <c r="AM13" s="107">
        <f>AB13/AB$14</f>
        <v>0.18000000000000002</v>
      </c>
      <c r="AN13" s="145">
        <f t="shared" si="17"/>
        <v>0.15517241379310345</v>
      </c>
      <c r="AO13" s="145">
        <f t="shared" si="18"/>
        <v>0.13636363636363635</v>
      </c>
      <c r="AP13" s="145">
        <f t="shared" si="19"/>
        <v>0.26470588235294118</v>
      </c>
      <c r="AQ13" s="145">
        <f t="shared" si="20"/>
        <v>0.21428571428571427</v>
      </c>
      <c r="AR13" s="145">
        <f t="shared" si="21"/>
        <v>0.3461538461538462</v>
      </c>
      <c r="AS13" s="145">
        <f t="shared" si="2"/>
        <v>9.9999999999999992E-2</v>
      </c>
      <c r="AT13" s="108">
        <f t="shared" si="2"/>
        <v>0.16666666666666666</v>
      </c>
      <c r="AU13" s="104">
        <f t="shared" si="10"/>
        <v>1.5633481596159082</v>
      </c>
      <c r="AV13" s="104">
        <f t="shared" ref="AV13" si="24">AU13/$AU$14</f>
        <v>0.19541851995198853</v>
      </c>
      <c r="AW13" s="105">
        <f t="shared" si="11"/>
        <v>1.9102691291129423</v>
      </c>
      <c r="AX13" s="99">
        <f>AW13/AV13</f>
        <v>9.775271707012557</v>
      </c>
      <c r="AY13" s="328"/>
      <c r="AZ13" s="329"/>
      <c r="BA13" s="329"/>
      <c r="BB13" s="329"/>
      <c r="BC13" s="329"/>
      <c r="BD13" s="330">
        <f t="shared" si="23"/>
        <v>1.5633481596159082</v>
      </c>
      <c r="BE13" s="51">
        <f t="shared" si="4"/>
        <v>8.6852675534217116</v>
      </c>
      <c r="BG13" s="398"/>
      <c r="BH13" s="101" t="str">
        <f t="shared" si="14"/>
        <v>Communication between shareholders</v>
      </c>
      <c r="BI13" s="330">
        <f t="shared" si="5"/>
        <v>1.5633481596159082</v>
      </c>
      <c r="BJ13" s="51">
        <f t="shared" si="6"/>
        <v>8.6852675534217116</v>
      </c>
    </row>
    <row r="14" spans="2:62" s="7" customFormat="1" ht="15.75" customHeight="1" thickTop="1" thickBot="1" x14ac:dyDescent="0.3">
      <c r="B14" s="394" t="str">
        <f>'Influencing Factors'!B14</f>
        <v>Affordability</v>
      </c>
      <c r="C14" s="170">
        <f>'Influencing Factors'!C14</f>
        <v>9</v>
      </c>
      <c r="D14" s="194" t="str">
        <f>'Influencing Factors'!D14</f>
        <v>Customer ability to spend</v>
      </c>
      <c r="E14" s="171">
        <f>'Influencing Factors'!E14</f>
        <v>6</v>
      </c>
      <c r="F14" s="171">
        <f>'Influencing Factors'!F14</f>
        <v>7</v>
      </c>
      <c r="G14" s="171">
        <f>'Influencing Factors'!G14</f>
        <v>3</v>
      </c>
      <c r="H14" s="171">
        <f>'Influencing Factors'!H14</f>
        <v>6</v>
      </c>
      <c r="I14" s="171">
        <f>'Influencing Factors'!I14</f>
        <v>7</v>
      </c>
      <c r="J14" s="171">
        <f>'Influencing Factors'!J14</f>
        <v>7</v>
      </c>
      <c r="K14" s="171">
        <f>'Influencing Factors'!K14</f>
        <v>6</v>
      </c>
      <c r="L14" s="171">
        <f>'Influencing Factors'!L14</f>
        <v>3</v>
      </c>
      <c r="M14" s="171">
        <f>'Influencing Factors'!M14</f>
        <v>6</v>
      </c>
      <c r="N14"/>
      <c r="O14" s="24">
        <f>'Influencing Factors'!O14</f>
        <v>5.666666666666667</v>
      </c>
      <c r="P14" s="175"/>
      <c r="Q14" s="25">
        <f>'Influencing Factors'!Q14</f>
        <v>4</v>
      </c>
      <c r="R14" s="175"/>
      <c r="S14" s="182">
        <f>'Influencing Factors'!S14</f>
        <v>1.666666666666667</v>
      </c>
      <c r="X14" s="56"/>
      <c r="Y14"/>
      <c r="Z14"/>
      <c r="AA14" s="66" t="s">
        <v>85</v>
      </c>
      <c r="AB14" s="67">
        <f>SUM(AB6:AB13)</f>
        <v>16.666666666666664</v>
      </c>
      <c r="AC14" s="67">
        <f t="shared" ref="AC14:AG14" si="25">SUM(AC6:AC13)</f>
        <v>19.333333333333332</v>
      </c>
      <c r="AD14" s="67">
        <f t="shared" si="25"/>
        <v>22</v>
      </c>
      <c r="AE14" s="67">
        <f t="shared" si="25"/>
        <v>11.333333333333334</v>
      </c>
      <c r="AF14" s="67">
        <f t="shared" si="25"/>
        <v>14</v>
      </c>
      <c r="AG14" s="67">
        <f t="shared" si="25"/>
        <v>8.6666666666666661</v>
      </c>
      <c r="AH14" s="67">
        <f t="shared" ref="AH14" si="26">SUM(AH6:AH13)</f>
        <v>3.3333333333333335</v>
      </c>
      <c r="AI14" s="67">
        <f t="shared" ref="AI14" si="27">SUM(AI6:AI13)</f>
        <v>6</v>
      </c>
      <c r="AJ14"/>
      <c r="AK14" s="56"/>
      <c r="AL14" s="97"/>
      <c r="AM14" s="98"/>
      <c r="AN14" s="98"/>
      <c r="AO14" s="98"/>
      <c r="AP14" s="98"/>
      <c r="AQ14" s="98"/>
      <c r="AR14" s="98"/>
      <c r="AS14" s="99"/>
      <c r="AT14" s="331" t="s">
        <v>86</v>
      </c>
      <c r="AU14" s="332">
        <f>SUM(AU6:AU13)</f>
        <v>8</v>
      </c>
      <c r="AV14" s="333">
        <f>SUM(AV6:AV13)</f>
        <v>1</v>
      </c>
      <c r="AW14" s="105"/>
      <c r="AX14" s="99"/>
      <c r="AY14" s="334" t="s">
        <v>87</v>
      </c>
      <c r="AZ14" s="335">
        <f>COUNT(AW6:AW13)</f>
        <v>8</v>
      </c>
      <c r="BA14" s="336"/>
      <c r="BB14" s="336"/>
      <c r="BC14" s="336"/>
      <c r="BD14" s="100"/>
      <c r="BE14" s="69">
        <f>AVERAGE(BE6:BE13)</f>
        <v>5.3356605119519251</v>
      </c>
    </row>
    <row r="15" spans="2:62" s="7" customFormat="1" ht="15.75" customHeight="1" thickTop="1" thickBot="1" x14ac:dyDescent="0.3">
      <c r="B15" s="395"/>
      <c r="C15" s="170">
        <f>'Influencing Factors'!C15</f>
        <v>10</v>
      </c>
      <c r="D15" s="195" t="str">
        <f>'Influencing Factors'!D15</f>
        <v>Customer willingness to spend</v>
      </c>
      <c r="E15" s="13">
        <f>'Influencing Factors'!E15</f>
        <v>6</v>
      </c>
      <c r="F15" s="13">
        <f>'Influencing Factors'!F15</f>
        <v>5</v>
      </c>
      <c r="G15" s="13">
        <f>'Influencing Factors'!G15</f>
        <v>4</v>
      </c>
      <c r="H15" s="13">
        <f>'Influencing Factors'!H15</f>
        <v>7</v>
      </c>
      <c r="I15" s="13">
        <f>'Influencing Factors'!I15</f>
        <v>6</v>
      </c>
      <c r="J15" s="13">
        <f>'Influencing Factors'!J15</f>
        <v>7</v>
      </c>
      <c r="K15" s="13">
        <f>'Influencing Factors'!K15</f>
        <v>5</v>
      </c>
      <c r="L15" s="13">
        <f>'Influencing Factors'!L15</f>
        <v>5</v>
      </c>
      <c r="M15" s="13">
        <f>'Influencing Factors'!M15</f>
        <v>6</v>
      </c>
      <c r="N15"/>
      <c r="O15" s="18">
        <f>'Influencing Factors'!O15</f>
        <v>5.666666666666667</v>
      </c>
      <c r="P15" s="173"/>
      <c r="Q15" s="20">
        <f>'Influencing Factors'!Q15</f>
        <v>3</v>
      </c>
      <c r="R15" s="173"/>
      <c r="S15" s="180">
        <f>'Influencing Factors'!S15</f>
        <v>2.666666666666667</v>
      </c>
      <c r="X15" s="56"/>
      <c r="Y15"/>
      <c r="Z15"/>
      <c r="AA15" s="70"/>
      <c r="AB15" s="63"/>
      <c r="AC15" s="63"/>
      <c r="AD15" s="63"/>
      <c r="AE15" s="63"/>
      <c r="AF15" s="63"/>
      <c r="AG15" s="63"/>
      <c r="AH15" s="68"/>
      <c r="AI15" s="68"/>
      <c r="AJ15"/>
      <c r="AK15" s="56"/>
      <c r="AL15" s="68"/>
      <c r="AM15" s="71"/>
      <c r="AN15" s="71"/>
      <c r="AO15" s="71"/>
      <c r="AP15" s="71"/>
      <c r="AQ15" s="71"/>
      <c r="AR15" s="71"/>
      <c r="AU15" s="71"/>
      <c r="AV15" s="71"/>
      <c r="AW15" s="71"/>
      <c r="AX15" s="72"/>
      <c r="AY15"/>
      <c r="AZ15"/>
      <c r="BA15"/>
      <c r="BB15"/>
      <c r="BC15"/>
      <c r="BD15" s="73"/>
      <c r="BE15" s="51"/>
    </row>
    <row r="16" spans="2:62" s="7" customFormat="1" ht="15.75" customHeight="1" thickTop="1" thickBot="1" x14ac:dyDescent="0.3">
      <c r="B16" s="396"/>
      <c r="C16" s="170">
        <f>'Influencing Factors'!C16</f>
        <v>11</v>
      </c>
      <c r="D16" s="194" t="str">
        <f>'Influencing Factors'!D16</f>
        <v>Availability of equipment</v>
      </c>
      <c r="E16" s="171">
        <f>'Influencing Factors'!E16</f>
        <v>6</v>
      </c>
      <c r="F16" s="171">
        <f>'Influencing Factors'!F16</f>
        <v>6</v>
      </c>
      <c r="G16" s="171">
        <f>'Influencing Factors'!G16</f>
        <v>6</v>
      </c>
      <c r="H16" s="171">
        <f>'Influencing Factors'!H16</f>
        <v>7</v>
      </c>
      <c r="I16" s="171">
        <f>'Influencing Factors'!I16</f>
        <v>7</v>
      </c>
      <c r="J16" s="171">
        <f>'Influencing Factors'!J16</f>
        <v>5</v>
      </c>
      <c r="K16" s="171">
        <f>'Influencing Factors'!K16</f>
        <v>7</v>
      </c>
      <c r="L16" s="171">
        <f>'Influencing Factors'!L16</f>
        <v>4</v>
      </c>
      <c r="M16" s="171">
        <f>'Influencing Factors'!M16</f>
        <v>7</v>
      </c>
      <c r="N16"/>
      <c r="O16" s="19">
        <f>'Influencing Factors'!O16</f>
        <v>6.1111111111111107</v>
      </c>
      <c r="P16" s="16">
        <f>'Influencing Factors'!P16</f>
        <v>5.814814814814814</v>
      </c>
      <c r="Q16" s="32">
        <f>'Influencing Factors'!Q16</f>
        <v>3</v>
      </c>
      <c r="R16" s="16">
        <f>'Influencing Factors'!R16</f>
        <v>3.3333333333333335</v>
      </c>
      <c r="S16" s="181">
        <f>'Influencing Factors'!S16</f>
        <v>3.1111111111111107</v>
      </c>
      <c r="X16" s="56"/>
      <c r="Y16"/>
      <c r="Z16"/>
      <c r="AA16" s="74"/>
      <c r="AB16" s="75" t="str">
        <f>AA17</f>
        <v>Customer ability to spend</v>
      </c>
      <c r="AC16" s="75" t="str">
        <f>AA18</f>
        <v>Customer willingness to spend</v>
      </c>
      <c r="AD16" s="75" t="str">
        <f>AA19</f>
        <v>Availability of equipment</v>
      </c>
      <c r="AE16" s="63"/>
      <c r="AF16" s="63"/>
      <c r="AG16" s="63"/>
      <c r="AH16" s="68"/>
      <c r="AI16" s="68"/>
      <c r="AJ16"/>
      <c r="AK16" s="56"/>
      <c r="AL16" s="76"/>
      <c r="AM16" s="76" t="str">
        <f>AB16</f>
        <v>Customer ability to spend</v>
      </c>
      <c r="AN16" s="76" t="str">
        <f>AC16</f>
        <v>Customer willingness to spend</v>
      </c>
      <c r="AO16" s="76" t="str">
        <f>AD16</f>
        <v>Availability of equipment</v>
      </c>
      <c r="AP16" s="147"/>
      <c r="AQ16" s="78"/>
      <c r="AR16" s="78"/>
      <c r="AS16" s="78"/>
      <c r="AT16" s="78"/>
      <c r="AU16" s="77" t="str">
        <f>AU5</f>
        <v>Sum row</v>
      </c>
      <c r="AV16" s="77" t="str">
        <f>AV5</f>
        <v>Average (% sig)</v>
      </c>
      <c r="AW16" s="79" t="str">
        <f>AW5</f>
        <v>Consistency measure (Weighted sum vector)</v>
      </c>
      <c r="AX16" s="77" t="s">
        <v>77</v>
      </c>
      <c r="AY16" s="79" t="s">
        <v>78</v>
      </c>
      <c r="AZ16" s="77" t="str">
        <f t="shared" ref="AZ16:BE16" si="28">AZ5</f>
        <v>Consistency index</v>
      </c>
      <c r="BA16" s="77" t="str">
        <f t="shared" si="28"/>
        <v>Random index</v>
      </c>
      <c r="BB16" s="77" t="str">
        <f t="shared" si="28"/>
        <v>Consistency ratio</v>
      </c>
      <c r="BC16" s="77" t="str">
        <f t="shared" si="28"/>
        <v>Consistency ratio %</v>
      </c>
      <c r="BD16" s="80" t="str">
        <f t="shared" si="28"/>
        <v>Normalised weight</v>
      </c>
      <c r="BE16" s="51" t="str">
        <f t="shared" si="28"/>
        <v>Uncertainty score</v>
      </c>
      <c r="BI16" s="80" t="str">
        <f>BD16</f>
        <v>Normalised weight</v>
      </c>
      <c r="BJ16" s="51" t="str">
        <f>BE16</f>
        <v>Uncertainty score</v>
      </c>
    </row>
    <row r="17" spans="2:62" s="7" customFormat="1" ht="15.75" customHeight="1" thickTop="1" thickBot="1" x14ac:dyDescent="0.3">
      <c r="B17" s="380" t="str">
        <f>'Influencing Factors'!B17</f>
        <v>Maintainer performance</v>
      </c>
      <c r="C17" s="170">
        <f>'Influencing Factors'!C17</f>
        <v>12</v>
      </c>
      <c r="D17" s="196" t="str">
        <f>'Influencing Factors'!D17</f>
        <v>Ability to screen candidates in training</v>
      </c>
      <c r="E17" s="13">
        <f>'Influencing Factors'!E17</f>
        <v>7</v>
      </c>
      <c r="F17" s="13">
        <f>'Influencing Factors'!F17</f>
        <v>7</v>
      </c>
      <c r="G17" s="13">
        <f>'Influencing Factors'!G17</f>
        <v>5</v>
      </c>
      <c r="H17" s="13">
        <f>'Influencing Factors'!H17</f>
        <v>6</v>
      </c>
      <c r="I17" s="13">
        <f>'Influencing Factors'!I17</f>
        <v>7</v>
      </c>
      <c r="J17" s="13">
        <f>'Influencing Factors'!J17</f>
        <v>6</v>
      </c>
      <c r="K17" s="13">
        <f>'Influencing Factors'!K17</f>
        <v>6</v>
      </c>
      <c r="L17" s="13">
        <f>'Influencing Factors'!L17</f>
        <v>6</v>
      </c>
      <c r="M17" s="13">
        <f>'Influencing Factors'!M17</f>
        <v>5</v>
      </c>
      <c r="N17"/>
      <c r="O17" s="24">
        <f>'Influencing Factors'!O17</f>
        <v>6.1111111111111107</v>
      </c>
      <c r="P17" s="175"/>
      <c r="Q17" s="25">
        <f>'Influencing Factors'!Q17</f>
        <v>2</v>
      </c>
      <c r="R17" s="175"/>
      <c r="S17" s="182">
        <f>'Influencing Factors'!S17</f>
        <v>4.1111111111111107</v>
      </c>
      <c r="X17" s="56"/>
      <c r="Y17" s="399" t="s">
        <v>4</v>
      </c>
      <c r="Z17" s="222">
        <f>C14</f>
        <v>9</v>
      </c>
      <c r="AA17" s="81" t="str">
        <f>D14</f>
        <v>Customer ability to spend</v>
      </c>
      <c r="AB17" s="227">
        <v>1</v>
      </c>
      <c r="AC17" s="58">
        <f>IF(OR(COUNT($O14)&lt;&gt;1,COUNT($O15)&lt;&gt;1),0,
IF($O14-$O15&lt;0,
IF($O14-$O15&gt;=$Z$53,$AA$53,
IF($O14-$O15&gt;=$Z$54,$AA$54,
IF($O14-$O15&gt;=$Z$55,$AA$55,$AA$56))),
IF($O14=$O15,1,
IF($O14-$O15&lt;=$AC$53,$AD$53,
IF($O14-$O15&lt;=$AC$54,$AD$54,
IF($O14-$O15&lt;=$AC$55,$AD$55,$AD$56))))))</f>
        <v>1</v>
      </c>
      <c r="AD17" s="59">
        <f>IF(OR(COUNT($O14)&lt;&gt;1,COUNT($O16)&lt;&gt;1),0,
IF($O14-$O16&lt;0,
IF($O14-$O16&gt;=$Z$53,$AA$53,
IF($O14-$O16&gt;=$Z$54,$AA$54,
IF($O14-$O16&gt;=$Z$55,$AA$55,$AA$56))),
IF($O14=$O16,1,
IF($O14-$O16&lt;=$AC$53,$AD$53,
IF($O14-$O16&lt;=$AC$54,$AD$54,
IF($O14-$O16&lt;=$AC$55,$AD$55,$AD$56))))))</f>
        <v>0.33333333333333331</v>
      </c>
      <c r="AE17" s="63"/>
      <c r="AF17" s="63"/>
      <c r="AG17" s="63"/>
      <c r="AH17" s="68"/>
      <c r="AI17" s="68"/>
      <c r="AJ17"/>
      <c r="AK17" s="56"/>
      <c r="AL17" s="76" t="str">
        <f>AA17</f>
        <v>Customer ability to spend</v>
      </c>
      <c r="AM17" s="82">
        <f t="shared" ref="AM17:AO19" si="29">AB17/AB$20</f>
        <v>0.2</v>
      </c>
      <c r="AN17" s="83">
        <f t="shared" si="29"/>
        <v>0.2</v>
      </c>
      <c r="AO17" s="84">
        <f t="shared" si="29"/>
        <v>0.2</v>
      </c>
      <c r="AP17" s="78"/>
      <c r="AQ17" s="78"/>
      <c r="AR17" s="78"/>
      <c r="AS17" s="78"/>
      <c r="AT17" s="78"/>
      <c r="AU17" s="77">
        <f>SUM(AM17:AO17)</f>
        <v>0.60000000000000009</v>
      </c>
      <c r="AV17" s="85">
        <f>AU17/$AU$20</f>
        <v>0.20000000000000004</v>
      </c>
      <c r="AW17" s="86">
        <f>MMULT(AB17:AD17,$AV$17:$AV$19)</f>
        <v>0.60000000000000009</v>
      </c>
      <c r="AX17" s="78">
        <f>AW17/AV17</f>
        <v>3</v>
      </c>
      <c r="AY17" s="87">
        <f>AVERAGE(AX17:AX19)</f>
        <v>3</v>
      </c>
      <c r="AZ17" s="78">
        <f>(AY17-AZ20)/(AZ20-1)</f>
        <v>0</v>
      </c>
      <c r="BA17" s="78">
        <f>VLOOKUP(AZ20,$BA$53:$BB$61,2)</f>
        <v>0.57999999999999996</v>
      </c>
      <c r="BB17" s="78">
        <f>IF(ISERROR(AZ17/BA17),0,AZ17/BA17)</f>
        <v>0</v>
      </c>
      <c r="BC17" s="78">
        <f>BB17*100</f>
        <v>0</v>
      </c>
      <c r="BD17" s="80">
        <f>AV17/(1/$AZ$20)</f>
        <v>0.6000000000000002</v>
      </c>
      <c r="BE17" s="51">
        <f>O12*BD17</f>
        <v>3.7333333333333347</v>
      </c>
      <c r="BG17" s="399" t="str">
        <f>Y17</f>
        <v>Affordability</v>
      </c>
      <c r="BH17" s="81" t="str">
        <f>AA17</f>
        <v>Customer ability to spend</v>
      </c>
      <c r="BI17" s="80">
        <f t="shared" ref="BI17:BJ19" si="30">BD17</f>
        <v>0.6000000000000002</v>
      </c>
      <c r="BJ17" s="51">
        <f t="shared" si="30"/>
        <v>3.7333333333333347</v>
      </c>
    </row>
    <row r="18" spans="2:62" s="7" customFormat="1" ht="15.75" customHeight="1" thickTop="1" thickBot="1" x14ac:dyDescent="0.3">
      <c r="B18" s="381"/>
      <c r="C18" s="170">
        <f>'Influencing Factors'!C18</f>
        <v>13</v>
      </c>
      <c r="D18" s="197" t="str">
        <f>'Influencing Factors'!D18</f>
        <v>Availability of suitably qualified maintainers</v>
      </c>
      <c r="E18" s="171">
        <f>'Influencing Factors'!E18</f>
        <v>5</v>
      </c>
      <c r="F18" s="171">
        <f>'Influencing Factors'!F18</f>
        <v>6</v>
      </c>
      <c r="G18" s="171">
        <f>'Influencing Factors'!G18</f>
        <v>7</v>
      </c>
      <c r="H18" s="171">
        <f>'Influencing Factors'!H18</f>
        <v>5</v>
      </c>
      <c r="I18" s="171">
        <f>'Influencing Factors'!I18</f>
        <v>7</v>
      </c>
      <c r="J18" s="171">
        <f>'Influencing Factors'!J18</f>
        <v>6</v>
      </c>
      <c r="K18" s="171">
        <f>'Influencing Factors'!K18</f>
        <v>5</v>
      </c>
      <c r="L18" s="171">
        <f>'Influencing Factors'!L18</f>
        <v>6</v>
      </c>
      <c r="M18" s="171">
        <f>'Influencing Factors'!M18</f>
        <v>6</v>
      </c>
      <c r="N18"/>
      <c r="O18" s="18">
        <f>'Influencing Factors'!O18</f>
        <v>5.8888888888888893</v>
      </c>
      <c r="P18" s="173"/>
      <c r="Q18" s="20">
        <f>'Influencing Factors'!Q18</f>
        <v>2</v>
      </c>
      <c r="R18" s="173"/>
      <c r="S18" s="180">
        <f>'Influencing Factors'!S18</f>
        <v>3.8888888888888893</v>
      </c>
      <c r="X18" s="56"/>
      <c r="Y18" s="395"/>
      <c r="Z18" s="222">
        <f t="shared" ref="Z18:Z19" si="31">C15</f>
        <v>10</v>
      </c>
      <c r="AA18" s="81" t="str">
        <f t="shared" ref="AA18:AA19" si="32">D15</f>
        <v>Customer willingness to spend</v>
      </c>
      <c r="AB18" s="60">
        <f>IF(ISERROR(1/$AC17),0,IF(OR(COUNT($O14)&lt;&gt;1,COUNT($O15)&lt;&gt;1),"",1/$AC17))</f>
        <v>1</v>
      </c>
      <c r="AC18" s="228">
        <v>1</v>
      </c>
      <c r="AD18" s="62">
        <f>IF(OR(COUNT($O15)&lt;&gt;1,COUNT($O16)&lt;&gt;1),0,
IF($O15-$O16&lt;0,
IF($O15-$O16&gt;=$Z$53,$AA$53,
IF($O15-$O16&gt;=$Z$54,$AA$54,
IF($O15-$O16&gt;=$Z$55,$AA$55,$AA$56))),
IF($O15=$O16,1,
IF($O15-$O16&lt;=$AC$53,$AD$53,
IF($O15-$O16&lt;=$AC$54,$AD$54,
IF($O15-$O16&lt;=$AC$55,$AD$55,$AD$56))))))</f>
        <v>0.33333333333333331</v>
      </c>
      <c r="AE18" s="63"/>
      <c r="AF18" s="63"/>
      <c r="AG18" s="63"/>
      <c r="AH18" s="68"/>
      <c r="AI18" s="68"/>
      <c r="AJ18"/>
      <c r="AK18" s="56"/>
      <c r="AL18" s="76" t="str">
        <f>AA18</f>
        <v>Customer willingness to spend</v>
      </c>
      <c r="AM18" s="88">
        <f t="shared" si="29"/>
        <v>0.2</v>
      </c>
      <c r="AN18" s="89">
        <f t="shared" si="29"/>
        <v>0.2</v>
      </c>
      <c r="AO18" s="90">
        <f t="shared" si="29"/>
        <v>0.2</v>
      </c>
      <c r="AP18" s="78"/>
      <c r="AQ18" s="78"/>
      <c r="AR18" s="78"/>
      <c r="AS18" s="78"/>
      <c r="AT18" s="78"/>
      <c r="AU18" s="77">
        <f>SUM(AM18:AO18)</f>
        <v>0.60000000000000009</v>
      </c>
      <c r="AV18" s="85">
        <f>AU18/$AU$20</f>
        <v>0.20000000000000004</v>
      </c>
      <c r="AW18" s="86">
        <f>MMULT(AB18:AD18,$AV$17:$AV$19)</f>
        <v>0.60000000000000009</v>
      </c>
      <c r="AX18" s="78">
        <f>AW18/AV18</f>
        <v>3</v>
      </c>
      <c r="AY18" s="87"/>
      <c r="AZ18" s="78"/>
      <c r="BA18" s="78"/>
      <c r="BB18" s="78"/>
      <c r="BC18" s="78"/>
      <c r="BD18" s="80">
        <f>AV18/(1/$AZ$20)</f>
        <v>0.6000000000000002</v>
      </c>
      <c r="BE18" s="51">
        <f>O13*BD18</f>
        <v>3.3333333333333344</v>
      </c>
      <c r="BG18" s="395"/>
      <c r="BH18" s="81" t="str">
        <f t="shared" ref="BH18:BH19" si="33">AA18</f>
        <v>Customer willingness to spend</v>
      </c>
      <c r="BI18" s="80">
        <f t="shared" si="30"/>
        <v>0.6000000000000002</v>
      </c>
      <c r="BJ18" s="51">
        <f t="shared" si="30"/>
        <v>3.3333333333333344</v>
      </c>
    </row>
    <row r="19" spans="2:62" s="7" customFormat="1" ht="15.75" customHeight="1" thickTop="1" thickBot="1" x14ac:dyDescent="0.3">
      <c r="B19" s="381"/>
      <c r="C19" s="170">
        <f>'Influencing Factors'!C19</f>
        <v>14</v>
      </c>
      <c r="D19" s="196" t="str">
        <f>'Influencing Factors'!D19</f>
        <v>Knowledge and experience to perform a given task</v>
      </c>
      <c r="E19" s="13">
        <f>'Influencing Factors'!E19</f>
        <v>5</v>
      </c>
      <c r="F19" s="13">
        <f>'Influencing Factors'!F19</f>
        <v>5</v>
      </c>
      <c r="G19" s="13">
        <f>'Influencing Factors'!G19</f>
        <v>7</v>
      </c>
      <c r="H19" s="13">
        <f>'Influencing Factors'!H19</f>
        <v>5</v>
      </c>
      <c r="I19" s="13">
        <f>'Influencing Factors'!I19</f>
        <v>5</v>
      </c>
      <c r="J19" s="13">
        <f>'Influencing Factors'!J19</f>
        <v>7</v>
      </c>
      <c r="K19" s="13">
        <f>'Influencing Factors'!K19</f>
        <v>6</v>
      </c>
      <c r="L19" s="13">
        <f>'Influencing Factors'!L19</f>
        <v>6</v>
      </c>
      <c r="M19" s="13">
        <f>'Influencing Factors'!M19</f>
        <v>7</v>
      </c>
      <c r="N19"/>
      <c r="O19" s="18">
        <f>'Influencing Factors'!O19</f>
        <v>5.8888888888888893</v>
      </c>
      <c r="P19" s="174"/>
      <c r="Q19" s="20">
        <f>'Influencing Factors'!Q19</f>
        <v>2</v>
      </c>
      <c r="R19" s="174"/>
      <c r="S19" s="180">
        <f>'Influencing Factors'!S19</f>
        <v>3.8888888888888893</v>
      </c>
      <c r="X19" s="56"/>
      <c r="Y19" s="400"/>
      <c r="Z19" s="222">
        <f t="shared" si="31"/>
        <v>11</v>
      </c>
      <c r="AA19" s="81" t="str">
        <f t="shared" si="32"/>
        <v>Availability of equipment</v>
      </c>
      <c r="AB19" s="64">
        <f>IF(ISERROR(1/$AD17),0,IF(OR(COUNT($O14)&lt;&gt;1,COUNT($O16)&lt;&gt;1),"",1/$AD17))</f>
        <v>3</v>
      </c>
      <c r="AC19" s="65">
        <f>IF(ISERROR(1/$AD18),0,IF(OR(COUNT($O15)&lt;&gt;1,COUNT($O16)&lt;&gt;1),"",1/$AD18))</f>
        <v>3</v>
      </c>
      <c r="AD19" s="229">
        <v>1</v>
      </c>
      <c r="AE19" s="63"/>
      <c r="AF19" s="63"/>
      <c r="AG19" s="63"/>
      <c r="AH19" s="68"/>
      <c r="AI19" s="68"/>
      <c r="AJ19"/>
      <c r="AK19" s="56"/>
      <c r="AL19" s="76" t="str">
        <f>AA19</f>
        <v>Availability of equipment</v>
      </c>
      <c r="AM19" s="91">
        <f t="shared" si="29"/>
        <v>0.6</v>
      </c>
      <c r="AN19" s="92">
        <f t="shared" si="29"/>
        <v>0.6</v>
      </c>
      <c r="AO19" s="93">
        <f t="shared" si="29"/>
        <v>0.60000000000000009</v>
      </c>
      <c r="AP19" s="78"/>
      <c r="AQ19" s="78"/>
      <c r="AR19" s="78"/>
      <c r="AS19" s="78"/>
      <c r="AT19" s="78"/>
      <c r="AU19" s="77">
        <f>SUM(AM19:AO19)</f>
        <v>1.8</v>
      </c>
      <c r="AV19" s="85">
        <f>AU19/$AU$20</f>
        <v>0.6</v>
      </c>
      <c r="AW19" s="86">
        <f>MMULT(AB19:AD19,$AV$17:$AV$19)</f>
        <v>1.8000000000000003</v>
      </c>
      <c r="AX19" s="78">
        <f t="shared" ref="AX19" si="34">AW19/AV19</f>
        <v>3.0000000000000004</v>
      </c>
      <c r="AY19" s="87"/>
      <c r="AZ19" s="78"/>
      <c r="BA19" s="78"/>
      <c r="BB19" s="78"/>
      <c r="BC19" s="78"/>
      <c r="BD19" s="80">
        <f>AV19/(1/$AZ$20)</f>
        <v>1.8</v>
      </c>
      <c r="BE19" s="51">
        <f>O14*BD19</f>
        <v>10.200000000000001</v>
      </c>
      <c r="BG19" s="400"/>
      <c r="BH19" s="81" t="str">
        <f t="shared" si="33"/>
        <v>Availability of equipment</v>
      </c>
      <c r="BI19" s="80">
        <f t="shared" si="30"/>
        <v>1.8</v>
      </c>
      <c r="BJ19" s="51">
        <f t="shared" si="30"/>
        <v>10.200000000000001</v>
      </c>
    </row>
    <row r="20" spans="2:62" s="7" customFormat="1" ht="15.75" customHeight="1" thickTop="1" thickBot="1" x14ac:dyDescent="0.3">
      <c r="B20" s="381"/>
      <c r="C20" s="170">
        <f>'Influencing Factors'!C20</f>
        <v>15</v>
      </c>
      <c r="D20" s="197" t="str">
        <f>'Influencing Factors'!D20</f>
        <v>Material readiness state awareness</v>
      </c>
      <c r="E20" s="171">
        <f>'Influencing Factors'!E20</f>
        <v>5</v>
      </c>
      <c r="F20" s="171">
        <f>'Influencing Factors'!F20</f>
        <v>5</v>
      </c>
      <c r="G20" s="171">
        <f>'Influencing Factors'!G20</f>
        <v>3</v>
      </c>
      <c r="H20" s="171">
        <f>'Influencing Factors'!H20</f>
        <v>4</v>
      </c>
      <c r="I20" s="171">
        <f>'Influencing Factors'!I20</f>
        <v>6</v>
      </c>
      <c r="J20" s="171">
        <f>'Influencing Factors'!J20</f>
        <v>6</v>
      </c>
      <c r="K20" s="171">
        <f>'Influencing Factors'!K20</f>
        <v>4</v>
      </c>
      <c r="L20" s="171">
        <f>'Influencing Factors'!L20</f>
        <v>5</v>
      </c>
      <c r="M20" s="171">
        <f>'Influencing Factors'!M20</f>
        <v>6</v>
      </c>
      <c r="N20"/>
      <c r="O20" s="18">
        <f>'Influencing Factors'!O20</f>
        <v>4.8888888888888893</v>
      </c>
      <c r="P20" s="174"/>
      <c r="Q20" s="20">
        <f>'Influencing Factors'!Q20</f>
        <v>3</v>
      </c>
      <c r="R20" s="174"/>
      <c r="S20" s="180">
        <f>'Influencing Factors'!S20</f>
        <v>1.8888888888888893</v>
      </c>
      <c r="X20" s="56"/>
      <c r="Y20"/>
      <c r="Z20"/>
      <c r="AA20" s="66" t="s">
        <v>85</v>
      </c>
      <c r="AB20" s="67">
        <f>SUM(AB17:AB19)</f>
        <v>5</v>
      </c>
      <c r="AC20" s="67">
        <f>SUM(AC17:AC19)</f>
        <v>5</v>
      </c>
      <c r="AD20" s="67">
        <f t="shared" ref="AD20" si="35">SUM(AD17:AD19)</f>
        <v>1.6666666666666665</v>
      </c>
      <c r="AE20" s="68"/>
      <c r="AF20" s="68"/>
      <c r="AG20" s="63"/>
      <c r="AH20" s="68"/>
      <c r="AI20" s="68"/>
      <c r="AJ20"/>
      <c r="AK20" s="56"/>
      <c r="AL20" s="76"/>
      <c r="AM20" s="77"/>
      <c r="AN20" s="77"/>
      <c r="AO20" s="77"/>
      <c r="AP20" s="78"/>
      <c r="AQ20" s="78"/>
      <c r="AR20" s="78"/>
      <c r="AS20" s="78"/>
      <c r="AT20" s="94" t="s">
        <v>86</v>
      </c>
      <c r="AU20" s="95">
        <f>SUM(AU17:AU19)</f>
        <v>3</v>
      </c>
      <c r="AV20" s="95">
        <f>SUM(AV17:AV19)</f>
        <v>1</v>
      </c>
      <c r="AW20" s="86"/>
      <c r="AX20" s="77"/>
      <c r="AY20" s="96" t="s">
        <v>87</v>
      </c>
      <c r="AZ20" s="95">
        <f>COUNT(AW17:AW19)</f>
        <v>3</v>
      </c>
      <c r="BA20" s="77"/>
      <c r="BB20" s="77"/>
      <c r="BC20" s="77"/>
      <c r="BD20" s="80"/>
      <c r="BE20" s="69">
        <f>AVERAGE(BE17:BE19)</f>
        <v>5.7555555555555564</v>
      </c>
    </row>
    <row r="21" spans="2:62" s="7" customFormat="1" ht="15.75" customHeight="1" thickTop="1" thickBot="1" x14ac:dyDescent="0.3">
      <c r="B21" s="381"/>
      <c r="C21" s="170">
        <f>'Influencing Factors'!C21</f>
        <v>16</v>
      </c>
      <c r="D21" s="198" t="str">
        <f>'Influencing Factors'!D21</f>
        <v>Commitment to record data in relevant data banks</v>
      </c>
      <c r="E21" s="13">
        <f>'Influencing Factors'!E21</f>
        <v>7</v>
      </c>
      <c r="F21" s="13">
        <f>'Influencing Factors'!F21</f>
        <v>6</v>
      </c>
      <c r="G21" s="13">
        <f>'Influencing Factors'!G21</f>
        <v>4</v>
      </c>
      <c r="H21" s="13">
        <f>'Influencing Factors'!H21</f>
        <v>7</v>
      </c>
      <c r="I21" s="13">
        <f>'Influencing Factors'!I21</f>
        <v>7</v>
      </c>
      <c r="J21" s="13">
        <f>'Influencing Factors'!J21</f>
        <v>7</v>
      </c>
      <c r="K21" s="13">
        <f>'Influencing Factors'!K21</f>
        <v>6</v>
      </c>
      <c r="L21" s="13">
        <f>'Influencing Factors'!L21</f>
        <v>5</v>
      </c>
      <c r="M21" s="13">
        <f>'Influencing Factors'!M21</f>
        <v>6</v>
      </c>
      <c r="N21"/>
      <c r="O21" s="18">
        <f>'Influencing Factors'!O21</f>
        <v>6.1111111111111107</v>
      </c>
      <c r="P21" s="174"/>
      <c r="Q21" s="20">
        <f>'Influencing Factors'!Q21</f>
        <v>3</v>
      </c>
      <c r="R21" s="174"/>
      <c r="S21" s="180">
        <f>'Influencing Factors'!S21</f>
        <v>3.1111111111111107</v>
      </c>
      <c r="X21" s="56"/>
      <c r="Y21"/>
      <c r="Z21"/>
      <c r="AA21" s="70"/>
      <c r="AB21" s="63"/>
      <c r="AC21" s="63"/>
      <c r="AD21" s="63"/>
      <c r="AE21" s="63"/>
      <c r="AF21" s="63"/>
      <c r="AG21" s="63"/>
      <c r="AH21" s="68"/>
      <c r="AI21" s="68"/>
      <c r="AJ21"/>
      <c r="AK21" s="56"/>
      <c r="AL21" s="68"/>
      <c r="AM21" s="71"/>
      <c r="AN21" s="71"/>
      <c r="AO21" s="71"/>
      <c r="AP21" s="71"/>
      <c r="AQ21" s="71"/>
      <c r="AR21" s="71"/>
      <c r="AS21" s="71"/>
      <c r="AT21" s="71"/>
      <c r="AU21" s="71"/>
      <c r="AV21"/>
      <c r="AW21"/>
      <c r="AX21" s="72"/>
      <c r="AY21"/>
      <c r="AZ21"/>
      <c r="BA21"/>
      <c r="BB21"/>
      <c r="BC21"/>
      <c r="BD21" s="73"/>
      <c r="BE21" s="51"/>
    </row>
    <row r="22" spans="2:62" s="7" customFormat="1" ht="15.75" customHeight="1" thickTop="1" thickBot="1" x14ac:dyDescent="0.3">
      <c r="B22" s="382"/>
      <c r="C22" s="170">
        <f>'Influencing Factors'!C22</f>
        <v>17</v>
      </c>
      <c r="D22" s="197" t="str">
        <f>'Influencing Factors'!D22</f>
        <v>Response to working environment (temp., confined spaces, etc.)</v>
      </c>
      <c r="E22" s="171">
        <f>'Influencing Factors'!E22</f>
        <v>5</v>
      </c>
      <c r="F22" s="171">
        <f>'Influencing Factors'!F22</f>
        <v>5</v>
      </c>
      <c r="G22" s="171">
        <f>'Influencing Factors'!G22</f>
        <v>4</v>
      </c>
      <c r="H22" s="171">
        <f>'Influencing Factors'!H22</f>
        <v>5</v>
      </c>
      <c r="I22" s="171">
        <f>'Influencing Factors'!I22</f>
        <v>5</v>
      </c>
      <c r="J22" s="171">
        <f>'Influencing Factors'!J22</f>
        <v>5</v>
      </c>
      <c r="K22" s="171">
        <f>'Influencing Factors'!K22</f>
        <v>5</v>
      </c>
      <c r="L22" s="171">
        <f>'Influencing Factors'!L22</f>
        <v>5</v>
      </c>
      <c r="M22" s="171">
        <f>'Influencing Factors'!M22</f>
        <v>4</v>
      </c>
      <c r="N22"/>
      <c r="O22" s="19">
        <f>'Influencing Factors'!O22</f>
        <v>4.7777777777777777</v>
      </c>
      <c r="P22" s="16">
        <f>'Influencing Factors'!P22</f>
        <v>5.6111111111111107</v>
      </c>
      <c r="Q22" s="32">
        <f>'Influencing Factors'!Q22</f>
        <v>1</v>
      </c>
      <c r="R22" s="16">
        <f>'Influencing Factors'!R22</f>
        <v>2.1666666666666665</v>
      </c>
      <c r="S22" s="181">
        <f>'Influencing Factors'!S22</f>
        <v>3.7777777777777777</v>
      </c>
      <c r="X22" s="56"/>
      <c r="Y22"/>
      <c r="Z22"/>
      <c r="AA22" s="74"/>
      <c r="AB22" s="255" t="str">
        <f>AA23</f>
        <v>Ability to screen candidates in training</v>
      </c>
      <c r="AC22" s="255" t="str">
        <f>AA24</f>
        <v>Availability of suitably qualified maintainers</v>
      </c>
      <c r="AD22" s="255" t="str">
        <f>AA25</f>
        <v>Knowledge and experience to perform a given task</v>
      </c>
      <c r="AE22" s="255" t="str">
        <f>AA26</f>
        <v>Material readiness state awareness</v>
      </c>
      <c r="AF22" s="255" t="str">
        <f>AA27</f>
        <v>Commitment to record data in relevant data banks</v>
      </c>
      <c r="AG22" s="255" t="str">
        <f>AA28</f>
        <v>Response to working environment (temp., confined spaces, etc.)</v>
      </c>
      <c r="AH22" s="68"/>
      <c r="AI22" s="68"/>
      <c r="AJ22"/>
      <c r="AK22" s="56"/>
      <c r="AL22" s="114"/>
      <c r="AM22" s="114" t="str">
        <f>AB22</f>
        <v>Ability to screen candidates in training</v>
      </c>
      <c r="AN22" s="114" t="str">
        <f>AC22</f>
        <v>Availability of suitably qualified maintainers</v>
      </c>
      <c r="AO22" s="114" t="str">
        <f t="shared" ref="AO22:AQ22" si="36">AD22</f>
        <v>Knowledge and experience to perform a given task</v>
      </c>
      <c r="AP22" s="114" t="str">
        <f t="shared" si="36"/>
        <v>Material readiness state awareness</v>
      </c>
      <c r="AQ22" s="114" t="str">
        <f t="shared" si="36"/>
        <v>Commitment to record data in relevant data banks</v>
      </c>
      <c r="AR22" s="114" t="str">
        <f>AG22</f>
        <v>Response to working environment (temp., confined spaces, etc.)</v>
      </c>
      <c r="AS22" s="114"/>
      <c r="AT22" s="111"/>
      <c r="AU22" s="111" t="str">
        <f>AU5</f>
        <v>Sum row</v>
      </c>
      <c r="AV22" s="111" t="str">
        <f>AV5</f>
        <v>Average (% sig)</v>
      </c>
      <c r="AW22" s="112" t="str">
        <f>AW5</f>
        <v>Consistency measure (Weighted sum vector)</v>
      </c>
      <c r="AX22" s="111" t="s">
        <v>77</v>
      </c>
      <c r="AY22" s="112" t="s">
        <v>78</v>
      </c>
      <c r="AZ22" s="111" t="s">
        <v>79</v>
      </c>
      <c r="BA22" s="111" t="str">
        <f>BA5</f>
        <v>Random index</v>
      </c>
      <c r="BB22" s="111" t="str">
        <f>BB5</f>
        <v>Consistency ratio</v>
      </c>
      <c r="BC22" s="111" t="str">
        <f>BC5</f>
        <v>Consistency ratio %</v>
      </c>
      <c r="BD22" s="113" t="str">
        <f>BD5</f>
        <v>Normalised weight</v>
      </c>
      <c r="BE22" s="51" t="str">
        <f>BE5</f>
        <v>Uncertainty score</v>
      </c>
      <c r="BI22" s="113" t="str">
        <f>BD22</f>
        <v>Normalised weight</v>
      </c>
      <c r="BJ22" s="51" t="str">
        <f>BE22</f>
        <v>Uncertainty score</v>
      </c>
    </row>
    <row r="23" spans="2:62" s="7" customFormat="1" ht="15.75" customHeight="1" thickTop="1" thickBot="1" x14ac:dyDescent="0.3">
      <c r="B23" s="386" t="str">
        <f>'Influencing Factors'!B23</f>
        <v>Operational</v>
      </c>
      <c r="C23" s="170">
        <f>'Influencing Factors'!C23</f>
        <v>18</v>
      </c>
      <c r="D23" s="202" t="str">
        <f>'Influencing Factors'!D23</f>
        <v>Quality of documentation / information from OEM</v>
      </c>
      <c r="E23" s="13">
        <f>'Influencing Factors'!E23</f>
        <v>6</v>
      </c>
      <c r="F23" s="13">
        <f>'Influencing Factors'!F23</f>
        <v>7</v>
      </c>
      <c r="G23" s="13">
        <f>'Influencing Factors'!G23</f>
        <v>6</v>
      </c>
      <c r="H23" s="13">
        <f>'Influencing Factors'!H23</f>
        <v>7</v>
      </c>
      <c r="I23" s="13">
        <f>'Influencing Factors'!I23</f>
        <v>7</v>
      </c>
      <c r="J23" s="13">
        <f>'Influencing Factors'!J23</f>
        <v>7</v>
      </c>
      <c r="K23" s="13">
        <f>'Influencing Factors'!K23</f>
        <v>5</v>
      </c>
      <c r="L23" s="13">
        <f>'Influencing Factors'!L23</f>
        <v>7</v>
      </c>
      <c r="M23" s="13">
        <f>'Influencing Factors'!M23</f>
        <v>7</v>
      </c>
      <c r="N23"/>
      <c r="O23" s="24">
        <f>'Influencing Factors'!O23</f>
        <v>6.5555555555555554</v>
      </c>
      <c r="P23" s="175"/>
      <c r="Q23" s="25">
        <f>'Influencing Factors'!Q23</f>
        <v>2</v>
      </c>
      <c r="R23" s="175"/>
      <c r="S23" s="182">
        <f>'Influencing Factors'!S23</f>
        <v>4.5555555555555554</v>
      </c>
      <c r="X23" s="56"/>
      <c r="Y23" s="401" t="s">
        <v>14</v>
      </c>
      <c r="Z23" s="221">
        <f>C17</f>
        <v>12</v>
      </c>
      <c r="AA23" s="254" t="str">
        <f>D17</f>
        <v>Ability to screen candidates in training</v>
      </c>
      <c r="AB23" s="256">
        <v>1</v>
      </c>
      <c r="AC23" s="257">
        <f>IF(OR(COUNT($O17)&lt;&gt;1,COUNT($O18)&lt;&gt;1),0,
IF($O17-$O18&lt;0,
IF($O17-$O18&gt;=$Z$53,$AA$53,
IF($O17-$O18&gt;=$Z$54,$AA$54,
IF($O17-$O18&gt;=$Z$55,$AA$55,$AA$56))),
IF($O17=$O18,1,
IF($O17-$O18&lt;=$AC$53,$AD$53,
IF($O17-$O18&lt;=$AC$54,$AD$54,
IF($O17-$O18&lt;=$AC$55,$AD$55,$AD$56))))))</f>
        <v>3</v>
      </c>
      <c r="AD23" s="257">
        <f>IF(OR(COUNT($O17)&lt;&gt;1,COUNT($O19)&lt;&gt;1),0,
IF($O17-$O19&lt;0,
IF($O17-$O19&gt;=$Z$53,$AA$53,
IF($O17-$O19&gt;=$Z$54,$AA$54,
IF($O17-$O19&gt;=$Z$55,$AA$55,$AA$56))),
IF($O17=$O19,1,
IF($O17-$O19&lt;=$AC$53,$AD$53,
IF($O17-$O19&lt;=$AC$54,$AD$54,
IF($O17-$O19&lt;=$AC$55,$AD$55,$AD$56))))))</f>
        <v>3</v>
      </c>
      <c r="AE23" s="257">
        <f>IF(OR(COUNT($O17)&lt;&gt;1,COUNT($O20)&lt;&gt;1),0,
IF($O17-$O20&lt;0,
IF($O17-$O20&gt;=$Z$53,$AA$53,
IF($O17-$O20&gt;=$Z$54,$AA$54,
IF($O17-$O20&gt;=$Z$55,$AA$55,$AA$56))),
IF($O17=$O20,1,
IF($O17-$O20&lt;=$AC$53,$AD$53,
IF($O17-$O20&lt;=$AC$54,$AD$54,
IF($O17-$O20&lt;=$AC$55,$AD$55,$AD$56))))))</f>
        <v>3</v>
      </c>
      <c r="AF23" s="257">
        <f>IF(OR(COUNT($O17)&lt;&gt;1,COUNT($O21)&lt;&gt;1),0,
IF($O17-$O21&lt;0,
IF($O17-$O21&gt;=$Z$53,$AA$53,
IF($O17-$O21&gt;=$Z$54,$AA$54,
IF($O17-$O21&gt;=$Z$55,$AA$55,$AA$56))),
IF($O17=$O21,1,
IF($O17-$O21&lt;=$AC$53,$AD$53,
IF($O17-$O21&lt;=$AC$54,$AD$54,
IF($O17-$O21&lt;=$AC$55,$AD$55,$AD$56))))))</f>
        <v>1</v>
      </c>
      <c r="AG23" s="258">
        <f>IF(OR(COUNT($O17)&lt;&gt;1,COUNT($O22)&lt;&gt;1),0,
IF($O17-$O22&lt;0,
IF($O17-$O22&gt;=$Z$53,$AA$53,
IF($O17-$O22&gt;=$Z$54,$AA$54,
IF($O17-$O22&gt;=$Z$55,$AA$55,$AA$56))),
IF($O17=$O22,1,
IF($O17-$O22&lt;=$AC$53,$AD$53,
IF($O17-$O22&lt;=$AC$54,$AD$54,
IF($O17-$O22&lt;=$AC$55,$AD$55,$AD$56))))))</f>
        <v>3</v>
      </c>
      <c r="AH23" s="68"/>
      <c r="AI23" s="68"/>
      <c r="AJ23"/>
      <c r="AK23" s="56"/>
      <c r="AL23" s="114" t="str">
        <f>AA23</f>
        <v>Ability to screen candidates in training</v>
      </c>
      <c r="AM23" s="115">
        <f>AB23/AB$29</f>
        <v>0.3</v>
      </c>
      <c r="AN23" s="116">
        <f>AC23/AC$29</f>
        <v>0.3461538461538462</v>
      </c>
      <c r="AO23" s="116">
        <f t="shared" ref="AO23:AR28" si="37">AD23/AD$29</f>
        <v>0.3461538461538462</v>
      </c>
      <c r="AP23" s="116">
        <f t="shared" si="37"/>
        <v>0.22499999999999998</v>
      </c>
      <c r="AQ23" s="116">
        <f t="shared" si="37"/>
        <v>0.3</v>
      </c>
      <c r="AR23" s="117">
        <f t="shared" si="37"/>
        <v>0.1875</v>
      </c>
      <c r="AS23" s="111"/>
      <c r="AT23" s="111"/>
      <c r="AU23" s="111">
        <f>SUM(AM23:AR23)</f>
        <v>1.7048076923076925</v>
      </c>
      <c r="AV23" s="119">
        <f>AU23/$AU$29</f>
        <v>0.28413461538461537</v>
      </c>
      <c r="AW23" s="120">
        <f>MMULT(AB23:AG23,$AV$23:$AV$28)</f>
        <v>1.8634615384615381</v>
      </c>
      <c r="AX23" s="121">
        <f>AW23/AV23</f>
        <v>6.5583756345177653</v>
      </c>
      <c r="AY23" s="122">
        <f>AVERAGE(AX23:AX28)</f>
        <v>6.428998140145854</v>
      </c>
      <c r="AZ23" s="121">
        <f>(AY23-AZ29)/(AZ29-1)</f>
        <v>8.5799628029170807E-2</v>
      </c>
      <c r="BA23" s="121">
        <f>VLOOKUP(AZ29,$BA$53:$BB$61,2)</f>
        <v>1.24</v>
      </c>
      <c r="BB23" s="121">
        <f>IF(ISERROR(AZ23/BA23),0,AZ23/BA23)</f>
        <v>6.9193248410621619E-2</v>
      </c>
      <c r="BC23" s="121">
        <f>BB23*100</f>
        <v>6.9193248410621617</v>
      </c>
      <c r="BD23" s="113">
        <f>AV23/(1/$AZ$29)</f>
        <v>1.7048076923076922</v>
      </c>
      <c r="BE23" s="51">
        <f t="shared" ref="BE23:BE28" si="38">O15*BD23</f>
        <v>9.6605769230769241</v>
      </c>
      <c r="BG23" s="401" t="str">
        <f>Y23</f>
        <v>Maintainer performance</v>
      </c>
      <c r="BH23" s="254" t="str">
        <f>AA23</f>
        <v>Ability to screen candidates in training</v>
      </c>
      <c r="BI23" s="113">
        <f t="shared" ref="BI23:BI28" si="39">BD23</f>
        <v>1.7048076923076922</v>
      </c>
      <c r="BJ23" s="51">
        <f t="shared" ref="BJ23:BJ28" si="40">BE23</f>
        <v>9.6605769230769241</v>
      </c>
    </row>
    <row r="24" spans="2:62" s="7" customFormat="1" ht="15.75" customHeight="1" thickTop="1" thickBot="1" x14ac:dyDescent="0.3">
      <c r="B24" s="386"/>
      <c r="C24" s="170">
        <f>'Influencing Factors'!C24</f>
        <v>19</v>
      </c>
      <c r="D24" s="205" t="str">
        <f>'Influencing Factors'!D24</f>
        <v>Availability of resources to support maintenance</v>
      </c>
      <c r="E24" s="171">
        <f>'Influencing Factors'!E24</f>
        <v>6</v>
      </c>
      <c r="F24" s="171">
        <f>'Influencing Factors'!F24</f>
        <v>6</v>
      </c>
      <c r="G24" s="171">
        <f>'Influencing Factors'!G24</f>
        <v>3</v>
      </c>
      <c r="H24" s="171">
        <f>'Influencing Factors'!H24</f>
        <v>7</v>
      </c>
      <c r="I24" s="171">
        <f>'Influencing Factors'!I24</f>
        <v>7</v>
      </c>
      <c r="J24" s="171">
        <f>'Influencing Factors'!J24</f>
        <v>5</v>
      </c>
      <c r="K24" s="171">
        <f>'Influencing Factors'!K24</f>
        <v>4</v>
      </c>
      <c r="L24" s="171">
        <f>'Influencing Factors'!L24</f>
        <v>6</v>
      </c>
      <c r="M24" s="171">
        <f>'Influencing Factors'!M24</f>
        <v>6</v>
      </c>
      <c r="N24"/>
      <c r="O24" s="18">
        <f>'Influencing Factors'!O24</f>
        <v>5.5555555555555554</v>
      </c>
      <c r="P24" s="173"/>
      <c r="Q24" s="20">
        <f>'Influencing Factors'!Q24</f>
        <v>4</v>
      </c>
      <c r="R24" s="173"/>
      <c r="S24" s="180">
        <f>'Influencing Factors'!S24</f>
        <v>1.5555555555555554</v>
      </c>
      <c r="X24" s="56"/>
      <c r="Y24" s="401"/>
      <c r="Z24" s="221">
        <f t="shared" ref="Z24:Z28" si="41">C18</f>
        <v>13</v>
      </c>
      <c r="AA24" s="254" t="str">
        <f t="shared" ref="AA24:AA28" si="42">D18</f>
        <v>Availability of suitably qualified maintainers</v>
      </c>
      <c r="AB24" s="259">
        <f>IF(ISERROR(1/$AC23),0,IF(OR(COUNT($O17)&lt;&gt;1,COUNT($O18)&lt;&gt;1),"",1/$AC23))</f>
        <v>0.33333333333333331</v>
      </c>
      <c r="AC24" s="230">
        <v>1</v>
      </c>
      <c r="AD24" s="140">
        <f>IF(OR(COUNT($O18)&lt;&gt;1,COUNT($O19)&lt;&gt;1),0,
IF($O18-$O19&lt;0,
IF($O18-$O19&gt;=$Z$53,$AA$53,
IF($O18-$O19&gt;=$Z$54,$AA$54,
IF($O18-$O19&gt;=$Z$55,$AA$55,$AA$56))),
IF($O18=$O19,1,
IF($O18-$O19&lt;=$AC$53,$AD$53,
IF($O18-$O19&lt;=$AC$54,$AD$54,
IF($O18-$O19&lt;=$AC$55,$AD$55,$AD$56))))))</f>
        <v>1</v>
      </c>
      <c r="AE24" s="140">
        <f>IF(OR(COUNT($O18)&lt;&gt;1,COUNT($O20)&lt;&gt;1),0,
IF($O18-$O20&lt;0,
IF($O18-$O20&gt;=$Z$53,$AA$53,
IF($O18-$O20&gt;=$Z$54,$AA$54,
IF($O18-$O20&gt;=$Z$55,$AA$55,$AA$56))),
IF($O18=$O20,1,
IF($O18-$O20&lt;=$AC$53,$AD$53,
IF($O18-$O20&lt;=$AC$54,$AD$54,
IF($O18-$O20&lt;=$AC$55,$AD$55,$AD$56))))))</f>
        <v>3</v>
      </c>
      <c r="AF24" s="140">
        <f>IF(OR(COUNT($O18)&lt;&gt;1,COUNT($O21)&lt;&gt;1),0,
IF($O18-$O21&lt;0,
IF($O18-$O21&gt;=$Z$53,$AA$53,
IF($O18-$O21&gt;=$Z$54,$AA$54,
IF($O18-$O21&gt;=$Z$55,$AA$55,$AA$56))),
IF($O18=$O21,1,
IF($O18-$O21&lt;=$AC$53,$AD$53,
IF($O18-$O21&lt;=$AC$54,$AD$54,
IF($O18-$O21&lt;=$AC$55,$AD$55,$AD$56))))))</f>
        <v>0.33333333333333331</v>
      </c>
      <c r="AG24" s="260">
        <f>IF(OR(COUNT($O18)&lt;&gt;1,COUNT($O22)&lt;&gt;1),0,
IF($O18-$O22&lt;0,
IF($O18-$O22&gt;=$Z$53,$AA$53,
IF($O18-$O22&gt;=$Z$54,$AA$54,
IF($O18-$O22&gt;=$Z$55,$AA$55,$AA$56))),
IF($O18=$O22,1,
IF($O18-$O22&lt;=$AC$53,$AD$53,
IF($O18-$O22&lt;=$AC$54,$AD$54,
IF($O18-$O22&lt;=$AC$55,$AD$55,$AD$56))))))</f>
        <v>3</v>
      </c>
      <c r="AH24" s="68"/>
      <c r="AI24" s="68"/>
      <c r="AJ24"/>
      <c r="AK24" s="56"/>
      <c r="AL24" s="114" t="str">
        <f>AA24</f>
        <v>Availability of suitably qualified maintainers</v>
      </c>
      <c r="AM24" s="123">
        <f>AB24/AB$29</f>
        <v>9.9999999999999992E-2</v>
      </c>
      <c r="AN24" s="118">
        <f>AC24/AC$29</f>
        <v>0.11538461538461539</v>
      </c>
      <c r="AO24" s="118">
        <f t="shared" si="37"/>
        <v>0.11538461538461539</v>
      </c>
      <c r="AP24" s="118">
        <f t="shared" si="37"/>
        <v>0.22499999999999998</v>
      </c>
      <c r="AQ24" s="118">
        <f t="shared" si="37"/>
        <v>9.9999999999999992E-2</v>
      </c>
      <c r="AR24" s="124">
        <f>AG24/AG$29</f>
        <v>0.1875</v>
      </c>
      <c r="AS24" s="317"/>
      <c r="AT24" s="111"/>
      <c r="AU24" s="111">
        <f t="shared" ref="AU24:AU28" si="43">SUM(AM24:AR24)</f>
        <v>0.84326923076923077</v>
      </c>
      <c r="AV24" s="119">
        <f t="shared" ref="AV24:AV28" si="44">AU24/$AU$29</f>
        <v>0.14054487179487177</v>
      </c>
      <c r="AW24" s="120">
        <f t="shared" ref="AW24:AW28" si="45">MMULT(AB24:AG24,$AV$23:$AV$28)</f>
        <v>0.92243589743589727</v>
      </c>
      <c r="AX24" s="121">
        <f t="shared" ref="AX24:AX28" si="46">AW24/AV24</f>
        <v>6.5632839224629418</v>
      </c>
      <c r="AY24" s="318"/>
      <c r="AZ24" s="317"/>
      <c r="BA24" s="317"/>
      <c r="BB24" s="317"/>
      <c r="BC24" s="317"/>
      <c r="BD24" s="319">
        <f>AV24/(1/$AZ$29)</f>
        <v>0.84326923076923066</v>
      </c>
      <c r="BE24" s="51">
        <f t="shared" si="38"/>
        <v>5.153311965811965</v>
      </c>
      <c r="BG24" s="401"/>
      <c r="BH24" s="254" t="str">
        <f t="shared" ref="BH24:BH28" si="47">AA24</f>
        <v>Availability of suitably qualified maintainers</v>
      </c>
      <c r="BI24" s="319">
        <f t="shared" si="39"/>
        <v>0.84326923076923066</v>
      </c>
      <c r="BJ24" s="51">
        <f t="shared" si="40"/>
        <v>5.153311965811965</v>
      </c>
    </row>
    <row r="25" spans="2:62" s="7" customFormat="1" ht="15.75" customHeight="1" thickTop="1" thickBot="1" x14ac:dyDescent="0.3">
      <c r="B25" s="386"/>
      <c r="C25" s="170">
        <f>'Influencing Factors'!C25</f>
        <v>20</v>
      </c>
      <c r="D25" s="202" t="str">
        <f>'Influencing Factors'!D25</f>
        <v>OEM logistics (i.e. supply of parts)</v>
      </c>
      <c r="E25" s="13">
        <f>'Influencing Factors'!E25</f>
        <v>6</v>
      </c>
      <c r="F25" s="13">
        <f>'Influencing Factors'!F25</f>
        <v>5</v>
      </c>
      <c r="G25" s="13">
        <f>'Influencing Factors'!G25</f>
        <v>4</v>
      </c>
      <c r="H25" s="13">
        <f>'Influencing Factors'!H25</f>
        <v>7</v>
      </c>
      <c r="I25" s="13">
        <f>'Influencing Factors'!I25</f>
        <v>7</v>
      </c>
      <c r="J25" s="13">
        <f>'Influencing Factors'!J25</f>
        <v>7</v>
      </c>
      <c r="K25" s="13">
        <f>'Influencing Factors'!K25</f>
        <v>4</v>
      </c>
      <c r="L25" s="13">
        <f>'Influencing Factors'!L25</f>
        <v>7</v>
      </c>
      <c r="M25" s="13">
        <f>'Influencing Factors'!M25</f>
        <v>6</v>
      </c>
      <c r="N25"/>
      <c r="O25" s="18">
        <f>'Influencing Factors'!O25</f>
        <v>5.8888888888888893</v>
      </c>
      <c r="P25" s="173"/>
      <c r="Q25" s="20">
        <f>'Influencing Factors'!Q25</f>
        <v>3</v>
      </c>
      <c r="R25" s="173"/>
      <c r="S25" s="180">
        <f>'Influencing Factors'!S25</f>
        <v>2.8888888888888893</v>
      </c>
      <c r="X25" s="56"/>
      <c r="Y25" s="401"/>
      <c r="Z25" s="221">
        <f t="shared" si="41"/>
        <v>14</v>
      </c>
      <c r="AA25" s="254" t="str">
        <f t="shared" si="42"/>
        <v>Knowledge and experience to perform a given task</v>
      </c>
      <c r="AB25" s="259">
        <f>IF(ISERROR(1/$AD23),0,IF(OR(COUNT($O17)&lt;&gt;1,COUNT($O19)&lt;&gt;1),"",1/$AD23))</f>
        <v>0.33333333333333331</v>
      </c>
      <c r="AC25" s="61">
        <f>IF(ISERROR(1/$AD24),0,IF(OR(COUNT($O18)&lt;&gt;1,COUNT($O19)&lt;&gt;1),"",1/$AD24))</f>
        <v>1</v>
      </c>
      <c r="AD25" s="230">
        <v>1</v>
      </c>
      <c r="AE25" s="140">
        <f>IF(OR(COUNT($O19)&lt;&gt;1,COUNT($O20)&lt;&gt;1),0,
IF($O19-$O20&lt;0,
IF($O19-$O20&gt;=$Z$53,$AA$53,
IF($O19-$O20&gt;=$Z$54,$AA$54,
IF($O19-$O20&gt;=$Z$55,$AA$55,$AA$56))),
IF($O19=$O20,1,
IF($O19-$O20&lt;=$AC$53,$AD$53,
IF($O19-$O20&lt;=$AC$54,$AD$54,
IF($O19-$O20&lt;=$AC$55,$AD$55,$AD$56))))))</f>
        <v>3</v>
      </c>
      <c r="AF25" s="140">
        <f>IF(OR(COUNT($O19)&lt;&gt;1,COUNT($O21)&lt;&gt;1),0,
IF($O19-$O21&lt;0,
IF($O19-$O21&gt;=$Z$53,$AA$53,
IF($O19-$O21&gt;=$Z$54,$AA$54,
IF($O19-$O21&gt;=$Z$55,$AA$55,$AA$56))),
IF($O19=$O21,1,
IF($O19-$O21&lt;=$AC$53,$AD$53,
IF($O19-$O21&lt;=$AC$54,$AD$54,
IF($O19-$O21&lt;=$AC$55,$AD$55,$AD$56))))))</f>
        <v>0.33333333333333331</v>
      </c>
      <c r="AG25" s="260">
        <f>IF(OR(COUNT($O19)&lt;&gt;1,COUNT($O22)&lt;&gt;1),0,
IF($O19-$O22&lt;0,
IF($O19-$O22&gt;=$Z$53,$AA$53,
IF($O19-$O22&gt;=$Z$54,$AA$54,
IF($O19-$O22&gt;=$Z$55,$AA$55,$AA$56))),
IF($O19=$O22,1,
IF($O19-$O22&lt;=$AC$53,$AD$53,
IF($O19-$O22&lt;=$AC$54,$AD$54,
IF($O19-$O22&lt;=$AC$55,$AD$55,$AD$56))))))</f>
        <v>3</v>
      </c>
      <c r="AH25" s="68"/>
      <c r="AI25" s="68"/>
      <c r="AJ25"/>
      <c r="AK25" s="56"/>
      <c r="AL25" s="114" t="str">
        <f t="shared" ref="AL25:AL28" si="48">AA25</f>
        <v>Knowledge and experience to perform a given task</v>
      </c>
      <c r="AM25" s="123">
        <f t="shared" ref="AM25:AM28" si="49">AB25/AB$29</f>
        <v>9.9999999999999992E-2</v>
      </c>
      <c r="AN25" s="118">
        <f t="shared" ref="AN25:AN28" si="50">AC25/AC$29</f>
        <v>0.11538461538461539</v>
      </c>
      <c r="AO25" s="118">
        <f>AD25/AD$29</f>
        <v>0.11538461538461539</v>
      </c>
      <c r="AP25" s="118">
        <f t="shared" si="37"/>
        <v>0.22499999999999998</v>
      </c>
      <c r="AQ25" s="118">
        <f t="shared" si="37"/>
        <v>9.9999999999999992E-2</v>
      </c>
      <c r="AR25" s="124">
        <f t="shared" si="37"/>
        <v>0.1875</v>
      </c>
      <c r="AS25" s="317"/>
      <c r="AT25" s="111"/>
      <c r="AU25" s="111">
        <f t="shared" si="43"/>
        <v>0.84326923076923077</v>
      </c>
      <c r="AV25" s="119">
        <f t="shared" si="44"/>
        <v>0.14054487179487177</v>
      </c>
      <c r="AW25" s="120">
        <f t="shared" si="45"/>
        <v>0.92243589743589727</v>
      </c>
      <c r="AX25" s="121">
        <f t="shared" si="46"/>
        <v>6.5632839224629418</v>
      </c>
      <c r="AY25" s="318"/>
      <c r="AZ25" s="317"/>
      <c r="BA25" s="317"/>
      <c r="BB25" s="317"/>
      <c r="BC25" s="317"/>
      <c r="BD25" s="319">
        <f t="shared" ref="BD25:BD28" si="51">AV25/(1/$AZ$29)</f>
        <v>0.84326923076923066</v>
      </c>
      <c r="BE25" s="51">
        <f t="shared" si="38"/>
        <v>5.153311965811965</v>
      </c>
      <c r="BG25" s="401"/>
      <c r="BH25" s="254" t="str">
        <f t="shared" si="47"/>
        <v>Knowledge and experience to perform a given task</v>
      </c>
      <c r="BI25" s="319">
        <f t="shared" si="39"/>
        <v>0.84326923076923066</v>
      </c>
      <c r="BJ25" s="51">
        <f t="shared" si="40"/>
        <v>5.153311965811965</v>
      </c>
    </row>
    <row r="26" spans="2:62" s="7" customFormat="1" ht="15.75" customHeight="1" thickTop="1" thickBot="1" x14ac:dyDescent="0.3">
      <c r="B26" s="386"/>
      <c r="C26" s="170">
        <f>'Influencing Factors'!C26</f>
        <v>21</v>
      </c>
      <c r="D26" s="204" t="str">
        <f>'Influencing Factors'!D26</f>
        <v>Complexity of equipment</v>
      </c>
      <c r="E26" s="171">
        <f>'Influencing Factors'!E26</f>
        <v>5</v>
      </c>
      <c r="F26" s="171">
        <f>'Influencing Factors'!F26</f>
        <v>4</v>
      </c>
      <c r="G26" s="171">
        <f>'Influencing Factors'!G26</f>
        <v>4</v>
      </c>
      <c r="H26" s="171">
        <f>'Influencing Factors'!H26</f>
        <v>5</v>
      </c>
      <c r="I26" s="171">
        <f>'Influencing Factors'!I26</f>
        <v>6</v>
      </c>
      <c r="J26" s="171">
        <f>'Influencing Factors'!J26</f>
        <v>4</v>
      </c>
      <c r="K26" s="171">
        <f>'Influencing Factors'!K26</f>
        <v>6</v>
      </c>
      <c r="L26" s="171">
        <f>'Influencing Factors'!L26</f>
        <v>6</v>
      </c>
      <c r="M26" s="171">
        <f>'Influencing Factors'!M26</f>
        <v>7</v>
      </c>
      <c r="N26"/>
      <c r="O26" s="18">
        <f>'Influencing Factors'!O26</f>
        <v>5.2222222222222223</v>
      </c>
      <c r="P26" s="173"/>
      <c r="Q26" s="20">
        <f>'Influencing Factors'!Q26</f>
        <v>3</v>
      </c>
      <c r="R26" s="173"/>
      <c r="S26" s="180">
        <f>'Influencing Factors'!S26</f>
        <v>2.2222222222222223</v>
      </c>
      <c r="X26" s="56"/>
      <c r="Y26" s="401"/>
      <c r="Z26" s="221">
        <f t="shared" si="41"/>
        <v>15</v>
      </c>
      <c r="AA26" s="254" t="str">
        <f t="shared" si="42"/>
        <v>Material readiness state awareness</v>
      </c>
      <c r="AB26" s="259">
        <f>IF(ISERROR(1/$AE23),0,IF(OR(COUNT($O17)&lt;&gt;1,COUNT($O20)&lt;&gt;1),"",1/$AE23))</f>
        <v>0.33333333333333331</v>
      </c>
      <c r="AC26" s="61">
        <f>IF(ISERROR(1/$AE24),0,IF(OR(COUNT($O18)&lt;&gt;1,COUNT($O20)&lt;&gt;1),"",1/$AE24))</f>
        <v>0.33333333333333331</v>
      </c>
      <c r="AD26" s="61">
        <f>IF(ISERROR(1/$AE25),0,IF(OR(COUNT($O19)&lt;&gt;1,COUNT($O20)&lt;&gt;1),"",1/$AE25))</f>
        <v>0.33333333333333331</v>
      </c>
      <c r="AE26" s="230">
        <v>1</v>
      </c>
      <c r="AF26" s="140">
        <f>IF(OR(COUNT($O20)&lt;&gt;1,COUNT($O21)&lt;&gt;1),0,
IF($O20-$O21&lt;0,
IF($O20-$O21&gt;=$Z$53,$AA$53,
IF($O20-$O21&gt;=$Z$54,$AA$54,
IF($O20-$O21&gt;=$Z$55,$AA$55,$AA$56))),
IF($O20=$O21,1,
IF($O20-$O21&lt;=$AC$53,$AD$53,
IF($O20-$O21&lt;=$AC$54,$AD$54,
IF($O20-$O21&lt;=$AC$55,$AD$55,$AD$56))))))</f>
        <v>0.33333333333333331</v>
      </c>
      <c r="AG26" s="260">
        <f>IF(OR(COUNT($O20)&lt;&gt;1,COUNT($O22)&lt;&gt;1),0,
IF($O20-$O22&lt;0,
IF($O20-$O22&gt;=$Z$53,$AA$53,
IF($O20-$O22&gt;=$Z$54,$AA$54,
IF($O20-$O22&gt;=$Z$55,$AA$55,$AA$56))),
IF($O20=$O22,1,
IF($O20-$O22&lt;=$AC$53,$AD$53,
IF($O20-$O22&lt;=$AC$54,$AD$54,
IF($O20-$O22&lt;=$AC$55,$AD$55,$AD$56))))))</f>
        <v>3</v>
      </c>
      <c r="AH26" s="68"/>
      <c r="AI26" s="68"/>
      <c r="AJ26"/>
      <c r="AK26" s="56"/>
      <c r="AL26" s="114" t="str">
        <f t="shared" si="48"/>
        <v>Material readiness state awareness</v>
      </c>
      <c r="AM26" s="123">
        <f t="shared" si="49"/>
        <v>9.9999999999999992E-2</v>
      </c>
      <c r="AN26" s="118">
        <f t="shared" si="50"/>
        <v>3.8461538461538464E-2</v>
      </c>
      <c r="AO26" s="118">
        <f>AD26/AD$29</f>
        <v>3.8461538461538464E-2</v>
      </c>
      <c r="AP26" s="118">
        <f t="shared" si="37"/>
        <v>7.4999999999999997E-2</v>
      </c>
      <c r="AQ26" s="118">
        <f t="shared" si="37"/>
        <v>9.9999999999999992E-2</v>
      </c>
      <c r="AR26" s="124">
        <f t="shared" si="37"/>
        <v>0.1875</v>
      </c>
      <c r="AS26" s="317"/>
      <c r="AT26" s="111"/>
      <c r="AU26" s="111">
        <f t="shared" si="43"/>
        <v>0.53942307692307689</v>
      </c>
      <c r="AV26" s="119">
        <f t="shared" si="44"/>
        <v>8.990384615384614E-2</v>
      </c>
      <c r="AW26" s="120">
        <f t="shared" si="45"/>
        <v>0.55523504273504276</v>
      </c>
      <c r="AX26" s="121">
        <f t="shared" si="46"/>
        <v>6.1758764111705302</v>
      </c>
      <c r="AY26" s="318"/>
      <c r="AZ26" s="317"/>
      <c r="BA26" s="317"/>
      <c r="BB26" s="317"/>
      <c r="BC26" s="317"/>
      <c r="BD26" s="319">
        <f t="shared" si="51"/>
        <v>0.53942307692307689</v>
      </c>
      <c r="BE26" s="51">
        <f t="shared" si="38"/>
        <v>3.1766025641025641</v>
      </c>
      <c r="BG26" s="401"/>
      <c r="BH26" s="254" t="str">
        <f t="shared" si="47"/>
        <v>Material readiness state awareness</v>
      </c>
      <c r="BI26" s="319">
        <f t="shared" si="39"/>
        <v>0.53942307692307689</v>
      </c>
      <c r="BJ26" s="51">
        <f t="shared" si="40"/>
        <v>3.1766025641025641</v>
      </c>
    </row>
    <row r="27" spans="2:62" s="7" customFormat="1" ht="15.75" customHeight="1" thickTop="1" thickBot="1" x14ac:dyDescent="0.3">
      <c r="B27" s="386"/>
      <c r="C27" s="170">
        <f>'Influencing Factors'!C27</f>
        <v>22</v>
      </c>
      <c r="D27" s="202" t="str">
        <f>'Influencing Factors'!D27</f>
        <v>Quality of components and manufacturing</v>
      </c>
      <c r="E27" s="13">
        <f>'Influencing Factors'!E27</f>
        <v>6</v>
      </c>
      <c r="F27" s="13">
        <f>'Influencing Factors'!F27</f>
        <v>4</v>
      </c>
      <c r="G27" s="13">
        <f>'Influencing Factors'!G27</f>
        <v>5</v>
      </c>
      <c r="H27" s="13">
        <f>'Influencing Factors'!H27</f>
        <v>5</v>
      </c>
      <c r="I27" s="13">
        <f>'Influencing Factors'!I27</f>
        <v>6</v>
      </c>
      <c r="J27" s="13">
        <f>'Influencing Factors'!J27</f>
        <v>4</v>
      </c>
      <c r="K27" s="13">
        <f>'Influencing Factors'!K27</f>
        <v>6</v>
      </c>
      <c r="L27" s="13">
        <f>'Influencing Factors'!L27</f>
        <v>6</v>
      </c>
      <c r="M27" s="13">
        <f>'Influencing Factors'!M27</f>
        <v>7</v>
      </c>
      <c r="N27"/>
      <c r="O27" s="18">
        <f>'Influencing Factors'!O27</f>
        <v>5.4444444444444446</v>
      </c>
      <c r="P27" s="173"/>
      <c r="Q27" s="20">
        <f>'Influencing Factors'!Q27</f>
        <v>3</v>
      </c>
      <c r="R27" s="173"/>
      <c r="S27" s="180">
        <f>'Influencing Factors'!S27</f>
        <v>2.4444444444444446</v>
      </c>
      <c r="U27" s="46" t="str">
        <f>P5</f>
        <v>Mean cat</v>
      </c>
      <c r="V27" s="47"/>
      <c r="W27"/>
      <c r="X27" s="56"/>
      <c r="Y27" s="401"/>
      <c r="Z27" s="221">
        <f t="shared" si="41"/>
        <v>16</v>
      </c>
      <c r="AA27" s="254" t="str">
        <f t="shared" si="42"/>
        <v>Commitment to record data in relevant data banks</v>
      </c>
      <c r="AB27" s="259">
        <f>IF(ISERROR(1/$AF23),0,IF(OR(COUNT($O17)&lt;&gt;1,COUNT($O21)&lt;&gt;1),"",1/$AF23))</f>
        <v>1</v>
      </c>
      <c r="AC27" s="61">
        <f>IF(ISERROR(1/$AF24),0,IF(OR(COUNT($O18)&lt;&gt;1,COUNT($O21)&lt;&gt;1),"",1/$AF24))</f>
        <v>3</v>
      </c>
      <c r="AD27" s="61">
        <f>IF(ISERROR(1/$AF25),0,IF(OR(COUNT($O19)&lt;&gt;1,COUNT($O21)&lt;&gt;1),"",1/$AF25))</f>
        <v>3</v>
      </c>
      <c r="AE27" s="61">
        <f>IF(ISERROR(1/$AF26),0,IF(OR(COUNT($O20)&lt;&gt;1,COUNT($O21)&lt;&gt;1),"",1/$AF26))</f>
        <v>3</v>
      </c>
      <c r="AF27" s="230">
        <v>1</v>
      </c>
      <c r="AG27" s="260">
        <f>IF(OR(COUNT($O21)&lt;&gt;1,COUNT($O22)&lt;&gt;1),0,
IF($O21-$O22&lt;0,
IF($O21-$O22&gt;=$Z$53,$AA$53,
IF($O21-$O22&gt;=$Z$54,$AA$54,
IF($O21-$O22&gt;=$Z$55,$AA$55,$AA$56))),
IF($O21=$O22,1,
IF($O21-$O22&lt;=$AC$53,$AD$53,
IF($O21-$O22&lt;=$AC$54,$AD$54,
IF($O21-$O22&lt;=$AC$55,$AD$55,$AD$56))))))</f>
        <v>3</v>
      </c>
      <c r="AH27" s="68"/>
      <c r="AI27" s="68"/>
      <c r="AJ27"/>
      <c r="AK27" s="56"/>
      <c r="AL27" s="114" t="str">
        <f t="shared" si="48"/>
        <v>Commitment to record data in relevant data banks</v>
      </c>
      <c r="AM27" s="123">
        <f t="shared" si="49"/>
        <v>0.3</v>
      </c>
      <c r="AN27" s="118">
        <f t="shared" si="50"/>
        <v>0.3461538461538462</v>
      </c>
      <c r="AO27" s="118">
        <f>AD27/AD$29</f>
        <v>0.3461538461538462</v>
      </c>
      <c r="AP27" s="118">
        <f>AE27/AE$29</f>
        <v>0.22499999999999998</v>
      </c>
      <c r="AQ27" s="118">
        <f t="shared" si="37"/>
        <v>0.3</v>
      </c>
      <c r="AR27" s="124">
        <f t="shared" si="37"/>
        <v>0.1875</v>
      </c>
      <c r="AS27" s="317"/>
      <c r="AT27" s="111"/>
      <c r="AU27" s="111">
        <f t="shared" si="43"/>
        <v>1.7048076923076925</v>
      </c>
      <c r="AV27" s="119">
        <f t="shared" si="44"/>
        <v>0.28413461538461537</v>
      </c>
      <c r="AW27" s="120">
        <f t="shared" si="45"/>
        <v>1.8634615384615381</v>
      </c>
      <c r="AX27" s="121">
        <f t="shared" si="46"/>
        <v>6.5583756345177653</v>
      </c>
      <c r="AY27" s="318"/>
      <c r="AZ27" s="317"/>
      <c r="BA27" s="317"/>
      <c r="BB27" s="317"/>
      <c r="BC27" s="317"/>
      <c r="BD27" s="319">
        <f t="shared" si="51"/>
        <v>1.7048076923076922</v>
      </c>
      <c r="BE27" s="51">
        <f t="shared" si="38"/>
        <v>10.039423076923077</v>
      </c>
      <c r="BG27" s="401"/>
      <c r="BH27" s="254" t="str">
        <f t="shared" si="47"/>
        <v>Commitment to record data in relevant data banks</v>
      </c>
      <c r="BI27" s="319">
        <f t="shared" si="39"/>
        <v>1.7048076923076922</v>
      </c>
      <c r="BJ27" s="51">
        <f t="shared" si="40"/>
        <v>10.039423076923077</v>
      </c>
    </row>
    <row r="28" spans="2:62" s="7" customFormat="1" ht="15.75" customHeight="1" thickTop="1" thickBot="1" x14ac:dyDescent="0.3">
      <c r="B28" s="386"/>
      <c r="C28" s="170">
        <f>'Influencing Factors'!C28</f>
        <v>23</v>
      </c>
      <c r="D28" s="203" t="str">
        <f>'Influencing Factors'!D28</f>
        <v>Mean time between failure (MTBF) data</v>
      </c>
      <c r="E28" s="171">
        <f>'Influencing Factors'!E28</f>
        <v>4</v>
      </c>
      <c r="F28" s="171">
        <f>'Influencing Factors'!F28</f>
        <v>5</v>
      </c>
      <c r="G28" s="171">
        <f>'Influencing Factors'!G28</f>
        <v>5</v>
      </c>
      <c r="H28" s="171">
        <f>'Influencing Factors'!H28</f>
        <v>4</v>
      </c>
      <c r="I28" s="171">
        <f>'Influencing Factors'!I28</f>
        <v>6</v>
      </c>
      <c r="J28" s="171">
        <f>'Influencing Factors'!J28</f>
        <v>4</v>
      </c>
      <c r="K28" s="171">
        <f>'Influencing Factors'!K28</f>
        <v>3</v>
      </c>
      <c r="L28" s="171">
        <f>'Influencing Factors'!L28</f>
        <v>4</v>
      </c>
      <c r="M28" s="171">
        <f>'Influencing Factors'!M28</f>
        <v>2</v>
      </c>
      <c r="N28"/>
      <c r="O28" s="18">
        <f>'Influencing Factors'!O28</f>
        <v>4.1111111111111107</v>
      </c>
      <c r="P28" s="173"/>
      <c r="Q28" s="20">
        <f>'Influencing Factors'!Q28</f>
        <v>4</v>
      </c>
      <c r="R28" s="173"/>
      <c r="S28" s="180">
        <f>'Influencing Factors'!S28</f>
        <v>0.11111111111111072</v>
      </c>
      <c r="U28" s="146" t="str">
        <f>'Influencing Factors'!X28</f>
        <v>Commercial</v>
      </c>
      <c r="V28" s="176">
        <f>'Influencing Factors'!Y28</f>
        <v>4.9861111111111116</v>
      </c>
      <c r="X28" s="56"/>
      <c r="Y28" s="401"/>
      <c r="Z28" s="221">
        <f t="shared" si="41"/>
        <v>17</v>
      </c>
      <c r="AA28" s="254" t="str">
        <f t="shared" si="42"/>
        <v>Response to working environment (temp., confined spaces, etc.)</v>
      </c>
      <c r="AB28" s="261">
        <f>IF(ISERROR(1/$AG23),0,IF(OR(COUNT($O17)&lt;&gt;1,COUNT($O22)&lt;&gt;1),"",1/$AG23))</f>
        <v>0.33333333333333331</v>
      </c>
      <c r="AC28" s="262">
        <f>IF(ISERROR(1/$AG24),0,IF(OR(COUNT($O18)&lt;&gt;1,COUNT($O22)&lt;&gt;1),"",1/$AG24))</f>
        <v>0.33333333333333331</v>
      </c>
      <c r="AD28" s="262">
        <f>IF(ISERROR(1/$AG25),0,IF(OR(COUNT($O19)&lt;&gt;1,COUNT($O22)&lt;&gt;1),"",1/$AG25))</f>
        <v>0.33333333333333331</v>
      </c>
      <c r="AE28" s="262">
        <f>IF(ISERROR(1/$AG26),0,IF(OR(COUNT($O20)&lt;&gt;1,COUNT($O22)&lt;&gt;1),"",1/$AG26))</f>
        <v>0.33333333333333331</v>
      </c>
      <c r="AF28" s="262">
        <f>IF(ISERROR(1/$AG27),0,IF(OR(COUNT($O21)&lt;&gt;1,COUNT($O22)&lt;&gt;1),"",1/$AG27))</f>
        <v>0.33333333333333331</v>
      </c>
      <c r="AG28" s="263">
        <v>1</v>
      </c>
      <c r="AH28" s="68"/>
      <c r="AI28" s="68"/>
      <c r="AJ28"/>
      <c r="AK28" s="56"/>
      <c r="AL28" s="114" t="str">
        <f t="shared" si="48"/>
        <v>Response to working environment (temp., confined spaces, etc.)</v>
      </c>
      <c r="AM28" s="125">
        <f t="shared" si="49"/>
        <v>9.9999999999999992E-2</v>
      </c>
      <c r="AN28" s="126">
        <f t="shared" si="50"/>
        <v>3.8461538461538464E-2</v>
      </c>
      <c r="AO28" s="126">
        <f>AD28/AD$29</f>
        <v>3.8461538461538464E-2</v>
      </c>
      <c r="AP28" s="126">
        <f t="shared" si="37"/>
        <v>2.4999999999999998E-2</v>
      </c>
      <c r="AQ28" s="126">
        <f t="shared" si="37"/>
        <v>9.9999999999999992E-2</v>
      </c>
      <c r="AR28" s="127">
        <f t="shared" si="37"/>
        <v>6.25E-2</v>
      </c>
      <c r="AS28" s="317"/>
      <c r="AT28" s="111"/>
      <c r="AU28" s="111">
        <f t="shared" si="43"/>
        <v>0.36442307692307691</v>
      </c>
      <c r="AV28" s="119">
        <f t="shared" si="44"/>
        <v>6.0737179487179473E-2</v>
      </c>
      <c r="AW28" s="120">
        <f t="shared" si="45"/>
        <v>0.37382478632478633</v>
      </c>
      <c r="AX28" s="121">
        <f t="shared" si="46"/>
        <v>6.1547933157431851</v>
      </c>
      <c r="AY28" s="318"/>
      <c r="AZ28" s="317"/>
      <c r="BA28" s="317"/>
      <c r="BB28" s="317"/>
      <c r="BC28" s="317"/>
      <c r="BD28" s="319">
        <f t="shared" si="51"/>
        <v>0.36442307692307685</v>
      </c>
      <c r="BE28" s="51">
        <f t="shared" si="38"/>
        <v>1.7816239316239315</v>
      </c>
      <c r="BG28" s="401"/>
      <c r="BH28" s="254" t="str">
        <f t="shared" si="47"/>
        <v>Response to working environment (temp., confined spaces, etc.)</v>
      </c>
      <c r="BI28" s="319">
        <f t="shared" si="39"/>
        <v>0.36442307692307685</v>
      </c>
      <c r="BJ28" s="51">
        <f t="shared" si="40"/>
        <v>1.7816239316239315</v>
      </c>
    </row>
    <row r="29" spans="2:62" s="7" customFormat="1" ht="15.75" customHeight="1" thickTop="1" thickBot="1" x14ac:dyDescent="0.3">
      <c r="B29" s="386"/>
      <c r="C29" s="170">
        <f>'Influencing Factors'!C29</f>
        <v>24</v>
      </c>
      <c r="D29" s="202" t="str">
        <f>'Influencing Factors'!D29</f>
        <v>Supply chain logistics</v>
      </c>
      <c r="E29" s="13">
        <f>'Influencing Factors'!E29</f>
        <v>5</v>
      </c>
      <c r="F29" s="13">
        <f>'Influencing Factors'!F29</f>
        <v>4</v>
      </c>
      <c r="G29" s="13">
        <f>'Influencing Factors'!G29</f>
        <v>5</v>
      </c>
      <c r="H29" s="13">
        <f>'Influencing Factors'!H29</f>
        <v>6</v>
      </c>
      <c r="I29" s="13">
        <f>'Influencing Factors'!I29</f>
        <v>7</v>
      </c>
      <c r="J29" s="13">
        <f>'Influencing Factors'!J29</f>
        <v>6</v>
      </c>
      <c r="K29" s="13">
        <f>'Influencing Factors'!K29</f>
        <v>3</v>
      </c>
      <c r="L29" s="13">
        <f>'Influencing Factors'!L29</f>
        <v>6</v>
      </c>
      <c r="M29" s="13">
        <f>'Influencing Factors'!M29</f>
        <v>3</v>
      </c>
      <c r="N29"/>
      <c r="O29" s="18">
        <f>'Influencing Factors'!O29</f>
        <v>5</v>
      </c>
      <c r="P29" s="173"/>
      <c r="Q29" s="20">
        <f>'Influencing Factors'!Q29</f>
        <v>4</v>
      </c>
      <c r="R29" s="173"/>
      <c r="S29" s="180">
        <f>'Influencing Factors'!S29</f>
        <v>1</v>
      </c>
      <c r="U29" s="48" t="str">
        <f>B14</f>
        <v>Affordability</v>
      </c>
      <c r="V29" s="176">
        <f>P16</f>
        <v>5.814814814814814</v>
      </c>
      <c r="X29" s="56"/>
      <c r="Y29"/>
      <c r="Z29"/>
      <c r="AA29" s="66" t="s">
        <v>85</v>
      </c>
      <c r="AB29" s="67">
        <f>SUM(AB23:AB28)</f>
        <v>3.3333333333333335</v>
      </c>
      <c r="AC29" s="67">
        <f t="shared" ref="AC29:AG29" si="52">SUM(AC23:AC28)</f>
        <v>8.6666666666666661</v>
      </c>
      <c r="AD29" s="67">
        <f t="shared" si="52"/>
        <v>8.6666666666666661</v>
      </c>
      <c r="AE29" s="67">
        <f t="shared" si="52"/>
        <v>13.333333333333334</v>
      </c>
      <c r="AF29" s="67">
        <f t="shared" si="52"/>
        <v>3.3333333333333335</v>
      </c>
      <c r="AG29" s="67">
        <f t="shared" si="52"/>
        <v>16</v>
      </c>
      <c r="AH29" s="68"/>
      <c r="AI29" s="68"/>
      <c r="AJ29"/>
      <c r="AK29" s="56"/>
      <c r="AL29" s="110"/>
      <c r="AM29" s="317"/>
      <c r="AN29" s="317"/>
      <c r="AO29" s="121"/>
      <c r="AP29" s="121"/>
      <c r="AQ29" s="121"/>
      <c r="AR29" s="121"/>
      <c r="AS29" s="317"/>
      <c r="AT29" s="128" t="s">
        <v>86</v>
      </c>
      <c r="AU29" s="320">
        <f>SUM(AU23:AU28)</f>
        <v>6.0000000000000009</v>
      </c>
      <c r="AV29" s="320">
        <f>SUM(AV23:AV28)</f>
        <v>0.99999999999999989</v>
      </c>
      <c r="AW29" s="120"/>
      <c r="AX29" s="317"/>
      <c r="AY29" s="321" t="s">
        <v>87</v>
      </c>
      <c r="AZ29" s="320">
        <f>COUNT(AW23:AW28)</f>
        <v>6</v>
      </c>
      <c r="BA29" s="317"/>
      <c r="BB29" s="317"/>
      <c r="BC29" s="317"/>
      <c r="BD29" s="319"/>
      <c r="BE29" s="69">
        <f>AVERAGE(BE23:BE28)</f>
        <v>5.8274750712250709</v>
      </c>
    </row>
    <row r="30" spans="2:62" s="7" customFormat="1" ht="15.75" customHeight="1" thickTop="1" thickBot="1" x14ac:dyDescent="0.3">
      <c r="B30" s="387"/>
      <c r="C30" s="170">
        <f>'Influencing Factors'!C30</f>
        <v>25</v>
      </c>
      <c r="D30" s="203" t="str">
        <f>'Influencing Factors'!D30</f>
        <v>Sufficiency of spare parts storage (on the shelf)</v>
      </c>
      <c r="E30" s="171">
        <f>'Influencing Factors'!E30</f>
        <v>5</v>
      </c>
      <c r="F30" s="171">
        <f>'Influencing Factors'!F30</f>
        <v>4</v>
      </c>
      <c r="G30" s="171">
        <f>'Influencing Factors'!G30</f>
        <v>4</v>
      </c>
      <c r="H30" s="171">
        <f>'Influencing Factors'!H30</f>
        <v>6</v>
      </c>
      <c r="I30" s="171">
        <f>'Influencing Factors'!I30</f>
        <v>5</v>
      </c>
      <c r="J30" s="171">
        <f>'Influencing Factors'!J30</f>
        <v>4</v>
      </c>
      <c r="K30" s="171">
        <f>'Influencing Factors'!K30</f>
        <v>6</v>
      </c>
      <c r="L30" s="171">
        <f>'Influencing Factors'!L30</f>
        <v>3</v>
      </c>
      <c r="M30" s="171">
        <f>'Influencing Factors'!M30</f>
        <v>5</v>
      </c>
      <c r="N30"/>
      <c r="O30" s="19">
        <f>'Influencing Factors'!O30</f>
        <v>4.666666666666667</v>
      </c>
      <c r="P30" s="16">
        <f>'Influencing Factors'!P30</f>
        <v>5.3055555555555545</v>
      </c>
      <c r="Q30" s="32">
        <f>'Influencing Factors'!Q30</f>
        <v>3</v>
      </c>
      <c r="R30" s="16">
        <f>'Influencing Factors'!R30</f>
        <v>3.25</v>
      </c>
      <c r="S30" s="181">
        <f>'Influencing Factors'!S30</f>
        <v>1.666666666666667</v>
      </c>
      <c r="U30" s="49" t="str">
        <f>B17</f>
        <v>Maintainer performance</v>
      </c>
      <c r="V30" s="176">
        <f>P22</f>
        <v>5.6111111111111107</v>
      </c>
      <c r="X30" s="52"/>
      <c r="Y30"/>
      <c r="Z30"/>
      <c r="AA30" s="70"/>
      <c r="AB30" s="63"/>
      <c r="AC30" s="63"/>
      <c r="AD30" s="63"/>
      <c r="AE30" s="63"/>
      <c r="AF30" s="63"/>
      <c r="AG30" s="63"/>
      <c r="AH30" s="68"/>
      <c r="AI30" s="68"/>
      <c r="AJ30"/>
      <c r="AK30" s="52"/>
      <c r="AL30" s="109"/>
      <c r="AM30" s="63"/>
      <c r="AN30" s="63"/>
      <c r="AO30" s="63"/>
      <c r="AP30" s="63"/>
      <c r="AQ30" s="63"/>
      <c r="AR30" s="63"/>
      <c r="AS30" s="63"/>
      <c r="AT30" s="71"/>
      <c r="AU30" s="71"/>
      <c r="AV30"/>
      <c r="AW30"/>
      <c r="AX30" s="72"/>
      <c r="AY30"/>
      <c r="AZ30"/>
      <c r="BA30"/>
      <c r="BB30"/>
      <c r="BC30"/>
      <c r="BD30" s="73"/>
      <c r="BE30" s="51"/>
    </row>
    <row r="31" spans="2:62" s="7" customFormat="1" ht="15.75" customHeight="1" thickTop="1" thickBot="1" x14ac:dyDescent="0.3">
      <c r="B31" s="383" t="str">
        <f>'Influencing Factors'!B31</f>
        <v>Engineering</v>
      </c>
      <c r="C31" s="170">
        <f>'Influencing Factors'!C31</f>
        <v>26</v>
      </c>
      <c r="D31" s="199" t="str">
        <f>'Influencing Factors'!D31</f>
        <v>Accuracy of cost estimation</v>
      </c>
      <c r="E31" s="13">
        <f>'Influencing Factors'!E31</f>
        <v>5</v>
      </c>
      <c r="F31" s="13">
        <f>'Influencing Factors'!F31</f>
        <v>3</v>
      </c>
      <c r="G31" s="13">
        <f>'Influencing Factors'!G31</f>
        <v>6</v>
      </c>
      <c r="H31" s="13">
        <f>'Influencing Factors'!H31</f>
        <v>5</v>
      </c>
      <c r="I31" s="13">
        <f>'Influencing Factors'!I31</f>
        <v>6</v>
      </c>
      <c r="J31" s="13">
        <f>'Influencing Factors'!J31</f>
        <v>5</v>
      </c>
      <c r="K31" s="13">
        <f>'Influencing Factors'!K31</f>
        <v>5</v>
      </c>
      <c r="L31" s="13">
        <f>'Influencing Factors'!L31</f>
        <v>6</v>
      </c>
      <c r="M31" s="13">
        <f>'Influencing Factors'!M31</f>
        <v>1</v>
      </c>
      <c r="N31"/>
      <c r="O31" s="24">
        <f>'Influencing Factors'!O31</f>
        <v>4.666666666666667</v>
      </c>
      <c r="P31" s="175"/>
      <c r="Q31" s="25">
        <f>'Influencing Factors'!Q31</f>
        <v>5</v>
      </c>
      <c r="R31" s="175"/>
      <c r="S31" s="182">
        <f>'Influencing Factors'!S31</f>
        <v>-0.33333333333333304</v>
      </c>
      <c r="U31" s="209" t="str">
        <f>B23</f>
        <v>Operational</v>
      </c>
      <c r="V31" s="176">
        <f>P30</f>
        <v>5.3055555555555545</v>
      </c>
      <c r="X31" s="52"/>
      <c r="Y31"/>
      <c r="Z31"/>
      <c r="AA31" s="74"/>
      <c r="AB31" s="232" t="str">
        <f>AA32</f>
        <v>Quality of documentation / information from OEM</v>
      </c>
      <c r="AC31" s="232" t="str">
        <f>AA33</f>
        <v>Availability of resources to support maintenance</v>
      </c>
      <c r="AD31" s="232" t="str">
        <f>AA34</f>
        <v>OEM logistics (i.e. supply of parts)</v>
      </c>
      <c r="AE31" s="232" t="str">
        <f>AA35</f>
        <v>Complexity of equipment</v>
      </c>
      <c r="AF31" s="232" t="str">
        <f>AA36</f>
        <v>Quality of components and manufacturing</v>
      </c>
      <c r="AG31" s="232" t="str">
        <f>AA37</f>
        <v>Mean time between failure (MTBF) data</v>
      </c>
      <c r="AH31" s="232" t="str">
        <f>AA38</f>
        <v>Supply chain logistics</v>
      </c>
      <c r="AI31" s="232" t="str">
        <f>AA39</f>
        <v>Sufficiency of spare parts storage (on the shelf)</v>
      </c>
      <c r="AJ31"/>
      <c r="AK31" s="52"/>
      <c r="AL31" s="289"/>
      <c r="AM31" s="290" t="str">
        <f t="shared" ref="AM31:AT31" si="53">AB31</f>
        <v>Quality of documentation / information from OEM</v>
      </c>
      <c r="AN31" s="290" t="str">
        <f t="shared" si="53"/>
        <v>Availability of resources to support maintenance</v>
      </c>
      <c r="AO31" s="290" t="str">
        <f t="shared" si="53"/>
        <v>OEM logistics (i.e. supply of parts)</v>
      </c>
      <c r="AP31" s="290" t="str">
        <f t="shared" si="53"/>
        <v>Complexity of equipment</v>
      </c>
      <c r="AQ31" s="290" t="str">
        <f t="shared" si="53"/>
        <v>Quality of components and manufacturing</v>
      </c>
      <c r="AR31" s="290" t="str">
        <f t="shared" si="53"/>
        <v>Mean time between failure (MTBF) data</v>
      </c>
      <c r="AS31" s="290" t="str">
        <f t="shared" si="53"/>
        <v>Supply chain logistics</v>
      </c>
      <c r="AT31" s="290" t="str">
        <f t="shared" si="53"/>
        <v>Sufficiency of spare parts storage (on the shelf)</v>
      </c>
      <c r="AU31" s="290" t="str">
        <f>AU5</f>
        <v>Sum row</v>
      </c>
      <c r="AV31" s="291" t="str">
        <f>AV5</f>
        <v>Average (% sig)</v>
      </c>
      <c r="AW31" s="292" t="str">
        <f>AW5</f>
        <v>Consistency measure (Weighted sum vector)</v>
      </c>
      <c r="AX31" s="291" t="s">
        <v>77</v>
      </c>
      <c r="AY31" s="292" t="s">
        <v>78</v>
      </c>
      <c r="AZ31" s="291" t="s">
        <v>79</v>
      </c>
      <c r="BA31" s="291" t="str">
        <f>BA5</f>
        <v>Random index</v>
      </c>
      <c r="BB31" s="291" t="str">
        <f>BB5</f>
        <v>Consistency ratio</v>
      </c>
      <c r="BC31" s="291" t="str">
        <f>BC5</f>
        <v>Consistency ratio %</v>
      </c>
      <c r="BD31" s="293" t="str">
        <f>BD5</f>
        <v>Normalised weight</v>
      </c>
      <c r="BE31" s="51" t="str">
        <f>BE5</f>
        <v>Uncertainty score</v>
      </c>
      <c r="BI31" s="293" t="str">
        <f>BD31</f>
        <v>Normalised weight</v>
      </c>
      <c r="BJ31" s="51" t="str">
        <f>BE31</f>
        <v>Uncertainty score</v>
      </c>
    </row>
    <row r="32" spans="2:62" s="7" customFormat="1" ht="15.75" customHeight="1" thickTop="1" thickBot="1" x14ac:dyDescent="0.3">
      <c r="B32" s="384"/>
      <c r="C32" s="170">
        <f>'Influencing Factors'!C32</f>
        <v>27</v>
      </c>
      <c r="D32" s="208" t="str">
        <f>'Influencing Factors'!D32</f>
        <v>Confidence that reference books are reviewed and up-to-date</v>
      </c>
      <c r="E32" s="171">
        <f>'Influencing Factors'!E32</f>
        <v>4</v>
      </c>
      <c r="F32" s="171">
        <f>'Influencing Factors'!F32</f>
        <v>5</v>
      </c>
      <c r="G32" s="171">
        <f>'Influencing Factors'!G32</f>
        <v>5</v>
      </c>
      <c r="H32" s="171">
        <f>'Influencing Factors'!H32</f>
        <v>5</v>
      </c>
      <c r="I32" s="171">
        <f>'Influencing Factors'!I32</f>
        <v>7</v>
      </c>
      <c r="J32" s="171">
        <f>'Influencing Factors'!J32</f>
        <v>6</v>
      </c>
      <c r="K32" s="171">
        <f>'Influencing Factors'!K32</f>
        <v>5</v>
      </c>
      <c r="L32" s="171">
        <f>'Influencing Factors'!L32</f>
        <v>5</v>
      </c>
      <c r="M32" s="171">
        <f>'Influencing Factors'!M32</f>
        <v>7</v>
      </c>
      <c r="N32"/>
      <c r="O32" s="18">
        <f>'Influencing Factors'!O32</f>
        <v>5.4444444444444446</v>
      </c>
      <c r="P32" s="175"/>
      <c r="Q32" s="20">
        <f>'Influencing Factors'!Q32</f>
        <v>3</v>
      </c>
      <c r="R32" s="175"/>
      <c r="S32" s="180">
        <f>'Influencing Factors'!S32</f>
        <v>2.4444444444444446</v>
      </c>
      <c r="U32" s="210" t="str">
        <f>B31</f>
        <v>Engineering</v>
      </c>
      <c r="V32" s="177">
        <f>P37</f>
        <v>5.2063492063492065</v>
      </c>
      <c r="X32" s="52"/>
      <c r="Y32" s="402" t="s">
        <v>88</v>
      </c>
      <c r="Z32" s="221">
        <f>C23</f>
        <v>18</v>
      </c>
      <c r="AA32" s="231" t="str">
        <f>D23</f>
        <v>Quality of documentation / information from OEM</v>
      </c>
      <c r="AB32" s="246">
        <v>1</v>
      </c>
      <c r="AC32" s="247">
        <f>IF(OR(COUNT($O23)&lt;&gt;1,COUNT($O24)&lt;&gt;1),0,
IF($O23-$O24&lt;0,
IF($O23-$O24&gt;=$Z$53,$AA$53,
IF($O23-$O24&gt;=$Z$54,$AA$54,
IF($O23-$O24&gt;=$Z$55,$AA$55,$AA$56))),
IF($O23=$O24,1,
IF($O23-$O24&lt;=$AC$53,$AD$53,
IF($O23-$O24&lt;=$AC$54,$AD$54,
IF($O23-$O24&lt;=$AC$55,$AD$55,$AD$56))))))</f>
        <v>3</v>
      </c>
      <c r="AD32" s="247">
        <f>IF(OR(COUNT($O23)&lt;&gt;1,COUNT($O25)&lt;&gt;1),0,
IF($O23-$O25&lt;0,
IF($O23-$O25&gt;=$Z$53,$AA$53,
IF($O23-$O25&gt;=$Z$54,$AA$54,
IF($O23-$O25&gt;=$Z$55,$AA$55,$AA$56))),
IF($O23=$O25,1,
IF($O23-$O25&lt;=$AC$53,$AD$53,
IF($O23-$O25&lt;=$AC$54,$AD$54,
IF($O23-$O25&lt;=$AC$55,$AD$55,$AD$56))))))</f>
        <v>3</v>
      </c>
      <c r="AE32" s="247">
        <f>IF(OR(COUNT($O23)&lt;&gt;1,COUNT($O26)&lt;&gt;1),0,
IF($O23-$O26&lt;0,
IF($O23-$O26&gt;=$Z$53,$AA$53,
IF($O23-$O26&gt;=$Z$54,$AA$54,
IF($O23-$O26&gt;=$Z$55,$AA$55,$AA$56))),
IF($O23=$O26,1,
IF($O23-$O26&lt;=$AC$53,$AD$53,
IF($O23-$O26&lt;=$AC$54,$AD$54,
IF($O23-$O26&lt;=$AC$55,$AD$55,$AD$56))))))</f>
        <v>3</v>
      </c>
      <c r="AF32" s="247">
        <f>IF(OR(COUNT($O23)&lt;&gt;1,COUNT($O27)&lt;&gt;1),0,
IF($O23-$O27&lt;0,
IF($O23-$O27&gt;=$Z$53,$AA$53,
IF($O23-$O27&gt;=$Z$54,$AA$54,
IF($O23-$O27&gt;=$Z$55,$AA$55,$AA$56))),
IF($O23=$O27,1,
IF($O23-$O27&lt;=$AC$53,$AD$53,
IF($O23-$O27&lt;=$AC$54,$AD$54,
IF($O23-$O27&lt;=$AC$55,$AD$55,$AD$56))))))</f>
        <v>3</v>
      </c>
      <c r="AG32" s="247">
        <f>IF(OR(COUNT($O23)&lt;&gt;1,COUNT($O28)&lt;&gt;1),0,
IF($O23-$O28&lt;0,
IF($O23-$O28&gt;=$Z$53,$AA$53,
IF($O23-$O28&gt;=$Z$54,$AA$54,
IF($O23-$O28&gt;=$Z$55,$AA$55,$AA$56))),
IF($O23=$O28,1,
IF($O23-$O28&lt;=$AC$53,$AD$53,
IF($O23-$O28&lt;=$AC$54,$AD$54,
IF($O23-$O28&lt;=$AC$55,$AD$55,$AD$56))))))</f>
        <v>3</v>
      </c>
      <c r="AH32" s="247">
        <f>IF(OR(COUNT($O23)&lt;&gt;1,COUNT($O29)&lt;&gt;1),0,
IF($O23-$O29&lt;0,
IF($O23-$O29&gt;=$Z$53,$AA$53,
IF($O23-$O29&gt;=$Z$54,$AA$54,
IF($O23-$O29&gt;=$Z$55,$AA$55,$AA$56))),
IF($O23=$O29,1,
IF($O23-$O29&lt;=$AC$53,$AD$53,
IF($O23-$O29&lt;=$AC$54,$AD$54,
IF($O23-$O29&lt;=$AC$55,$AD$55,$AD$56))))))</f>
        <v>3</v>
      </c>
      <c r="AI32" s="248">
        <f>IF(OR(COUNT($O23)&lt;&gt;1,COUNT($O30)&lt;&gt;1),0,
IF($O23-$O30&lt;0,
IF($O23-$O30&gt;=$Z$53,$AA$53,
IF($O23-$O30&gt;=$Z$54,$AA$54,
IF($O23-$O30&gt;=$Z$55,$AA$55,$AA$56))),
IF($O23=$O30,1,
IF($O23-$O30&lt;=$AC$53,$AD$53,
IF($O23-$O30&lt;=$AC$54,$AD$54,
IF($O23-$O30&lt;=$AC$55,$AD$55,$AD$56))))))</f>
        <v>3</v>
      </c>
      <c r="AJ32"/>
      <c r="AK32" s="52"/>
      <c r="AL32" s="290" t="str">
        <f t="shared" ref="AL32:AL39" si="54">AA32</f>
        <v>Quality of documentation / information from OEM</v>
      </c>
      <c r="AM32" s="294">
        <f t="shared" ref="AM32:AT39" si="55">AB32/AB$40</f>
        <v>0.3</v>
      </c>
      <c r="AN32" s="295">
        <f t="shared" si="55"/>
        <v>0.3461538461538462</v>
      </c>
      <c r="AO32" s="295">
        <f t="shared" si="55"/>
        <v>0.50000000000000011</v>
      </c>
      <c r="AP32" s="295">
        <f t="shared" si="55"/>
        <v>0.21428571428571425</v>
      </c>
      <c r="AQ32" s="295">
        <f t="shared" si="55"/>
        <v>0.26470588235294112</v>
      </c>
      <c r="AR32" s="295">
        <f t="shared" si="55"/>
        <v>0.13636363636363635</v>
      </c>
      <c r="AS32" s="295">
        <f t="shared" si="55"/>
        <v>0.18</v>
      </c>
      <c r="AT32" s="296">
        <f t="shared" si="55"/>
        <v>0.15517241379310343</v>
      </c>
      <c r="AU32" s="297">
        <f>SUM(AM32:AT32)</f>
        <v>2.0966814929492412</v>
      </c>
      <c r="AV32" s="298">
        <f>AU32/$AU$40</f>
        <v>0.26208518661865521</v>
      </c>
      <c r="AW32" s="299">
        <f t="shared" ref="AW32:AW39" si="56">MMULT(AB32:AI32,$AV$32:$AV$39)</f>
        <v>2.4758296267626894</v>
      </c>
      <c r="AX32" s="300">
        <f>AW32/AV32</f>
        <v>9.4466599150646537</v>
      </c>
      <c r="AY32" s="301">
        <f>AVERAGE(AX32:AX39)</f>
        <v>9.12610116187202</v>
      </c>
      <c r="AZ32" s="300">
        <f>(AY32-AZ40)/(AZ40-1)</f>
        <v>0.16087159455314573</v>
      </c>
      <c r="BA32" s="300">
        <f>VLOOKUP(AZ40,$BA$53:$BB$61,2)</f>
        <v>1.41</v>
      </c>
      <c r="BB32" s="300">
        <f>IF(ISERROR(AZ32/BA32),0,AZ32/BA32)</f>
        <v>0.11409332947031613</v>
      </c>
      <c r="BC32" s="300">
        <f>BB32*100</f>
        <v>11.409332947031613</v>
      </c>
      <c r="BD32" s="293">
        <f t="shared" ref="BD32:BD39" si="57">AV32/(1/$AZ$40)</f>
        <v>2.0966814929492417</v>
      </c>
      <c r="BE32" s="51">
        <f t="shared" ref="BE32:BE39" si="58">O17*BD32</f>
        <v>12.813053568023143</v>
      </c>
      <c r="BG32" s="402" t="str">
        <f>Y32</f>
        <v>Operations</v>
      </c>
      <c r="BH32" s="345" t="str">
        <f>AA32</f>
        <v>Quality of documentation / information from OEM</v>
      </c>
      <c r="BI32" s="293">
        <f t="shared" ref="BI32:BI39" si="59">BD32</f>
        <v>2.0966814929492417</v>
      </c>
      <c r="BJ32" s="51">
        <f t="shared" ref="BJ32:BJ39" si="60">BE32</f>
        <v>12.813053568023143</v>
      </c>
    </row>
    <row r="33" spans="2:62" s="7" customFormat="1" ht="15.75" customHeight="1" thickTop="1" thickBot="1" x14ac:dyDescent="0.3">
      <c r="B33" s="384"/>
      <c r="C33" s="170">
        <f>'Influencing Factors'!C33</f>
        <v>28</v>
      </c>
      <c r="D33" s="206" t="str">
        <f>'Influencing Factors'!D33</f>
        <v>Technology integration (availability of system interrogation software)</v>
      </c>
      <c r="E33" s="13">
        <f>'Influencing Factors'!E33</f>
        <v>5</v>
      </c>
      <c r="F33" s="13">
        <f>'Influencing Factors'!F33</f>
        <v>4</v>
      </c>
      <c r="G33" s="13">
        <f>'Influencing Factors'!G33</f>
        <v>2</v>
      </c>
      <c r="H33" s="13">
        <f>'Influencing Factors'!H33</f>
        <v>5</v>
      </c>
      <c r="I33" s="13">
        <f>'Influencing Factors'!I33</f>
        <v>6</v>
      </c>
      <c r="J33" s="13">
        <f>'Influencing Factors'!J33</f>
        <v>6</v>
      </c>
      <c r="K33" s="13">
        <f>'Influencing Factors'!K33</f>
        <v>4</v>
      </c>
      <c r="L33" s="13">
        <f>'Influencing Factors'!L33</f>
        <v>4</v>
      </c>
      <c r="M33" s="13">
        <f>'Influencing Factors'!M33</f>
        <v>5</v>
      </c>
      <c r="N33"/>
      <c r="O33" s="18">
        <f>'Influencing Factors'!O33</f>
        <v>4.5555555555555554</v>
      </c>
      <c r="P33" s="175"/>
      <c r="Q33" s="20">
        <f>'Influencing Factors'!Q33</f>
        <v>4</v>
      </c>
      <c r="R33" s="175"/>
      <c r="S33" s="180">
        <f>'Influencing Factors'!S33</f>
        <v>0.55555555555555536</v>
      </c>
      <c r="U33"/>
      <c r="V33"/>
      <c r="X33" s="52"/>
      <c r="Y33" s="403"/>
      <c r="Z33" s="221">
        <f t="shared" ref="Z33:Z39" si="61">C24</f>
        <v>19</v>
      </c>
      <c r="AA33" s="231" t="str">
        <f t="shared" ref="AA33:AA39" si="62">D24</f>
        <v>Availability of resources to support maintenance</v>
      </c>
      <c r="AB33" s="249">
        <f>IF(ISERROR(1/$AC32),0,IF(OR(COUNT($O$23)&lt;&gt;1,COUNT($O24)&lt;&gt;1),"",1/$AC32))</f>
        <v>0.33333333333333331</v>
      </c>
      <c r="AC33" s="233">
        <v>1</v>
      </c>
      <c r="AD33" s="61">
        <f>IF(OR(COUNT($O24)&lt;&gt;1,COUNT($O25)&lt;&gt;1),0,
IF($O24-$O25&lt;0,
IF($O24-$O25&gt;=$Z$53,$AA$53,
IF($O24-$O25&gt;=$Z$54,$AA$54,
IF($O24-$O25&gt;=$Z$55,$AA$55,$AA$56))),
IF($O24=$O25,1,
IF($O24-$O25&lt;=$AC$53,$AD$53,
IF($O24-$O25&lt;=$AC$54,$AD$54,
IF($O24-$O25&lt;=$AC$55,$AD$55,$AD$56))))))</f>
        <v>0.33333333333333331</v>
      </c>
      <c r="AE33" s="61">
        <f>IF(OR(COUNT($O24)&lt;&gt;1,COUNT($O26)&lt;&gt;1),0,
IF($O24-$O26&lt;0,
IF($O24-$O26&gt;=$Z$53,$AA$53,
IF($O24-$O26&gt;=$Z$54,$AA$54,
IF($O24-$O26&gt;=$Z$55,$AA$55,$AA$56))),
IF($O24=$O26,1,
IF($O24-$O26&lt;=$AC$53,$AD$53,
IF($O24-$O26&lt;=$AC$54,$AD$54,
IF($O24-$O26&lt;=$AC$55,$AD$55,$AD$56))))))</f>
        <v>3</v>
      </c>
      <c r="AF33" s="61">
        <f>IF(OR(COUNT($O24)&lt;&gt;1,COUNT($O27)&lt;&gt;1),0,
IF($O24-$O27&lt;0,
IF($O24-$O27&gt;=$Z$53,$AA$53,
IF($O24-$O27&gt;=$Z$54,$AA$54,
IF($O24-$O27&gt;=$Z$55,$AA$55,$AA$56))),
IF($O24=$O27,1,
IF($O24-$O27&lt;=$AC$53,$AD$53,
IF($O24-$O27&lt;=$AC$54,$AD$54,
IF($O24-$O27&lt;=$AC$55,$AD$55,$AD$56))))))</f>
        <v>3</v>
      </c>
      <c r="AG33" s="61">
        <f>IF(OR(COUNT($O24)&lt;&gt;1,COUNT($O28)&lt;&gt;1),0,
IF($O24-$O28&lt;0,
IF($O24-$O28&gt;=$Z$53,$AA$53,
IF($O24-$O28&gt;=$Z$54,$AA$54,
IF($O24-$O28&gt;=$Z$55,$AA$55,$AA$56))),
IF($O24=$O28,1,
IF($O24-$O28&lt;=$AC$53,$AD$53,
IF($O24-$O28&lt;=$AC$54,$AD$54,
IF($O24-$O28&lt;=$AC$55,$AD$55,$AD$56))))))</f>
        <v>3</v>
      </c>
      <c r="AH33" s="61">
        <f>IF(OR(COUNT($O24)&lt;&gt;1,COUNT($O29)&lt;&gt;1),0,
IF($O24-$O29&lt;0,
IF($O24-$O29&gt;=$Z$53,$AA$53,
IF($O24-$O29&gt;=$Z$54,$AA$54,
IF($O24-$O29&gt;=$Z$55,$AA$55,$AA$56))),
IF($O24=$O29,1,
IF($O24-$O29&lt;=$AC$53,$AD$53,
IF($O24-$O29&lt;=$AC$54,$AD$54,
IF($O24-$O29&lt;=$AC$55,$AD$55,$AD$56))))))</f>
        <v>3</v>
      </c>
      <c r="AI33" s="250">
        <f>IF(OR(COUNT($O24)&lt;&gt;1,COUNT($O30)&lt;&gt;1),0,
IF($O24-$O30&lt;0,
IF($O24-$O30&gt;=$Z$53,$AA$53,
IF($O24-$O30&gt;=$Z$54,$AA$54,
IF($O24-$O30&gt;=$Z$55,$AA$55,$AA$56))),
IF($O24=$O30,1,
IF($O24-$O30&lt;=$AC$53,$AD$53,
IF($O24-$O30&lt;=$AC$54,$AD$54,
IF($O24-$O30&lt;=$AC$55,$AD$55,$AD$56))))))</f>
        <v>3</v>
      </c>
      <c r="AJ33"/>
      <c r="AK33" s="52"/>
      <c r="AL33" s="290" t="str">
        <f t="shared" si="54"/>
        <v>Availability of resources to support maintenance</v>
      </c>
      <c r="AM33" s="302">
        <f t="shared" si="55"/>
        <v>9.9999999999999992E-2</v>
      </c>
      <c r="AN33" s="297">
        <f t="shared" si="55"/>
        <v>0.11538461538461539</v>
      </c>
      <c r="AO33" s="297">
        <f>AD33/AD$40</f>
        <v>5.5555555555555559E-2</v>
      </c>
      <c r="AP33" s="297">
        <f t="shared" si="55"/>
        <v>0.21428571428571425</v>
      </c>
      <c r="AQ33" s="297">
        <f t="shared" si="55"/>
        <v>0.26470588235294112</v>
      </c>
      <c r="AR33" s="297">
        <f t="shared" si="55"/>
        <v>0.13636363636363635</v>
      </c>
      <c r="AS33" s="297">
        <f t="shared" si="55"/>
        <v>0.18</v>
      </c>
      <c r="AT33" s="303">
        <f t="shared" si="55"/>
        <v>0.15517241379310343</v>
      </c>
      <c r="AU33" s="297">
        <f>SUM(AM33:AT33)</f>
        <v>1.2214678177355662</v>
      </c>
      <c r="AV33" s="298">
        <f>AU33/$AU$40</f>
        <v>0.15268347721694581</v>
      </c>
      <c r="AW33" s="299">
        <f>MMULT(AB33:AI33,$AV$32:$AV$39)</f>
        <v>1.4746231613777254</v>
      </c>
      <c r="AX33" s="304">
        <f t="shared" ref="AX33:AX39" si="63">AW33/AV33</f>
        <v>9.658040203541173</v>
      </c>
      <c r="AY33" s="305"/>
      <c r="AZ33" s="306"/>
      <c r="BA33" s="306"/>
      <c r="BB33" s="306"/>
      <c r="BC33" s="306"/>
      <c r="BD33" s="293">
        <f t="shared" si="57"/>
        <v>1.2214678177355665</v>
      </c>
      <c r="BE33" s="51">
        <f t="shared" si="58"/>
        <v>7.1930882599983361</v>
      </c>
      <c r="BG33" s="403"/>
      <c r="BH33" s="231" t="str">
        <f t="shared" ref="BH33:BH39" si="64">AA33</f>
        <v>Availability of resources to support maintenance</v>
      </c>
      <c r="BI33" s="293">
        <f t="shared" si="59"/>
        <v>1.2214678177355665</v>
      </c>
      <c r="BJ33" s="51">
        <f t="shared" si="60"/>
        <v>7.1930882599983361</v>
      </c>
    </row>
    <row r="34" spans="2:62" s="7" customFormat="1" ht="15.75" customHeight="1" thickTop="1" thickBot="1" x14ac:dyDescent="0.3">
      <c r="B34" s="384"/>
      <c r="C34" s="170">
        <f>'Influencing Factors'!C34</f>
        <v>29</v>
      </c>
      <c r="D34" s="200" t="str">
        <f>'Influencing Factors'!D34</f>
        <v>Data reliability and quality</v>
      </c>
      <c r="E34" s="171">
        <f>'Influencing Factors'!E34</f>
        <v>6</v>
      </c>
      <c r="F34" s="171">
        <f>'Influencing Factors'!F34</f>
        <v>6</v>
      </c>
      <c r="G34" s="171">
        <f>'Influencing Factors'!G34</f>
        <v>7</v>
      </c>
      <c r="H34" s="171">
        <f>'Influencing Factors'!H34</f>
        <v>5</v>
      </c>
      <c r="I34" s="171">
        <f>'Influencing Factors'!I34</f>
        <v>6</v>
      </c>
      <c r="J34" s="171">
        <f>'Influencing Factors'!J34</f>
        <v>6</v>
      </c>
      <c r="K34" s="171">
        <f>'Influencing Factors'!K34</f>
        <v>6</v>
      </c>
      <c r="L34" s="171">
        <f>'Influencing Factors'!L34</f>
        <v>7</v>
      </c>
      <c r="M34" s="171">
        <f>'Influencing Factors'!M34</f>
        <v>6</v>
      </c>
      <c r="N34"/>
      <c r="O34" s="18">
        <f>'Influencing Factors'!O34</f>
        <v>6.1111111111111107</v>
      </c>
      <c r="P34" s="173"/>
      <c r="Q34" s="20">
        <f>'Influencing Factors'!Q34</f>
        <v>2</v>
      </c>
      <c r="R34" s="173"/>
      <c r="S34" s="180">
        <f>'Influencing Factors'!S34</f>
        <v>4.1111111111111107</v>
      </c>
      <c r="X34" s="52"/>
      <c r="Y34" s="403"/>
      <c r="Z34" s="221">
        <f t="shared" si="61"/>
        <v>20</v>
      </c>
      <c r="AA34" s="231" t="str">
        <f t="shared" si="62"/>
        <v>OEM logistics (i.e. supply of parts)</v>
      </c>
      <c r="AB34" s="249">
        <f>IF(ISERROR(1/$AD32),0,IF(OR(COUNT($O$23)&lt;&gt;1,COUNT($O25)&lt;&gt;1),"",1/$AD32))</f>
        <v>0.33333333333333331</v>
      </c>
      <c r="AC34" s="61">
        <f>IF(ISERROR(1/$AD33),0,IF(OR(COUNT($O$24)&lt;&gt;1,COUNT($O25)&lt;&gt;1),"",1/$AD33))</f>
        <v>3</v>
      </c>
      <c r="AD34" s="233">
        <v>1</v>
      </c>
      <c r="AE34" s="61">
        <f>IF(OR(COUNT($O25)&lt;&gt;1,COUNT($O26)&lt;&gt;1),0,
IF($O25-$O26&lt;0,
IF($O25-$O26&gt;=$Z$53,$AA$53,
IF($O25-$O26&gt;=$Z$54,$AA$54,
IF($O25-$O26&gt;=$Z$55,$AA$55,$AA$56))),
IF($O25=$O26,1,
IF($O25-$O26&lt;=$AC$53,$AD$53,
IF($O25-$O26&lt;=$AC$54,$AD$54,
IF($O25-$O26&lt;=$AC$55,$AD$55,$AD$56))))))</f>
        <v>3</v>
      </c>
      <c r="AF34" s="61">
        <f>IF(OR(COUNT($O25)&lt;&gt;1,COUNT($O27)&lt;&gt;1),0,
IF($O25-$O27&lt;0,
IF($O25-$O27&gt;=$Z$53,$AA$53,
IF($O25-$O27&gt;=$Z$54,$AA$54,
IF($O25-$O27&gt;=$Z$55,$AA$55,$AA$56))),
IF($O25=$O27,1,
IF($O25-$O27&lt;=$AC$53,$AD$53,
IF($O25-$O27&lt;=$AC$54,$AD$54,
IF($O25-$O27&lt;=$AC$55,$AD$55,$AD$56))))))</f>
        <v>3</v>
      </c>
      <c r="AG34" s="61">
        <f>IF(OR(COUNT($O25)&lt;&gt;1,COUNT($O28)&lt;&gt;1),0,
IF($O25-$O28&lt;0,
IF($O25-$O28&gt;=$Z$53,$AA$53,
IF($O25-$O28&gt;=$Z$54,$AA$54,
IF($O25-$O28&gt;=$Z$55,$AA$55,$AA$56))),
IF($O25=$O28,1,
IF($O25-$O28&lt;=$AC$53,$AD$53,
IF($O25-$O28&lt;=$AC$54,$AD$54,
IF($O25-$O28&lt;=$AC$55,$AD$55,$AD$56))))))</f>
        <v>3</v>
      </c>
      <c r="AH34" s="61">
        <f>IF(OR(COUNT($O25)&lt;&gt;1,COUNT($O29)&lt;&gt;1),0,
IF($O25-$O29&lt;0,
IF($O25-$O29&gt;=$Z$53,$AA$53,
IF($O25-$O29&gt;=$Z$54,$AA$54,
IF($O25-$O29&gt;=$Z$55,$AA$55,$AA$56))),
IF($O25=$O29,1,
IF($O25-$O29&lt;=$AC$53,$AD$53,
IF($O25-$O29&lt;=$AC$54,$AD$54,
IF($O25-$O29&lt;=$AC$55,$AD$55,$AD$56))))))</f>
        <v>3</v>
      </c>
      <c r="AI34" s="250">
        <f>IF(OR(COUNT($O25)&lt;&gt;1,COUNT($O30)&lt;&gt;1),0,
IF($O25-$O30&lt;0,
IF($O25-$O30&gt;=$Z$53,$AA$53,
IF($O25-$O30&gt;=$Z$54,$AA$54,
IF($O25-$O30&gt;=$Z$55,$AA$55,$AA$56))),
IF($O25=$O30,1,
IF($O25-$O30&lt;=$AC$53,$AD$53,
IF($O25-$O30&lt;=$AC$54,$AD$54,
IF($O25-$O30&lt;=$AC$55,$AD$55,$AD$56))))))</f>
        <v>3</v>
      </c>
      <c r="AJ34"/>
      <c r="AK34" s="52"/>
      <c r="AL34" s="290" t="str">
        <f t="shared" si="54"/>
        <v>OEM logistics (i.e. supply of parts)</v>
      </c>
      <c r="AM34" s="302">
        <f t="shared" si="55"/>
        <v>9.9999999999999992E-2</v>
      </c>
      <c r="AN34" s="297">
        <f t="shared" si="55"/>
        <v>0.3461538461538462</v>
      </c>
      <c r="AO34" s="297">
        <f>AD34/AD$40</f>
        <v>0.16666666666666669</v>
      </c>
      <c r="AP34" s="297">
        <f t="shared" si="55"/>
        <v>0.21428571428571425</v>
      </c>
      <c r="AQ34" s="297">
        <f>AF34/AF$40</f>
        <v>0.26470588235294112</v>
      </c>
      <c r="AR34" s="297">
        <f t="shared" si="55"/>
        <v>0.13636363636363635</v>
      </c>
      <c r="AS34" s="297">
        <f t="shared" si="55"/>
        <v>0.18</v>
      </c>
      <c r="AT34" s="303">
        <f t="shared" si="55"/>
        <v>0.15517241379310343</v>
      </c>
      <c r="AU34" s="297">
        <f t="shared" ref="AU34:AU39" si="65">SUM(AM34:AT34)</f>
        <v>1.563348159615908</v>
      </c>
      <c r="AV34" s="298">
        <f t="shared" ref="AV34:AV39" si="66">AU34/$AU$40</f>
        <v>0.19541851995198853</v>
      </c>
      <c r="AW34" s="299">
        <f t="shared" si="56"/>
        <v>1.9102691291129428</v>
      </c>
      <c r="AX34" s="304">
        <f t="shared" si="63"/>
        <v>9.7752717070125588</v>
      </c>
      <c r="AY34" s="305"/>
      <c r="AZ34" s="306"/>
      <c r="BA34" s="306"/>
      <c r="BB34" s="306"/>
      <c r="BC34" s="306"/>
      <c r="BD34" s="293">
        <f t="shared" si="57"/>
        <v>1.5633481596159082</v>
      </c>
      <c r="BE34" s="51">
        <f>O19*BD34</f>
        <v>9.2063836066270159</v>
      </c>
      <c r="BG34" s="403"/>
      <c r="BH34" s="345" t="str">
        <f t="shared" si="64"/>
        <v>OEM logistics (i.e. supply of parts)</v>
      </c>
      <c r="BI34" s="293">
        <f t="shared" si="59"/>
        <v>1.5633481596159082</v>
      </c>
      <c r="BJ34" s="51">
        <f t="shared" si="60"/>
        <v>9.2063836066270159</v>
      </c>
    </row>
    <row r="35" spans="2:62" s="7" customFormat="1" ht="15.75" customHeight="1" thickTop="1" thickBot="1" x14ac:dyDescent="0.3">
      <c r="B35" s="384"/>
      <c r="C35" s="170">
        <f>'Influencing Factors'!C35</f>
        <v>30</v>
      </c>
      <c r="D35" s="199" t="str">
        <f>'Influencing Factors'!D35</f>
        <v>Efficiency of engineering effort</v>
      </c>
      <c r="E35" s="13">
        <f>'Influencing Factors'!E35</f>
        <v>5</v>
      </c>
      <c r="F35" s="13">
        <f>'Influencing Factors'!F35</f>
        <v>5</v>
      </c>
      <c r="G35" s="13">
        <f>'Influencing Factors'!G35</f>
        <v>5</v>
      </c>
      <c r="H35" s="13">
        <f>'Influencing Factors'!H35</f>
        <v>6</v>
      </c>
      <c r="I35" s="13">
        <f>'Influencing Factors'!I35</f>
        <v>6</v>
      </c>
      <c r="J35" s="13">
        <f>'Influencing Factors'!J35</f>
        <v>6</v>
      </c>
      <c r="K35" s="13">
        <f>'Influencing Factors'!K35</f>
        <v>3</v>
      </c>
      <c r="L35" s="13">
        <f>'Influencing Factors'!L35</f>
        <v>5</v>
      </c>
      <c r="M35" s="13">
        <f>'Influencing Factors'!M35</f>
        <v>6</v>
      </c>
      <c r="N35"/>
      <c r="O35" s="18">
        <f>'Influencing Factors'!O35</f>
        <v>5.2222222222222223</v>
      </c>
      <c r="P35" s="173"/>
      <c r="Q35" s="20">
        <f>'Influencing Factors'!Q35</f>
        <v>3</v>
      </c>
      <c r="R35" s="173"/>
      <c r="S35" s="180">
        <f>'Influencing Factors'!S35</f>
        <v>2.2222222222222223</v>
      </c>
      <c r="X35" s="52"/>
      <c r="Y35" s="403"/>
      <c r="Z35" s="221">
        <f t="shared" si="61"/>
        <v>21</v>
      </c>
      <c r="AA35" s="231" t="str">
        <f t="shared" si="62"/>
        <v>Complexity of equipment</v>
      </c>
      <c r="AB35" s="249">
        <f>IF(ISERROR(1/$AE32),0,IF(OR(COUNT($O$23)&lt;&gt;1,COUNT($O26)&lt;&gt;1),"",1/$AE32))</f>
        <v>0.33333333333333331</v>
      </c>
      <c r="AC35" s="61">
        <f>IF(ISERROR(1/$AE33),0,IF(OR(COUNT($O$24)&lt;&gt;1,COUNT($O26)&lt;&gt;1),"",1/$AE33))</f>
        <v>0.33333333333333331</v>
      </c>
      <c r="AD35" s="61">
        <f>IF(ISERROR(1/$AE34),0,IF(OR(COUNT($O$25)&lt;&gt;1,COUNT($O26)&lt;&gt;1),"",1/$AE34))</f>
        <v>0.33333333333333331</v>
      </c>
      <c r="AE35" s="233">
        <v>1</v>
      </c>
      <c r="AF35" s="61">
        <f>IF(OR(COUNT($O26)&lt;&gt;1,COUNT($O27)&lt;&gt;1),0,
IF($O26-$O27&lt;0,
IF($O26-$O27&gt;=$Z$53,$AA$53,
IF($O26-$O27&gt;=$Z$54,$AA$54,
IF($O26-$O27&gt;=$Z$55,$AA$55,$AA$56))),
IF($O26=$O27,1,
IF($O26-$O27&lt;=$AC$53,$AD$53,
IF($O26-$O27&lt;=$AC$54,$AD$54,
IF($O26-$O27&lt;=$AC$55,$AD$55,$AD$56))))))</f>
        <v>0.33333333333333331</v>
      </c>
      <c r="AG35" s="61">
        <f>IF(OR(COUNT($O26)&lt;&gt;1,COUNT($O28)&lt;&gt;1),0,
IF($O26-$O28&lt;0,
IF($O26-$O28&gt;=$Z$53,$AA$53,
IF($O26-$O28&gt;=$Z$54,$AA$54,
IF($O26-$O28&gt;=$Z$55,$AA$55,$AA$56))),
IF($O26=$O28,1,
IF($O26-$O28&lt;=$AC$53,$AD$53,
IF($O26-$O28&lt;=$AC$54,$AD$54,
IF($O26-$O28&lt;=$AC$55,$AD$55,$AD$56))))))</f>
        <v>3</v>
      </c>
      <c r="AH35" s="61">
        <f>IF(OR(COUNT($O26)&lt;&gt;1,COUNT($O29)&lt;&gt;1),0,
IF($O26-$O29&lt;0,
IF($O26-$O29&gt;=$Z$53,$AA$53,
IF($O26-$O29&gt;=$Z$54,$AA$54,
IF($O26-$O29&gt;=$Z$55,$AA$55,$AA$56))),
IF($O26=$O29,1,
IF($O26-$O29&lt;=$AC$53,$AD$53,
IF($O26-$O29&lt;=$AC$54,$AD$54,
IF($O26-$O29&lt;=$AC$55,$AD$55,$AD$56))))))</f>
        <v>3</v>
      </c>
      <c r="AI35" s="250">
        <f>IF(OR(COUNT($O26)&lt;&gt;1,COUNT($O30)&lt;&gt;1),0,
IF($O26-$O30&lt;0,
IF($O26-$O30&gt;=$Z$53,$AA$53,
IF($O26-$O30&gt;=$Z$54,$AA$54,
IF($O26-$O30&gt;=$Z$55,$AA$55,$AA$56))),
IF($O26=$O30,1,
IF($O26-$O30&lt;=$AC$53,$AD$53,
IF($O26-$O30&lt;=$AC$54,$AD$54,
IF($O26-$O30&lt;=$AC$55,$AD$55,$AD$56))))))</f>
        <v>3</v>
      </c>
      <c r="AJ35"/>
      <c r="AK35" s="52"/>
      <c r="AL35" s="290" t="str">
        <f t="shared" si="54"/>
        <v>Complexity of equipment</v>
      </c>
      <c r="AM35" s="302">
        <f t="shared" si="55"/>
        <v>9.9999999999999992E-2</v>
      </c>
      <c r="AN35" s="297">
        <f t="shared" si="55"/>
        <v>3.8461538461538464E-2</v>
      </c>
      <c r="AO35" s="297">
        <f>AD35/AD$40</f>
        <v>5.5555555555555559E-2</v>
      </c>
      <c r="AP35" s="297">
        <f t="shared" si="55"/>
        <v>7.1428571428571425E-2</v>
      </c>
      <c r="AQ35" s="297">
        <f t="shared" si="55"/>
        <v>2.9411764705882346E-2</v>
      </c>
      <c r="AR35" s="297">
        <f t="shared" si="55"/>
        <v>0.13636363636363635</v>
      </c>
      <c r="AS35" s="297">
        <f t="shared" si="55"/>
        <v>0.18</v>
      </c>
      <c r="AT35" s="303">
        <f t="shared" si="55"/>
        <v>0.15517241379310343</v>
      </c>
      <c r="AU35" s="297">
        <f t="shared" si="65"/>
        <v>0.76639348030828758</v>
      </c>
      <c r="AV35" s="298">
        <f t="shared" si="66"/>
        <v>9.5799185038535961E-2</v>
      </c>
      <c r="AW35" s="299">
        <f t="shared" si="56"/>
        <v>0.85854442229695782</v>
      </c>
      <c r="AX35" s="304">
        <f>AW35/AV35</f>
        <v>8.961917807041905</v>
      </c>
      <c r="AY35" s="305"/>
      <c r="AZ35" s="306"/>
      <c r="BA35" s="306"/>
      <c r="BB35" s="306"/>
      <c r="BC35" s="306"/>
      <c r="BD35" s="293">
        <f t="shared" si="57"/>
        <v>0.76639348030828769</v>
      </c>
      <c r="BE35" s="51">
        <f t="shared" si="58"/>
        <v>3.7468125703960733</v>
      </c>
      <c r="BG35" s="403"/>
      <c r="BH35" s="231" t="str">
        <f t="shared" si="64"/>
        <v>Complexity of equipment</v>
      </c>
      <c r="BI35" s="293">
        <f t="shared" si="59"/>
        <v>0.76639348030828769</v>
      </c>
      <c r="BJ35" s="51">
        <f t="shared" si="60"/>
        <v>3.7468125703960733</v>
      </c>
    </row>
    <row r="36" spans="2:62" s="7" customFormat="1" ht="15.75" customHeight="1" thickTop="1" thickBot="1" x14ac:dyDescent="0.3">
      <c r="B36" s="384"/>
      <c r="C36" s="170">
        <f>'Influencing Factors'!C36</f>
        <v>31</v>
      </c>
      <c r="D36" s="200" t="str">
        <f>'Influencing Factors'!D36</f>
        <v>System capability upgrades</v>
      </c>
      <c r="E36" s="171">
        <f>'Influencing Factors'!E36</f>
        <v>4</v>
      </c>
      <c r="F36" s="171">
        <f>'Influencing Factors'!F36</f>
        <v>5</v>
      </c>
      <c r="G36" s="171">
        <f>'Influencing Factors'!G36</f>
        <v>4</v>
      </c>
      <c r="H36" s="171">
        <f>'Influencing Factors'!H36</f>
        <v>5</v>
      </c>
      <c r="I36" s="171">
        <f>'Influencing Factors'!I36</f>
        <v>5</v>
      </c>
      <c r="J36" s="171">
        <f>'Influencing Factors'!J36</f>
        <v>5</v>
      </c>
      <c r="K36" s="171">
        <f>'Influencing Factors'!K36</f>
        <v>6</v>
      </c>
      <c r="L36" s="171">
        <f>'Influencing Factors'!L36</f>
        <v>5</v>
      </c>
      <c r="M36" s="171">
        <f>'Influencing Factors'!M36</f>
        <v>4</v>
      </c>
      <c r="N36"/>
      <c r="O36" s="18">
        <f>'Influencing Factors'!O36</f>
        <v>4.7777777777777777</v>
      </c>
      <c r="P36" s="173"/>
      <c r="Q36" s="20">
        <f>'Influencing Factors'!Q36</f>
        <v>2</v>
      </c>
      <c r="R36" s="173"/>
      <c r="S36" s="180">
        <f>'Influencing Factors'!S36</f>
        <v>2.7777777777777777</v>
      </c>
      <c r="U36"/>
      <c r="V36"/>
      <c r="W36"/>
      <c r="X36" s="52"/>
      <c r="Y36" s="403"/>
      <c r="Z36" s="221">
        <f t="shared" si="61"/>
        <v>22</v>
      </c>
      <c r="AA36" s="231" t="str">
        <f t="shared" si="62"/>
        <v>Quality of components and manufacturing</v>
      </c>
      <c r="AB36" s="249">
        <f>IF(ISERROR(1/$AF32),0,IF(OR(COUNT($O$23)&lt;&gt;1,COUNT($O27)&lt;&gt;1),"",1/$AF32))</f>
        <v>0.33333333333333331</v>
      </c>
      <c r="AC36" s="61">
        <f>IF(ISERROR(1/$AF33),0,IF(OR(COUNT($O$24)&lt;&gt;1,COUNT($O27)&lt;&gt;1),"",1/$AF33))</f>
        <v>0.33333333333333331</v>
      </c>
      <c r="AD36" s="61">
        <f>IF(ISERROR(1/$AF34),0,IF(OR(COUNT($O$25)&lt;&gt;1,COUNT($O27)&lt;&gt;1),"",1/$AF34))</f>
        <v>0.33333333333333331</v>
      </c>
      <c r="AE36" s="61">
        <f>IF(ISERROR(1/$AF35),0,IF(OR(COUNT($O$26)&lt;&gt;1,COUNT($O27)&lt;&gt;1),"",1/$AF35))</f>
        <v>3</v>
      </c>
      <c r="AF36" s="233">
        <v>1</v>
      </c>
      <c r="AG36" s="61">
        <f>IF(OR(COUNT($O27)&lt;&gt;1,COUNT($O28)&lt;&gt;1),0,
IF($O27-$O28&lt;0,
IF($O27-$O28&gt;=$Z$53,$AA$53,
IF($O27-$O28&gt;=$Z$54,$AA$54,
IF($O27-$O28&gt;=$Z$55,$AA$55,$AA$56))),
IF($O27=$O28,1,
IF($O27-$O28&lt;=$AC$53,$AD$53,
IF($O27-$O28&lt;=$AC$54,$AD$54,
IF($O27-$O28&lt;=$AC$55,$AD$55,$AD$56))))))</f>
        <v>3</v>
      </c>
      <c r="AH36" s="61">
        <f>IF(OR(COUNT($O27)&lt;&gt;1,COUNT($O29)&lt;&gt;1),0,
IF($O27-$O29&lt;0,
IF($O27-$O29&gt;=$Z$53,$AA$53,
IF($O27-$O29&gt;=$Z$54,$AA$54,
IF($O27-$O29&gt;=$Z$55,$AA$55,$AA$56))),
IF($O27=$O29,1,
IF($O27-$O29&lt;=$AC$53,$AD$53,
IF($O27-$O29&lt;=$AC$54,$AD$54,
IF($O27-$O29&lt;=$AC$55,$AD$55,$AD$56))))))</f>
        <v>3</v>
      </c>
      <c r="AI36" s="250">
        <f>IF(OR(COUNT($O27)&lt;&gt;1,COUNT($O30)&lt;&gt;1),0,
IF($O27-$O30&lt;0,
IF($O27-$O30&gt;=$Z$53,$AA$53,
IF($O27-$O30&gt;=$Z$54,$AA$54,
IF($O27-$O30&gt;=$Z$55,$AA$55,$AA$56))),
IF($O27=$O30,1,
IF($O27-$O30&lt;=$AC$53,$AD$53,
IF($O27-$O30&lt;=$AC$54,$AD$54,
IF($O27-$O30&lt;=$AC$55,$AD$55,$AD$56))))))</f>
        <v>3</v>
      </c>
      <c r="AJ36"/>
      <c r="AK36" s="52"/>
      <c r="AL36" s="290" t="str">
        <f t="shared" si="54"/>
        <v>Quality of components and manufacturing</v>
      </c>
      <c r="AM36" s="302">
        <f t="shared" si="55"/>
        <v>9.9999999999999992E-2</v>
      </c>
      <c r="AN36" s="297">
        <f t="shared" si="55"/>
        <v>3.8461538461538464E-2</v>
      </c>
      <c r="AO36" s="297">
        <f>AD36/AD$40</f>
        <v>5.5555555555555559E-2</v>
      </c>
      <c r="AP36" s="297">
        <f t="shared" si="55"/>
        <v>0.21428571428571425</v>
      </c>
      <c r="AQ36" s="297">
        <f t="shared" si="55"/>
        <v>8.8235294117647037E-2</v>
      </c>
      <c r="AR36" s="297">
        <f t="shared" si="55"/>
        <v>0.13636363636363635</v>
      </c>
      <c r="AS36" s="297">
        <f t="shared" si="55"/>
        <v>0.18</v>
      </c>
      <c r="AT36" s="303">
        <f t="shared" si="55"/>
        <v>0.15517241379310343</v>
      </c>
      <c r="AU36" s="297">
        <f t="shared" si="65"/>
        <v>0.96807415257719498</v>
      </c>
      <c r="AV36" s="298">
        <f t="shared" si="66"/>
        <v>0.12100926907214939</v>
      </c>
      <c r="AW36" s="299">
        <f t="shared" si="56"/>
        <v>1.1308156384221293</v>
      </c>
      <c r="AX36" s="304">
        <f t="shared" si="63"/>
        <v>9.3448679352645527</v>
      </c>
      <c r="AY36" s="305"/>
      <c r="AZ36" s="306"/>
      <c r="BA36" s="306"/>
      <c r="BB36" s="306"/>
      <c r="BC36" s="306"/>
      <c r="BD36" s="293">
        <f t="shared" si="57"/>
        <v>0.96807415257719509</v>
      </c>
      <c r="BE36" s="51">
        <f t="shared" si="58"/>
        <v>5.91600871019397</v>
      </c>
      <c r="BG36" s="403"/>
      <c r="BH36" s="231" t="str">
        <f t="shared" si="64"/>
        <v>Quality of components and manufacturing</v>
      </c>
      <c r="BI36" s="293">
        <f t="shared" si="59"/>
        <v>0.96807415257719509</v>
      </c>
      <c r="BJ36" s="51">
        <f t="shared" si="60"/>
        <v>5.91600871019397</v>
      </c>
    </row>
    <row r="37" spans="2:62" s="7" customFormat="1" ht="15.75" customHeight="1" thickTop="1" thickBot="1" x14ac:dyDescent="0.3">
      <c r="B37" s="385"/>
      <c r="C37" s="183">
        <f>'Influencing Factors'!C37</f>
        <v>32</v>
      </c>
      <c r="D37" s="207" t="str">
        <f>'Influencing Factors'!D37</f>
        <v>Level of obsolescence (component, system or process)</v>
      </c>
      <c r="E37" s="184">
        <f>'Influencing Factors'!E37</f>
        <v>4</v>
      </c>
      <c r="F37" s="184">
        <f>'Influencing Factors'!F37</f>
        <v>6</v>
      </c>
      <c r="G37" s="184">
        <f>'Influencing Factors'!G37</f>
        <v>6</v>
      </c>
      <c r="H37" s="184">
        <f>'Influencing Factors'!H37</f>
        <v>5</v>
      </c>
      <c r="I37" s="184">
        <f>'Influencing Factors'!I37</f>
        <v>5</v>
      </c>
      <c r="J37" s="184">
        <f>'Influencing Factors'!J37</f>
        <v>5</v>
      </c>
      <c r="K37" s="184">
        <f>'Influencing Factors'!K37</f>
        <v>7</v>
      </c>
      <c r="L37" s="184">
        <f>'Influencing Factors'!L37</f>
        <v>7</v>
      </c>
      <c r="M37" s="184">
        <f>'Influencing Factors'!M37</f>
        <v>6</v>
      </c>
      <c r="N37"/>
      <c r="O37" s="185">
        <f>'Influencing Factors'!O37</f>
        <v>5.666666666666667</v>
      </c>
      <c r="P37" s="186">
        <f>'Influencing Factors'!P37</f>
        <v>5.2063492063492065</v>
      </c>
      <c r="Q37" s="187">
        <f>'Influencing Factors'!Q37</f>
        <v>3</v>
      </c>
      <c r="R37" s="186">
        <f>'Influencing Factors'!R37</f>
        <v>3.1428571428571428</v>
      </c>
      <c r="S37" s="188">
        <f>'Influencing Factors'!S37</f>
        <v>2.666666666666667</v>
      </c>
      <c r="U37"/>
      <c r="V37"/>
      <c r="W37"/>
      <c r="X37" s="52"/>
      <c r="Y37" s="403"/>
      <c r="Z37" s="221">
        <f t="shared" si="61"/>
        <v>23</v>
      </c>
      <c r="AA37" s="231" t="str">
        <f t="shared" si="62"/>
        <v>Mean time between failure (MTBF) data</v>
      </c>
      <c r="AB37" s="249">
        <f>IF(ISERROR(1/$AG32),0,IF(OR(COUNT($O$23)&lt;&gt;1,COUNT($O28)&lt;&gt;1),"",1/$AG32))</f>
        <v>0.33333333333333331</v>
      </c>
      <c r="AC37" s="61">
        <f>IF(ISERROR(1/$AG33),0,IF(OR(COUNT($O$24)&lt;&gt;1,COUNT($O28)&lt;&gt;1),"",1/$AG33))</f>
        <v>0.33333333333333331</v>
      </c>
      <c r="AD37" s="61">
        <f>IF(ISERROR(1/$AG34),0,IF(OR(COUNT($O$25)&lt;&gt;1,COUNT($O28)&lt;&gt;1),"",1/$AG34))</f>
        <v>0.33333333333333331</v>
      </c>
      <c r="AE37" s="61">
        <f>IF(ISERROR(1/$AG35),0,IF(OR(COUNT($O$26)&lt;&gt;1,COUNT($O28)&lt;&gt;1),"",1/$AG35))</f>
        <v>0.33333333333333331</v>
      </c>
      <c r="AF37" s="61">
        <f>IF(ISERROR(1/$AG36),0,IF(OR(COUNT($O$27)&lt;&gt;1,COUNT($O28)&lt;&gt;1),"",1/$AG36))</f>
        <v>0.33333333333333331</v>
      </c>
      <c r="AG37" s="233">
        <v>1</v>
      </c>
      <c r="AH37" s="61">
        <f>IF(OR(COUNT($O28)&lt;&gt;1,COUNT($O29)&lt;&gt;1),0,
IF($O28-$O29&lt;0,
IF($O28-$O29&gt;=$Z$53,$AA$53,
IF($O28-$O29&gt;=$Z$54,$AA$54,
IF($O28-$O29&gt;=$Z$55,$AA$55,$AA$56))),
IF($O28=$O29,1,
IF($O28-$O29&lt;=$AC$53,$AD$53,
IF($O28-$O29&lt;=$AC$54,$AD$54,
IF($O28-$O29&lt;=$AC$55,$AD$55,$AD$56))))))</f>
        <v>0.33333333333333331</v>
      </c>
      <c r="AI37" s="250">
        <f>IF(OR(COUNT($O28)&lt;&gt;1,COUNT($O30)&lt;&gt;1),0,
IF($O28-$O30&lt;0,
IF($O28-$O30&gt;=$Z$53,$AA$53,
IF($O28-$O30&gt;=$Z$54,$AA$54,
IF($O28-$O30&gt;=$Z$55,$AA$55,$AA$56))),
IF($O28=$O30,1,
IF($O28-$O30&lt;=$AC$53,$AD$53,
IF($O28-$O30&lt;=$AC$54,$AD$54,
IF($O28-$O30&lt;=$AC$55,$AD$55,$AD$56))))))</f>
        <v>0.33333333333333331</v>
      </c>
      <c r="AJ37"/>
      <c r="AK37" s="52"/>
      <c r="AL37" s="290" t="str">
        <f t="shared" si="54"/>
        <v>Mean time between failure (MTBF) data</v>
      </c>
      <c r="AM37" s="302">
        <f t="shared" si="55"/>
        <v>9.9999999999999992E-2</v>
      </c>
      <c r="AN37" s="297">
        <f t="shared" si="55"/>
        <v>3.8461538461538464E-2</v>
      </c>
      <c r="AO37" s="297">
        <f t="shared" si="55"/>
        <v>5.5555555555555559E-2</v>
      </c>
      <c r="AP37" s="297">
        <f t="shared" si="55"/>
        <v>2.3809523809523805E-2</v>
      </c>
      <c r="AQ37" s="297">
        <f t="shared" si="55"/>
        <v>2.9411764705882346E-2</v>
      </c>
      <c r="AR37" s="297">
        <f t="shared" si="55"/>
        <v>4.5454545454545456E-2</v>
      </c>
      <c r="AS37" s="297">
        <f t="shared" si="55"/>
        <v>1.9999999999999997E-2</v>
      </c>
      <c r="AT37" s="303">
        <f t="shared" si="55"/>
        <v>1.7241379310344824E-2</v>
      </c>
      <c r="AU37" s="297">
        <f t="shared" si="65"/>
        <v>0.32993430729739048</v>
      </c>
      <c r="AV37" s="298">
        <f t="shared" si="66"/>
        <v>4.1241788412173817E-2</v>
      </c>
      <c r="AW37" s="299">
        <f t="shared" si="56"/>
        <v>0.3608278589414492</v>
      </c>
      <c r="AX37" s="304">
        <f t="shared" si="63"/>
        <v>8.749083704501512</v>
      </c>
      <c r="AY37" s="305"/>
      <c r="AZ37" s="306"/>
      <c r="BA37" s="306"/>
      <c r="BB37" s="306"/>
      <c r="BC37" s="306"/>
      <c r="BD37" s="293">
        <f t="shared" si="57"/>
        <v>0.32993430729739054</v>
      </c>
      <c r="BE37" s="51">
        <f t="shared" si="58"/>
        <v>1.576352801531977</v>
      </c>
      <c r="BG37" s="403"/>
      <c r="BH37" s="231" t="str">
        <f t="shared" si="64"/>
        <v>Mean time between failure (MTBF) data</v>
      </c>
      <c r="BI37" s="293">
        <f t="shared" si="59"/>
        <v>0.32993430729739054</v>
      </c>
      <c r="BJ37" s="51">
        <f t="shared" si="60"/>
        <v>1.576352801531977</v>
      </c>
    </row>
    <row r="38" spans="2:62" s="7" customFormat="1" ht="15.75" customHeight="1" thickTop="1" thickBot="1" x14ac:dyDescent="0.3"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U38"/>
      <c r="V38"/>
      <c r="W38"/>
      <c r="X38" s="52"/>
      <c r="Y38" s="403"/>
      <c r="Z38" s="221">
        <f t="shared" si="61"/>
        <v>24</v>
      </c>
      <c r="AA38" s="231" t="str">
        <f t="shared" si="62"/>
        <v>Supply chain logistics</v>
      </c>
      <c r="AB38" s="249">
        <f>IF(ISERROR(1/$AH32),0,IF(OR(COUNT($O$23)&lt;&gt;1,COUNT($O29)&lt;&gt;1),"",1/$AH32))</f>
        <v>0.33333333333333331</v>
      </c>
      <c r="AC38" s="61">
        <f>IF(ISERROR(1/$AH33),0,IF(OR(COUNT($O$24)&lt;&gt;1,COUNT($O29)&lt;&gt;1),"",1/$AH33))</f>
        <v>0.33333333333333331</v>
      </c>
      <c r="AD38" s="61">
        <f>IF(ISERROR(1/$AH34),0,IF(OR(COUNT($O$25)&lt;&gt;1,COUNT($O29)&lt;&gt;1),"",1/$AH34))</f>
        <v>0.33333333333333331</v>
      </c>
      <c r="AE38" s="61">
        <f>IF(ISERROR(1/$AH35),0,IF(OR(COUNT($O$26)&lt;&gt;1,COUNT($O29)&lt;&gt;1),"",1/$AH35))</f>
        <v>0.33333333333333331</v>
      </c>
      <c r="AF38" s="61">
        <f>IF(ISERROR(1/$AH36),0,IF(OR(COUNT($O$27)&lt;&gt;1,COUNT($O29)&lt;&gt;1),"",1/$AH36))</f>
        <v>0.33333333333333331</v>
      </c>
      <c r="AG38" s="61">
        <f>IF(ISERROR(1/$AH37),0,IF(OR(COUNT($O$28)&lt;&gt;1,COUNT($O29)&lt;&gt;1),"",1/$AH37))</f>
        <v>3</v>
      </c>
      <c r="AH38" s="233">
        <v>1</v>
      </c>
      <c r="AI38" s="250">
        <f>IF(OR(COUNT($O29)&lt;&gt;1,COUNT($O30)&lt;&gt;1),0,
IF($O29-$O30&lt;0,
IF($O29-$O30&gt;=$Z$53,$AA$53,
IF($O29-$O30&gt;=$Z$54,$AA$54,
IF($O29-$O30&gt;=$Z$55,$AA$55,$AA$56))),
IF($O29=$O30,1,
IF($O29-$O30&lt;=$AC$53,$AD$53,
IF($O29-$O30&lt;=$AC$54,$AD$54,
IF($O29-$O30&lt;=$AC$55,$AD$55,$AD$56))))))</f>
        <v>3</v>
      </c>
      <c r="AJ38"/>
      <c r="AK38" s="52"/>
      <c r="AL38" s="290" t="str">
        <f t="shared" si="54"/>
        <v>Supply chain logistics</v>
      </c>
      <c r="AM38" s="302">
        <f t="shared" si="55"/>
        <v>9.9999999999999992E-2</v>
      </c>
      <c r="AN38" s="297">
        <f t="shared" si="55"/>
        <v>3.8461538461538464E-2</v>
      </c>
      <c r="AO38" s="297">
        <f t="shared" si="55"/>
        <v>5.5555555555555559E-2</v>
      </c>
      <c r="AP38" s="297">
        <f t="shared" si="55"/>
        <v>2.3809523809523805E-2</v>
      </c>
      <c r="AQ38" s="297">
        <f t="shared" si="55"/>
        <v>2.9411764705882346E-2</v>
      </c>
      <c r="AR38" s="297">
        <f t="shared" si="55"/>
        <v>0.13636363636363635</v>
      </c>
      <c r="AS38" s="297">
        <f t="shared" si="55"/>
        <v>0.06</v>
      </c>
      <c r="AT38" s="303">
        <f t="shared" si="55"/>
        <v>0.15517241379310343</v>
      </c>
      <c r="AU38" s="297">
        <f t="shared" si="65"/>
        <v>0.59877443268923991</v>
      </c>
      <c r="AV38" s="298">
        <f t="shared" si="66"/>
        <v>7.4846804086155003E-2</v>
      </c>
      <c r="AW38" s="299">
        <f t="shared" si="56"/>
        <v>0.64498469076562392</v>
      </c>
      <c r="AX38" s="307">
        <f t="shared" si="63"/>
        <v>8.6173978787817305</v>
      </c>
      <c r="AY38" s="308"/>
      <c r="AZ38" s="309"/>
      <c r="BA38" s="309"/>
      <c r="BB38" s="309"/>
      <c r="BC38" s="309"/>
      <c r="BD38" s="310">
        <f t="shared" si="57"/>
        <v>0.59877443268924002</v>
      </c>
      <c r="BE38" s="51">
        <f t="shared" si="58"/>
        <v>3.9252990587405732</v>
      </c>
      <c r="BG38" s="403"/>
      <c r="BH38" s="231" t="str">
        <f t="shared" si="64"/>
        <v>Supply chain logistics</v>
      </c>
      <c r="BI38" s="310">
        <f t="shared" si="59"/>
        <v>0.59877443268924002</v>
      </c>
      <c r="BJ38" s="51">
        <f t="shared" si="60"/>
        <v>3.9252990587405732</v>
      </c>
    </row>
    <row r="39" spans="2:62" s="7" customFormat="1" ht="15.75" customHeight="1" thickBot="1" x14ac:dyDescent="0.3">
      <c r="B39" s="26" t="s">
        <v>26</v>
      </c>
      <c r="C39" s="21"/>
      <c r="D39" s="21"/>
      <c r="E39" s="21"/>
      <c r="F39" s="26" t="s">
        <v>47</v>
      </c>
      <c r="G39" s="21"/>
      <c r="H39" s="21"/>
      <c r="I39" s="21"/>
      <c r="J39" s="21"/>
      <c r="K39" s="21"/>
      <c r="L39" s="21"/>
      <c r="M39" s="21"/>
      <c r="N39" s="21"/>
      <c r="O39" s="31"/>
      <c r="P39"/>
      <c r="Q39"/>
      <c r="R39"/>
      <c r="S39"/>
      <c r="U39"/>
      <c r="V39"/>
      <c r="W39"/>
      <c r="X39" s="52"/>
      <c r="Y39" s="404"/>
      <c r="Z39" s="221">
        <f t="shared" si="61"/>
        <v>25</v>
      </c>
      <c r="AA39" s="231" t="str">
        <f t="shared" si="62"/>
        <v>Sufficiency of spare parts storage (on the shelf)</v>
      </c>
      <c r="AB39" s="251">
        <f>IF(ISERROR(1/$AI32),0,IF(OR(COUNT($O$23)&lt;&gt;1,COUNT($O30)&lt;&gt;1),"",1/$AI32))</f>
        <v>0.33333333333333331</v>
      </c>
      <c r="AC39" s="252">
        <f>IF(ISERROR(1/$AI33),0,IF(OR(COUNT($O$24)&lt;&gt;1,COUNT($O30)&lt;&gt;1),"",1/$AI33))</f>
        <v>0.33333333333333331</v>
      </c>
      <c r="AD39" s="252">
        <f>IF(ISERROR(1/$AI34),0,IF(OR(COUNT($O$25)&lt;&gt;1,COUNT($O30)&lt;&gt;1),"",1/$AI34))</f>
        <v>0.33333333333333331</v>
      </c>
      <c r="AE39" s="252">
        <f>IF(ISERROR(1/$AI35),0,IF(OR(COUNT($O$26)&lt;&gt;1,COUNT($O30)&lt;&gt;1),"",1/$AI35))</f>
        <v>0.33333333333333331</v>
      </c>
      <c r="AF39" s="252">
        <f>IF(ISERROR(1/$AI36),0,IF(OR(COUNT($O$27)&lt;&gt;1,COUNT($O30)&lt;&gt;1),"",1/$AI36))</f>
        <v>0.33333333333333331</v>
      </c>
      <c r="AG39" s="252">
        <f>IF(ISERROR(1/$AI37),0,IF(OR(COUNT($O$28)&lt;&gt;1,COUNT($O30)&lt;&gt;1),"",1/$AI37))</f>
        <v>3</v>
      </c>
      <c r="AH39" s="252">
        <f>IF(ISERROR(1/$AI38),0,IF(OR(COUNT($O$29)&lt;&gt;1,COUNT($O30)&lt;&gt;1),"",1/$AI38))</f>
        <v>0.33333333333333331</v>
      </c>
      <c r="AI39" s="253">
        <v>1</v>
      </c>
      <c r="AJ39"/>
      <c r="AK39" s="52"/>
      <c r="AL39" s="290" t="str">
        <f t="shared" si="54"/>
        <v>Sufficiency of spare parts storage (on the shelf)</v>
      </c>
      <c r="AM39" s="311">
        <f t="shared" si="55"/>
        <v>9.9999999999999992E-2</v>
      </c>
      <c r="AN39" s="312">
        <f t="shared" si="55"/>
        <v>3.8461538461538464E-2</v>
      </c>
      <c r="AO39" s="312">
        <f t="shared" si="55"/>
        <v>5.5555555555555559E-2</v>
      </c>
      <c r="AP39" s="312">
        <f t="shared" si="55"/>
        <v>2.3809523809523805E-2</v>
      </c>
      <c r="AQ39" s="312">
        <f t="shared" si="55"/>
        <v>2.9411764705882346E-2</v>
      </c>
      <c r="AR39" s="312">
        <f t="shared" si="55"/>
        <v>0.13636363636363635</v>
      </c>
      <c r="AS39" s="312">
        <f t="shared" si="55"/>
        <v>1.9999999999999997E-2</v>
      </c>
      <c r="AT39" s="313">
        <f t="shared" si="55"/>
        <v>5.1724137931034475E-2</v>
      </c>
      <c r="AU39" s="297">
        <f t="shared" si="65"/>
        <v>0.45532615682717104</v>
      </c>
      <c r="AV39" s="298">
        <f t="shared" si="66"/>
        <v>5.6915769603396386E-2</v>
      </c>
      <c r="AW39" s="299">
        <f t="shared" si="56"/>
        <v>0.48125528216806113</v>
      </c>
      <c r="AX39" s="307">
        <f t="shared" si="63"/>
        <v>8.4555701437680764</v>
      </c>
      <c r="AY39" s="308"/>
      <c r="AZ39" s="309"/>
      <c r="BA39" s="309"/>
      <c r="BB39" s="309"/>
      <c r="BC39" s="309"/>
      <c r="BD39" s="310">
        <f t="shared" si="57"/>
        <v>0.45532615682717109</v>
      </c>
      <c r="BE39" s="51">
        <f t="shared" si="58"/>
        <v>2.5295897601509503</v>
      </c>
      <c r="BG39" s="404"/>
      <c r="BH39" s="231" t="str">
        <f t="shared" si="64"/>
        <v>Sufficiency of spare parts storage (on the shelf)</v>
      </c>
      <c r="BI39" s="310">
        <f t="shared" si="59"/>
        <v>0.45532615682717109</v>
      </c>
      <c r="BJ39" s="51">
        <f t="shared" si="60"/>
        <v>2.5295897601509503</v>
      </c>
    </row>
    <row r="40" spans="2:62" ht="15.75" customHeight="1" x14ac:dyDescent="0.25">
      <c r="B40" s="27"/>
      <c r="C40" s="28"/>
      <c r="D40" s="29"/>
      <c r="E40" s="28"/>
      <c r="F40" s="30"/>
      <c r="G40" s="28"/>
      <c r="H40" s="28"/>
      <c r="I40" s="28"/>
      <c r="J40" s="28"/>
      <c r="K40" s="28"/>
      <c r="L40" s="28"/>
      <c r="M40" s="28"/>
      <c r="N40" s="28"/>
      <c r="O40" s="22"/>
      <c r="P40"/>
      <c r="Q40"/>
      <c r="R40"/>
      <c r="S40"/>
      <c r="U40"/>
      <c r="V40"/>
      <c r="W40"/>
      <c r="X40" s="52"/>
      <c r="Y40"/>
      <c r="Z40"/>
      <c r="AA40" s="66" t="s">
        <v>85</v>
      </c>
      <c r="AB40" s="67">
        <f>SUM(AB32:AB39)</f>
        <v>3.3333333333333335</v>
      </c>
      <c r="AC40" s="67">
        <f t="shared" ref="AC40:AI40" si="67">SUM(AC32:AC39)</f>
        <v>8.6666666666666661</v>
      </c>
      <c r="AD40" s="67">
        <f>SUM(AD32:AD39)</f>
        <v>5.9999999999999991</v>
      </c>
      <c r="AE40" s="67">
        <f t="shared" si="67"/>
        <v>14.000000000000002</v>
      </c>
      <c r="AF40" s="67">
        <f t="shared" si="67"/>
        <v>11.333333333333336</v>
      </c>
      <c r="AG40" s="67">
        <f t="shared" si="67"/>
        <v>22</v>
      </c>
      <c r="AH40" s="67">
        <f t="shared" si="67"/>
        <v>16.666666666666668</v>
      </c>
      <c r="AI40" s="67">
        <f t="shared" si="67"/>
        <v>19.333333333333336</v>
      </c>
      <c r="AJ40"/>
      <c r="AK40" s="52"/>
      <c r="AL40" s="290"/>
      <c r="AM40" s="291"/>
      <c r="AN40" s="291"/>
      <c r="AO40" s="291"/>
      <c r="AP40" s="291"/>
      <c r="AQ40" s="291"/>
      <c r="AR40" s="291"/>
      <c r="AS40" s="291"/>
      <c r="AT40" s="314" t="s">
        <v>86</v>
      </c>
      <c r="AU40" s="315">
        <f>SUM(AU32:AU39)</f>
        <v>7.9999999999999991</v>
      </c>
      <c r="AV40" s="315">
        <f>SUM(AV32:AV39)</f>
        <v>1</v>
      </c>
      <c r="AW40" s="299"/>
      <c r="AX40" s="307"/>
      <c r="AY40" s="316" t="s">
        <v>87</v>
      </c>
      <c r="AZ40" s="315">
        <f>COUNT(AW32:AW39)</f>
        <v>8</v>
      </c>
      <c r="BA40" s="309"/>
      <c r="BB40" s="309"/>
      <c r="BC40" s="309"/>
      <c r="BD40" s="310"/>
      <c r="BE40" s="69">
        <f>AVERAGE(BE32:BE39)</f>
        <v>5.8633235419577545</v>
      </c>
    </row>
    <row r="41" spans="2:62" ht="15.75" customHeight="1" x14ac:dyDescent="0.25">
      <c r="B41" s="28"/>
      <c r="C41" s="28"/>
      <c r="D41" s="29"/>
      <c r="E41" s="28"/>
      <c r="F41" s="30"/>
      <c r="G41" s="28"/>
      <c r="H41" s="28"/>
      <c r="I41" s="28"/>
      <c r="J41" s="28"/>
      <c r="K41" s="28"/>
      <c r="L41" s="28"/>
      <c r="M41" s="28"/>
      <c r="N41" s="28"/>
      <c r="O41" s="22"/>
      <c r="P41"/>
      <c r="Q41"/>
      <c r="R41"/>
      <c r="S41"/>
      <c r="U41"/>
      <c r="V41"/>
      <c r="W41"/>
      <c r="X41" s="52"/>
      <c r="Y41"/>
      <c r="Z41"/>
      <c r="AA41" s="70"/>
      <c r="AB41" s="129"/>
      <c r="AC41" s="129"/>
      <c r="AD41" s="129"/>
      <c r="AE41" s="129"/>
      <c r="AF41" s="129"/>
      <c r="AG41" s="129"/>
      <c r="AH41" s="129"/>
      <c r="AI41" s="129"/>
      <c r="AJ41"/>
      <c r="AK41" s="52"/>
      <c r="AL41" s="129"/>
      <c r="AM41" s="129"/>
      <c r="AN41" s="129"/>
      <c r="AO41" s="129"/>
      <c r="AP41" s="129"/>
      <c r="AQ41" s="129"/>
      <c r="AR41" s="129"/>
      <c r="AS41" s="129"/>
      <c r="AT41" s="50"/>
      <c r="AU41" s="130"/>
      <c r="AV41" s="53"/>
      <c r="AW41" s="53"/>
      <c r="AX41" s="131"/>
      <c r="AY41" s="53"/>
      <c r="AZ41" s="53"/>
      <c r="BA41" s="53"/>
      <c r="BB41" s="53"/>
      <c r="BC41" s="53"/>
      <c r="BD41" s="132"/>
      <c r="BE41" s="51"/>
    </row>
    <row r="42" spans="2:62" ht="15.75" customHeight="1" x14ac:dyDescent="0.25">
      <c r="B42" s="28"/>
      <c r="C42" s="28"/>
      <c r="D42" s="29"/>
      <c r="E42" s="28"/>
      <c r="F42" s="30"/>
      <c r="G42" s="28"/>
      <c r="H42" s="28"/>
      <c r="I42" s="28"/>
      <c r="J42" s="28"/>
      <c r="K42" s="28"/>
      <c r="L42" s="28"/>
      <c r="M42" s="28"/>
      <c r="N42" s="28"/>
      <c r="O42"/>
      <c r="P42"/>
      <c r="Q42"/>
      <c r="R42"/>
      <c r="S42"/>
      <c r="U42"/>
      <c r="V42"/>
      <c r="W42"/>
      <c r="X42" s="52"/>
      <c r="Y42"/>
      <c r="Z42"/>
      <c r="AA42" s="74"/>
      <c r="AB42" s="235" t="str">
        <f>AA43</f>
        <v>Accuracy of cost estimation</v>
      </c>
      <c r="AC42" s="235" t="str">
        <f>AA44</f>
        <v>Confidence that reference books are reviewed and up-to-date</v>
      </c>
      <c r="AD42" s="235" t="str">
        <f>AA45</f>
        <v>Technology integration (availability of system interrogation software)</v>
      </c>
      <c r="AE42" s="235" t="str">
        <f>AA46</f>
        <v>Data reliability and quality</v>
      </c>
      <c r="AF42" s="236" t="str">
        <f>AA47</f>
        <v>Efficiency of engineering effort</v>
      </c>
      <c r="AG42" s="236" t="str">
        <f>AA48</f>
        <v>System capability upgrades</v>
      </c>
      <c r="AH42" s="236" t="str">
        <f>AA49</f>
        <v>Level of obsolescence (component, system or process)</v>
      </c>
      <c r="AI42" s="129"/>
      <c r="AJ42"/>
      <c r="AK42" s="52"/>
      <c r="AL42" s="264"/>
      <c r="AM42" s="264" t="str">
        <f>AB42</f>
        <v>Accuracy of cost estimation</v>
      </c>
      <c r="AN42" s="264" t="str">
        <f t="shared" ref="AN42:AS42" si="68">AC42</f>
        <v>Confidence that reference books are reviewed and up-to-date</v>
      </c>
      <c r="AO42" s="264" t="str">
        <f t="shared" si="68"/>
        <v>Technology integration (availability of system interrogation software)</v>
      </c>
      <c r="AP42" s="264" t="str">
        <f t="shared" si="68"/>
        <v>Data reliability and quality</v>
      </c>
      <c r="AQ42" s="264" t="str">
        <f t="shared" si="68"/>
        <v>Efficiency of engineering effort</v>
      </c>
      <c r="AR42" s="264" t="str">
        <f t="shared" si="68"/>
        <v>System capability upgrades</v>
      </c>
      <c r="AS42" s="264" t="str">
        <f t="shared" si="68"/>
        <v>Level of obsolescence (component, system or process)</v>
      </c>
      <c r="AT42" s="265"/>
      <c r="AU42" s="266" t="str">
        <f>AU5</f>
        <v>Sum row</v>
      </c>
      <c r="AV42" s="266" t="str">
        <f>AV5</f>
        <v>Average (% sig)</v>
      </c>
      <c r="AW42" s="267" t="str">
        <f>AW5</f>
        <v>Consistency measure (Weighted sum vector)</v>
      </c>
      <c r="AX42" s="266" t="s">
        <v>77</v>
      </c>
      <c r="AY42" s="267" t="s">
        <v>78</v>
      </c>
      <c r="AZ42" s="266" t="s">
        <v>79</v>
      </c>
      <c r="BA42" s="266" t="str">
        <f>BA5</f>
        <v>Random index</v>
      </c>
      <c r="BB42" s="266" t="str">
        <f>BB5</f>
        <v>Consistency ratio</v>
      </c>
      <c r="BC42" s="266" t="str">
        <f>BC5</f>
        <v>Consistency ratio %</v>
      </c>
      <c r="BD42" s="268" t="str">
        <f>BD5</f>
        <v>Normalised weight</v>
      </c>
      <c r="BE42" s="51" t="str">
        <f>BE5</f>
        <v>Uncertainty score</v>
      </c>
      <c r="BI42" s="268" t="str">
        <f>BD42</f>
        <v>Normalised weight</v>
      </c>
      <c r="BJ42" s="51" t="str">
        <f>BE42</f>
        <v>Uncertainty score</v>
      </c>
    </row>
    <row r="43" spans="2:62" ht="15.75" customHeight="1" thickBot="1" x14ac:dyDescent="0.3">
      <c r="B43" s="11"/>
      <c r="D43" s="14"/>
      <c r="F43" s="10"/>
      <c r="O43"/>
      <c r="P43"/>
      <c r="Q43"/>
      <c r="R43"/>
      <c r="S43"/>
      <c r="U43"/>
      <c r="V43"/>
      <c r="W43"/>
      <c r="X43" s="52"/>
      <c r="Y43" s="405" t="s">
        <v>5</v>
      </c>
      <c r="Z43" s="221">
        <f>C31</f>
        <v>26</v>
      </c>
      <c r="AA43" s="234" t="str">
        <f>D31</f>
        <v>Accuracy of cost estimation</v>
      </c>
      <c r="AB43" s="238">
        <v>1</v>
      </c>
      <c r="AC43" s="239">
        <f>IF(OR(COUNT($O31)&lt;&gt;1,COUNT($O32)&lt;&gt;1),0,
IF($O31-$O32&lt;0,
IF($O31-$O32&gt;=$Z$53,$AA$53,
IF($O31-$O32&gt;=$Z$54,$AA$54,
IF($O31-$O32&gt;=$Z$55,$AA$55,$AA$56))),
IF($O31=$O32,1,
IF($O31-$O32&lt;=$AC$53,$AD$53,
IF($O31-$O32&lt;=$AC$54,$AD$54,
IF($O31-$O32&lt;=$AC$55,$AD$55,$AD$56))))))</f>
        <v>0.33333333333333331</v>
      </c>
      <c r="AD43" s="239">
        <f>IF(OR(COUNT($O31)&lt;&gt;1,COUNT($O33)&lt;&gt;1),0,
IF($O31-$O33&lt;0,
IF($O31-$O33&gt;=$Z$53,$AA$53,
IF($O31-$O33&gt;=$Z$54,$AA$54,
IF($O31-$O33&gt;=$Z$55,$AA$55,$AA$56))),
IF($O31=$O33,1,
IF($O31-$O33&lt;=$AC$53,$AD$53,
IF($O31-$O33&lt;=$AC$54,$AD$54,
IF($O31-$O33&lt;=$AC$55,$AD$55,$AD$56))))))</f>
        <v>3</v>
      </c>
      <c r="AE43" s="239">
        <f>IF(OR(COUNT($O31)&lt;&gt;1,COUNT($O34)&lt;&gt;1),0,
IF($O31-$O34&lt;0,
IF($O31-$O34&gt;=$Z$53,$AA$53,
IF($O31-$O34&gt;=$Z$54,$AA$54,
IF($O31-$O34&gt;=$Z$55,$AA$55,$AA$56))),
IF($O31=$O34,1,
IF($O31-$O34&lt;=$AC$53,$AD$53,
IF($O31-$O34&lt;=$AC$54,$AD$54,
IF($O31-$O34&lt;=$AC$55,$AD$55,$AD$56))))))</f>
        <v>0.33333333333333331</v>
      </c>
      <c r="AF43" s="239">
        <f>IF(OR(COUNT($O31)&lt;&gt;1,COUNT($O35)&lt;&gt;1),0,
IF($O31-$O35&lt;0,
IF($O31-$O35&gt;=$Z$53,$AA$53,
IF($O31-$O35&gt;=$Z$54,$AA$54,
IF($O31-$O35&gt;=$Z$55,$AA$55,$AA$56))),
IF($O31=$O35,1,
IF($O31-$O35&lt;=$AC$53,$AD$53,
IF($O31-$O35&lt;=$AC$54,$AD$54,
IF($O31-$O35&lt;=$AC$55,$AD$55,$AD$56))))))</f>
        <v>0.33333333333333331</v>
      </c>
      <c r="AG43" s="239">
        <f>IF(OR(COUNT($O31)&lt;&gt;1,COUNT($O36)&lt;&gt;1),0,
IF($O31-$O36&lt;0,
IF($O31-$O36&gt;=$Z$53,$AA$53,
IF($O31-$O36&gt;=$Z$54,$AA$54,
IF($O31-$O36&gt;=$Z$55,$AA$55,$AA$56))),
IF($O31=$O36,1,
IF($O31-$O36&lt;=$AC$53,$AD$53,
IF($O31-$O36&lt;=$AC$54,$AD$54,
IF($O31-$O36&lt;=$AC$55,$AD$55,$AD$56))))))</f>
        <v>0.33333333333333331</v>
      </c>
      <c r="AH43" s="240">
        <f>IF(OR(COUNT($O31)&lt;&gt;1,COUNT($O37)&lt;&gt;1),0,
IF($O31-$O37&lt;0,
IF($O31-$O37&gt;=$Z$53,$AA$53,
IF($O31-$O37&gt;=$Z$54,$AA$54,
IF($O31-$O37&gt;=$Z$55,$AA$55,$AA$56))),
IF($O31=$O37,1,
IF($O31-$O37&lt;=$AC$53,$AD$53,
IF($O31-$O37&lt;=$AC$54,$AD$54,
IF($O31-$O37&lt;=$AC$55,$AD$55,$AD$56))))))</f>
        <v>0.33333333333333331</v>
      </c>
      <c r="AI43" s="129"/>
      <c r="AJ43"/>
      <c r="AK43" s="52"/>
      <c r="AL43" s="264" t="str">
        <f>AA43</f>
        <v>Accuracy of cost estimation</v>
      </c>
      <c r="AM43" s="269">
        <f>AB43/AB$50</f>
        <v>9.6774193548387108E-2</v>
      </c>
      <c r="AN43" s="270">
        <f t="shared" ref="AN43:AS45" si="69">AC43/AC$50</f>
        <v>6.666666666666668E-2</v>
      </c>
      <c r="AO43" s="270">
        <f t="shared" si="69"/>
        <v>0.23076923076923078</v>
      </c>
      <c r="AP43" s="270">
        <f t="shared" si="69"/>
        <v>0.14285714285714285</v>
      </c>
      <c r="AQ43" s="270">
        <f t="shared" si="69"/>
        <v>4.3478260869565216E-2</v>
      </c>
      <c r="AR43" s="270">
        <f t="shared" si="69"/>
        <v>3.4482758620689648E-2</v>
      </c>
      <c r="AS43" s="271">
        <f t="shared" si="69"/>
        <v>7.6923076923076927E-2</v>
      </c>
      <c r="AT43" s="265"/>
      <c r="AU43" s="266">
        <f>SUM(AM43:AS43)</f>
        <v>0.69195133025475908</v>
      </c>
      <c r="AV43" s="272">
        <f>AU43/$AU$50</f>
        <v>6.8166953181009016E-2</v>
      </c>
      <c r="AW43" s="273">
        <f>MMULT(AB43:AH43,$AV$43:$AV$49)</f>
        <v>0.50319181509126476</v>
      </c>
      <c r="AX43" s="274">
        <f>AW43/AV43</f>
        <v>7.381755991867502</v>
      </c>
      <c r="AY43" s="275">
        <f>AVERAGE(AX43:AX49)</f>
        <v>7.914083212492705</v>
      </c>
      <c r="AZ43" s="274">
        <f>(AY43-AZ50)/(AZ50-1)</f>
        <v>0.72852080312317624</v>
      </c>
      <c r="BA43" s="274">
        <f>VLOOKUP(AZ50,$BA$53:$BB$61,2)</f>
        <v>1.1200000000000001</v>
      </c>
      <c r="BB43" s="274">
        <f>IF(ISERROR(AZ43/BA43),0,AZ43/BA43)</f>
        <v>0.65046500278855013</v>
      </c>
      <c r="BC43" s="274">
        <f>BB43*100</f>
        <v>65.046500278855007</v>
      </c>
      <c r="BD43" s="268">
        <f>AV43/(1/$AZ$50)</f>
        <v>0.34083476590504508</v>
      </c>
      <c r="BE43" s="51">
        <f t="shared" ref="BE43:BE49" si="70">O25*BD43</f>
        <v>2.0071380658852656</v>
      </c>
      <c r="BG43" s="405" t="str">
        <f>Y43</f>
        <v>Engineering</v>
      </c>
      <c r="BH43" s="234" t="str">
        <f>AA43</f>
        <v>Accuracy of cost estimation</v>
      </c>
      <c r="BI43" s="268">
        <f t="shared" ref="BI43:BI49" si="71">BD43</f>
        <v>0.34083476590504508</v>
      </c>
      <c r="BJ43" s="51">
        <f t="shared" ref="BJ43:BJ49" si="72">BE43</f>
        <v>2.0071380658852656</v>
      </c>
    </row>
    <row r="44" spans="2:62" ht="15.75" customHeight="1" thickBot="1" x14ac:dyDescent="0.3">
      <c r="B44" s="33" t="s">
        <v>66</v>
      </c>
      <c r="C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5"/>
      <c r="O44"/>
      <c r="P44"/>
      <c r="Q44"/>
      <c r="R44"/>
      <c r="S44"/>
      <c r="X44" s="52"/>
      <c r="Y44" s="405"/>
      <c r="Z44" s="221">
        <f t="shared" ref="Z44:AA44" si="73">C32</f>
        <v>27</v>
      </c>
      <c r="AA44" s="234" t="str">
        <f t="shared" si="73"/>
        <v>Confidence that reference books are reviewed and up-to-date</v>
      </c>
      <c r="AB44" s="241">
        <f>IF(ISERROR(1/$AC43),0,IF(OR(COUNT($O$31)&lt;&gt;1,COUNT($O32)&lt;&gt;1),"",1/$AC43))</f>
        <v>3</v>
      </c>
      <c r="AC44" s="237">
        <v>1</v>
      </c>
      <c r="AD44" s="61">
        <f>IF(OR(COUNT($O32)&lt;&gt;1,COUNT($O33)&lt;&gt;1),0,
IF($O32-$O33&lt;0,
IF($O32-$O33&gt;=$Z$53,$AA$53,
IF($O32-$O33&gt;=$Z$54,$AA$54,
IF($O32-$O33&gt;=$Z$55,$AA$55,$AA$56))),
IF($O32=$O33,1,
IF($O32-$O33&lt;=$AC$53,$AD$53,
IF($O32-$O33&lt;=$AC$54,$AD$54,
IF($O32-$O33&lt;=$AC$55,$AD$55,$AD$56))))))</f>
        <v>3</v>
      </c>
      <c r="AE44" s="61">
        <f>IF(OR(COUNT($O32)&lt;&gt;1,COUNT($O34)&lt;&gt;1),0,
IF($O32-$O34&lt;0,
IF($O32-$O34&gt;=$Z$53,$AA$53,
IF($O32-$O34&gt;=$Z$54,$AA$54,
IF($O32-$O34&gt;=$Z$55,$AA$55,$AA$56))),
IF($O32=$O34,1,
IF($O32-$O34&lt;=$AC$53,$AD$53,
IF($O32-$O34&lt;=$AC$54,$AD$54,
IF($O32-$O34&lt;=$AC$55,$AD$55,$AD$56))))))</f>
        <v>0.33333333333333331</v>
      </c>
      <c r="AF44" s="61">
        <f>IF(OR(COUNT($O32)&lt;&gt;1,COUNT($O35)&lt;&gt;1),0,
IF($O32-$O35&lt;0,
IF($O32-$O35&gt;=$Z$53,$AA$53,
IF($O32-$O35&gt;=$Z$54,$AA$54,
IF($O32-$O35&gt;=$Z$55,$AA$55,$AA$56))),
IF($O32=$O35,1,
IF($O32-$O35&lt;=$AC$53,$AD$53,
IF($O32-$O35&lt;=$AC$54,$AD$54,
IF($O32-$O35&lt;=$AC$55,$AD$55,$AD$56))))))</f>
        <v>3</v>
      </c>
      <c r="AG44" s="61">
        <f>IF(OR(COUNT($O32)&lt;&gt;1,COUNT($O36)&lt;&gt;1),0,
IF($O32-$O36&lt;0,
IF($O32-$O36&gt;=$Z$53,$AA$53,
IF($O32-$O36&gt;=$Z$54,$AA$54,
IF($O32-$O36&gt;=$Z$55,$AA$55,$AA$56))),
IF($O32=$O36,1,
IF($O32-$O36&lt;=$AC$53,$AD$53,
IF($O32-$O36&lt;=$AC$54,$AD$54,
IF($O32-$O36&lt;=$AC$55,$AD$55,$AD$56))))))</f>
        <v>3</v>
      </c>
      <c r="AH44" s="242">
        <f>IF(OR(COUNT($O32)&lt;&gt;1,COUNT($O37)&lt;&gt;1),0,
IF($O32-$O37&lt;0,
IF($O32-$O37&gt;=$Z$53,$AA$53,
IF($O32-$O37&gt;=$Z$54,$AA$54,
IF($O32-$O37&gt;=$Z$55,$AA$55,$AA$56))),
IF($O32=$O37,1,
IF($O32-$O37&lt;=$AC$53,$AD$53,
IF($O32-$O37&lt;=$AC$54,$AD$54,
IF($O32-$O37&lt;=$AC$55,$AD$55,$AD$56))))))</f>
        <v>0.33333333333333331</v>
      </c>
      <c r="AI44" s="129"/>
      <c r="AJ44"/>
      <c r="AK44" s="52"/>
      <c r="AL44" s="264" t="str">
        <f t="shared" ref="AL44:AL49" si="74">AA44</f>
        <v>Confidence that reference books are reviewed and up-to-date</v>
      </c>
      <c r="AM44" s="276">
        <f>AB44/AB$50</f>
        <v>0.29032258064516131</v>
      </c>
      <c r="AN44" s="277">
        <f t="shared" si="69"/>
        <v>0.20000000000000004</v>
      </c>
      <c r="AO44" s="277">
        <f t="shared" si="69"/>
        <v>0.23076923076923078</v>
      </c>
      <c r="AP44" s="277">
        <f t="shared" si="69"/>
        <v>0.14285714285714285</v>
      </c>
      <c r="AQ44" s="277">
        <f t="shared" si="69"/>
        <v>0.39130434782608692</v>
      </c>
      <c r="AR44" s="277">
        <f t="shared" si="69"/>
        <v>0.31034482758620685</v>
      </c>
      <c r="AS44" s="278">
        <f t="shared" si="69"/>
        <v>7.6923076923076927E-2</v>
      </c>
      <c r="AT44" s="265"/>
      <c r="AU44" s="266">
        <f t="shared" ref="AU44:AU49" si="75">SUM(AM44:AS44)</f>
        <v>1.6425212066069055</v>
      </c>
      <c r="AV44" s="272">
        <f t="shared" ref="AV44:AV49" si="76">AU44/$AU$50</f>
        <v>0.16181147617472522</v>
      </c>
      <c r="AW44" s="273">
        <f t="shared" ref="AW44:AW49" si="77">MMULT(AB44:AH44,$AV$43:$AV$49)</f>
        <v>1.3260805946174208</v>
      </c>
      <c r="AX44" s="274">
        <f t="shared" ref="AX44:AX49" si="78">AW44/AV44</f>
        <v>8.1952196838344715</v>
      </c>
      <c r="AY44" s="279"/>
      <c r="AZ44" s="280"/>
      <c r="BA44" s="280"/>
      <c r="BB44" s="280"/>
      <c r="BC44" s="280"/>
      <c r="BD44" s="281">
        <f>AV44/(1/$AZ$50)</f>
        <v>0.809057380873626</v>
      </c>
      <c r="BE44" s="51">
        <f t="shared" si="70"/>
        <v>4.2250774334511583</v>
      </c>
      <c r="BG44" s="405"/>
      <c r="BH44" s="234" t="str">
        <f t="shared" ref="BH44:BH49" si="79">AA44</f>
        <v>Confidence that reference books are reviewed and up-to-date</v>
      </c>
      <c r="BI44" s="281">
        <f t="shared" si="71"/>
        <v>0.809057380873626</v>
      </c>
      <c r="BJ44" s="51">
        <f t="shared" si="72"/>
        <v>4.2250774334511583</v>
      </c>
    </row>
    <row r="45" spans="2:62" ht="15.75" customHeight="1" thickBot="1" x14ac:dyDescent="0.3">
      <c r="B45" s="36" t="s">
        <v>48</v>
      </c>
      <c r="C45" s="37"/>
      <c r="D45" s="37"/>
      <c r="E45" s="37"/>
      <c r="F45" s="37"/>
      <c r="G45" s="37"/>
      <c r="H45" s="37"/>
      <c r="I45" s="37"/>
      <c r="J45" s="37"/>
      <c r="K45" s="37"/>
      <c r="L45" s="37"/>
      <c r="M45" s="37"/>
      <c r="N45" s="38"/>
      <c r="O45"/>
      <c r="P45"/>
      <c r="Q45"/>
      <c r="R45"/>
      <c r="S45"/>
      <c r="X45" s="52"/>
      <c r="Y45" s="405"/>
      <c r="Z45" s="221">
        <f t="shared" ref="Z45:AA45" si="80">C33</f>
        <v>28</v>
      </c>
      <c r="AA45" s="234" t="str">
        <f t="shared" si="80"/>
        <v>Technology integration (availability of system interrogation software)</v>
      </c>
      <c r="AB45" s="241">
        <f>IF(ISERROR(1/$AD43),0,IF(OR(COUNT($O$31)&lt;&gt;1,COUNT($O33)&lt;&gt;1),"",1/$AD43))</f>
        <v>0.33333333333333331</v>
      </c>
      <c r="AC45" s="61">
        <f>IF(ISERROR(1/$AD44),0,IF(OR(COUNT($O$32)&lt;&gt;1,COUNT($O33)&lt;&gt;1),"",1/$AD44))</f>
        <v>0.33333333333333331</v>
      </c>
      <c r="AD45" s="237">
        <v>1</v>
      </c>
      <c r="AE45" s="61">
        <f>IF(OR(COUNT($O33)&lt;&gt;1,COUNT($O34)&lt;&gt;1),0,
IF($O33-$O34&lt;0,
IF($O33-$O34&gt;=$Z$53,$AA$53,
IF($O33-$O34&gt;=$Z$54,$AA$54,
IF($O33-$O34&gt;=$Z$55,$AA$55,$AA$56))),
IF($O33=$O34,1,
IF($O33-$O34&lt;=$AC$53,$AD$53,
IF($O33-$O34&lt;=$AC$54,$AD$54,
IF($O33-$O34&lt;=$AC$55,$AD$55,$AD$56))))))</f>
        <v>0.33333333333333331</v>
      </c>
      <c r="AF45" s="61">
        <f>IF(OR(COUNT($O33)&lt;&gt;1,COUNT($O35)&lt;&gt;1),0,
IF($O33-$O35&lt;0,
IF($O33-$O35&gt;=$Z$53,$AA$53,
IF($O33-$O35&gt;=$Z$54,$AA$54,
IF($O33-$O35&gt;=$Z$55,$AA$55,$AA$56))),
IF($O33=$O35,1,
IF($O33-$O35&lt;=$AC$53,$AD$53,
IF($O33-$O35&lt;=$AC$54,$AD$54,
IF($O33-$O35&lt;=$AC$55,$AD$55,$AD$56))))))</f>
        <v>0.33333333333333331</v>
      </c>
      <c r="AG45" s="61">
        <f>IF(OR(COUNT($O33)&lt;&gt;1,COUNT($O36)&lt;&gt;1),0,
IF($O33-$O36&lt;0,
IF($O33-$O36&gt;=$Z$53,$AA$53,
IF($O33-$O36&gt;=$Z$54,$AA$54,
IF($O33-$O36&gt;=$Z$55,$AA$55,$AA$56))),
IF($O33=$O36,1,
IF($O33-$O36&lt;=$AC$53,$AD$53,
IF($O33-$O36&lt;=$AC$54,$AD$54,
IF($O33-$O36&lt;=$AC$55,$AD$55,$AD$56))))))</f>
        <v>0.33333333333333331</v>
      </c>
      <c r="AH45" s="242">
        <f>IF(OR(COUNT($O33)&lt;&gt;1,COUNT($O37)&lt;&gt;1),0,
IF($O33-$O37&lt;0,
IF($O33-$O37&gt;=$Z$53,$AA$53,
IF($O33-$O37&gt;=$Z$54,$AA$54,
IF($O33-$O37&gt;=$Z$55,$AA$55,$AA$56))),
IF($O33=$O37,1,
IF($O33-$O37&lt;=$AC$53,$AD$53,
IF($O33-$O37&lt;=$AC$54,$AD$54,
IF($O33-$O37&lt;=$AC$55,$AD$55,$AD$56))))))</f>
        <v>0.33333333333333331</v>
      </c>
      <c r="AI45" s="129"/>
      <c r="AJ45"/>
      <c r="AK45" s="52"/>
      <c r="AL45" s="264" t="str">
        <f t="shared" si="74"/>
        <v>Technology integration (availability of system interrogation software)</v>
      </c>
      <c r="AM45" s="276">
        <f>AB45/AB$50</f>
        <v>3.2258064516129031E-2</v>
      </c>
      <c r="AN45" s="277">
        <f t="shared" si="69"/>
        <v>6.666666666666668E-2</v>
      </c>
      <c r="AO45" s="277">
        <f t="shared" si="69"/>
        <v>7.6923076923076927E-2</v>
      </c>
      <c r="AP45" s="277">
        <f t="shared" si="69"/>
        <v>0.14285714285714285</v>
      </c>
      <c r="AQ45" s="277">
        <f t="shared" si="69"/>
        <v>4.3478260869565216E-2</v>
      </c>
      <c r="AR45" s="277">
        <f t="shared" si="69"/>
        <v>3.4482758620689648E-2</v>
      </c>
      <c r="AS45" s="278">
        <f t="shared" si="69"/>
        <v>7.6923076923076927E-2</v>
      </c>
      <c r="AT45" s="265"/>
      <c r="AU45" s="266">
        <f t="shared" si="75"/>
        <v>0.47358904737634733</v>
      </c>
      <c r="AV45" s="272">
        <f t="shared" si="76"/>
        <v>4.6655192363972038E-2</v>
      </c>
      <c r="AW45" s="273">
        <f t="shared" si="77"/>
        <v>0.36443679490931463</v>
      </c>
      <c r="AX45" s="274">
        <f t="shared" si="78"/>
        <v>7.8112805122788247</v>
      </c>
      <c r="AY45" s="279"/>
      <c r="AZ45" s="280"/>
      <c r="BA45" s="280"/>
      <c r="BB45" s="280"/>
      <c r="BC45" s="280"/>
      <c r="BD45" s="281">
        <f>AV45/(1/$AZ$50)</f>
        <v>0.23327596181986018</v>
      </c>
      <c r="BE45" s="51">
        <f t="shared" si="70"/>
        <v>1.2700580143525722</v>
      </c>
      <c r="BG45" s="405"/>
      <c r="BH45" s="345" t="str">
        <f t="shared" si="79"/>
        <v>Technology integration (availability of system interrogation software)</v>
      </c>
      <c r="BI45" s="281">
        <f t="shared" si="71"/>
        <v>0.23327596181986018</v>
      </c>
      <c r="BJ45" s="51">
        <f t="shared" si="72"/>
        <v>1.2700580143525722</v>
      </c>
    </row>
    <row r="46" spans="2:62" ht="15.75" customHeight="1" thickBot="1" x14ac:dyDescent="0.3">
      <c r="B46" s="39" t="s">
        <v>67</v>
      </c>
      <c r="C46" s="37"/>
      <c r="D46" s="37"/>
      <c r="E46" s="37"/>
      <c r="F46" s="37"/>
      <c r="G46" s="37"/>
      <c r="H46" s="37"/>
      <c r="I46" s="37"/>
      <c r="J46" s="37"/>
      <c r="K46" s="37"/>
      <c r="L46" s="37"/>
      <c r="M46" s="37"/>
      <c r="N46" s="38"/>
      <c r="O46"/>
      <c r="P46"/>
      <c r="Q46"/>
      <c r="R46"/>
      <c r="S46"/>
      <c r="X46" s="52"/>
      <c r="Y46" s="405"/>
      <c r="Z46" s="221">
        <f t="shared" ref="Z46:AA46" si="81">C34</f>
        <v>29</v>
      </c>
      <c r="AA46" s="234" t="str">
        <f t="shared" si="81"/>
        <v>Data reliability and quality</v>
      </c>
      <c r="AB46" s="241">
        <f>IF(ISERROR(1/$AE43),0,IF(OR(COUNT($O$31)&lt;&gt;1,COUNT($O34)&lt;&gt;1),"",1/$AE43))</f>
        <v>3</v>
      </c>
      <c r="AC46" s="61">
        <f>IF(ISERROR(1/$AE44),0,IF(OR(COUNT($O$32)&lt;&gt;1,COUNT($O34)&lt;&gt;1),"",1/$AE44))</f>
        <v>3</v>
      </c>
      <c r="AD46" s="61">
        <f>IF(ISERROR(1/$AE45),0,IF(OR(COUNT($O$33)&lt;&gt;1,COUNT($O34)&lt;&gt;1),"",1/$AE45))</f>
        <v>3</v>
      </c>
      <c r="AE46" s="237">
        <v>1</v>
      </c>
      <c r="AF46" s="61">
        <f>IF(OR(COUNT($O34)&lt;&gt;1,COUNT($O35)&lt;&gt;1),0,
IF($O34-$O35&lt;0,
IF($O34-$O35&gt;=$Z$53,$AA$53,
IF($O34-$O35&gt;=$Z$54,$AA$54,
IF($O34-$O35&gt;=$Z$55,$AA$55,$AA$56))),
IF($O34=$O35,1,
IF($O34-$O35&lt;=$AC$53,$AD$53,
IF($O34-$O35&lt;=$AC$54,$AD$54,
IF($O34-$O35&lt;=$AC$55,$AD$55,$AD$56))))))</f>
        <v>3</v>
      </c>
      <c r="AG46" s="61">
        <f>IF(OR(COUNT($O34)&lt;&gt;1,COUNT($O36)&lt;&gt;1),0,
IF($O34-$O36&lt;0,
IF($O34-$O36&gt;=$Z$53,$AA$53,
IF($O34-$O36&gt;=$Z$54,$AA$54,
IF($O34-$O36&gt;=$Z$55,$AA$55,$AA$56))),
IF($O34=$O36,1,
IF($O34-$O36&lt;=$AC$53,$AD$53,
IF($O34-$O36&lt;=$AC$54,$AD$54,
IF($O34-$O36&lt;=$AC$55,$AD$55,$AD$56))))))</f>
        <v>3</v>
      </c>
      <c r="AH46" s="242">
        <f>IF(OR(COUNT($O34)&lt;&gt;1,COUNT($O37)&lt;&gt;1),0,
IF($O34-$O37&lt;0,
IF($O34-$O37&gt;=$Z$53,$AA$53,
IF($O34-$O37&gt;=$Z$54,$AA$54,
IF($O34-$O37&gt;=$Z$55,$AA$55,$AA$56))),
IF($O34=$O37,1,
IF($O34-$O37&lt;=$AC$53,$AD$53,
IF($O34-$O37&lt;=$AC$54,$AD$54,
IF($O34-$O37&lt;=$AC$55,$AD$55,$AD$56))))))</f>
        <v>3</v>
      </c>
      <c r="AI46" s="129"/>
      <c r="AJ46"/>
      <c r="AK46" s="52"/>
      <c r="AL46" s="264" t="str">
        <f t="shared" si="74"/>
        <v>Data reliability and quality</v>
      </c>
      <c r="AM46" s="276">
        <f t="shared" ref="AM46:AM49" si="82">AB46/AB$50</f>
        <v>0.29032258064516131</v>
      </c>
      <c r="AN46" s="277">
        <f t="shared" ref="AN46:AN49" si="83">AC46/AC$50</f>
        <v>0.60000000000000009</v>
      </c>
      <c r="AO46" s="277">
        <f t="shared" ref="AO46:AO49" si="84">AD46/AD$50</f>
        <v>0.23076923076923078</v>
      </c>
      <c r="AP46" s="277">
        <f t="shared" ref="AP46:AP49" si="85">AE46/AE$50</f>
        <v>0.42857142857142855</v>
      </c>
      <c r="AQ46" s="277">
        <f t="shared" ref="AQ46:AQ49" si="86">AF46/AF$50</f>
        <v>0.39130434782608692</v>
      </c>
      <c r="AR46" s="277">
        <f t="shared" ref="AR46:AR49" si="87">AG46/AG$50</f>
        <v>0.31034482758620685</v>
      </c>
      <c r="AS46" s="278">
        <f t="shared" ref="AS46:AS49" si="88">AH46/AH$50</f>
        <v>0.6923076923076924</v>
      </c>
      <c r="AT46" s="265"/>
      <c r="AU46" s="266">
        <f t="shared" si="75"/>
        <v>2.9436201077058071</v>
      </c>
      <c r="AV46" s="272">
        <f t="shared" si="76"/>
        <v>0.28998804582221321</v>
      </c>
      <c r="AW46" s="273">
        <f t="shared" si="77"/>
        <v>2.4200239083555735</v>
      </c>
      <c r="AX46" s="274">
        <f t="shared" si="78"/>
        <v>8.345254031054953</v>
      </c>
      <c r="AY46" s="279"/>
      <c r="AZ46" s="280"/>
      <c r="BA46" s="280"/>
      <c r="BB46" s="280"/>
      <c r="BC46" s="280"/>
      <c r="BD46" s="281">
        <f>AV46/(1/$AZ$50)</f>
        <v>1.4499402291110659</v>
      </c>
      <c r="BE46" s="51">
        <f t="shared" si="70"/>
        <v>5.9608653863454926</v>
      </c>
      <c r="BG46" s="405"/>
      <c r="BH46" s="234" t="str">
        <f t="shared" si="79"/>
        <v>Data reliability and quality</v>
      </c>
      <c r="BI46" s="281">
        <f t="shared" si="71"/>
        <v>1.4499402291110659</v>
      </c>
      <c r="BJ46" s="51">
        <f t="shared" si="72"/>
        <v>5.9608653863454926</v>
      </c>
    </row>
    <row r="47" spans="2:62" ht="15.75" customHeight="1" thickBot="1" x14ac:dyDescent="0.3">
      <c r="B47" s="40"/>
      <c r="C47" s="41" t="s">
        <v>44</v>
      </c>
      <c r="D47" s="37"/>
      <c r="E47" s="37"/>
      <c r="F47" s="37"/>
      <c r="G47" s="37"/>
      <c r="H47" s="37"/>
      <c r="I47" s="37"/>
      <c r="J47" s="37"/>
      <c r="K47" s="37"/>
      <c r="L47" s="37"/>
      <c r="M47" s="37"/>
      <c r="N47" s="38"/>
      <c r="O47"/>
      <c r="X47" s="52"/>
      <c r="Y47" s="405"/>
      <c r="Z47" s="221">
        <f t="shared" ref="Z47:AA47" si="89">C35</f>
        <v>30</v>
      </c>
      <c r="AA47" s="234" t="str">
        <f t="shared" si="89"/>
        <v>Efficiency of engineering effort</v>
      </c>
      <c r="AB47" s="241">
        <f>IF(ISERROR(1/$AF43),0,IF(OR(COUNT($O$31)&lt;&gt;1,COUNT($O35)&lt;&gt;1),"",1/$AF43))</f>
        <v>3</v>
      </c>
      <c r="AC47" s="61">
        <f>IF(ISERROR(1/$AF44),0,IF(OR(COUNT($O$32)&lt;&gt;1,COUNT($O35)&lt;&gt;1),"",1/$AF44))</f>
        <v>0.33333333333333331</v>
      </c>
      <c r="AD47" s="61">
        <f>IF(ISERROR(1/$AF45),0,IF(OR(COUNT($O$33)&lt;&gt;1,COUNT($O35)&lt;&gt;1),"",1/$AF45))</f>
        <v>3</v>
      </c>
      <c r="AE47" s="61">
        <f>IF(ISERROR(1/$AF46),0,IF(OR(COUNT($O$34)&lt;&gt;1,COUNT($O35)&lt;&gt;1),"",1/$AF46))</f>
        <v>0.33333333333333331</v>
      </c>
      <c r="AF47" s="237">
        <v>1</v>
      </c>
      <c r="AG47" s="61">
        <f>IF(OR(COUNT($O35)&lt;&gt;1,COUNT($O36)&lt;&gt;1),0,
IF($O35-$O36&lt;0,
IF($O35-$O36&gt;=$Z$53,$AA$53,
IF($O35-$O36&gt;=$Z$54,$AA$54,
IF($O35-$O36&gt;=$Z$55,$AA$55,$AA$56))),
IF($O35=$O36,1,
IF($O35-$O36&lt;=$AC$53,$AD$53,
IF($O35-$O36&lt;=$AC$54,$AD$54,
IF($O35-$O36&lt;=$AC$55,$AD$55,$AD$56))))))</f>
        <v>3</v>
      </c>
      <c r="AH47" s="242">
        <f>IF(OR(COUNT($O35)&lt;&gt;1,COUNT($O37)&lt;&gt;1),0,
IF($O35-$O37&lt;0,
IF($O35-$O37&gt;=$Z$53,$AA$53,
IF($O35-$O37&gt;=$Z$54,$AA$54,
IF($O35-$O37&gt;=$Z$55,$AA$55,$AA$56))),
IF($O35=$O37,1,
IF($O35-$O37&lt;=$AC$53,$AD$53,
IF($O35-$O37&lt;=$AC$54,$AD$54,
IF($O35-$O37&lt;=$AC$55,$AD$55,$AD$56))))))</f>
        <v>0.33333333333333331</v>
      </c>
      <c r="AI47" s="129"/>
      <c r="AJ47"/>
      <c r="AK47" s="52"/>
      <c r="AL47" s="264" t="str">
        <f>AA47</f>
        <v>Efficiency of engineering effort</v>
      </c>
      <c r="AM47" s="276">
        <f t="shared" si="82"/>
        <v>0.29032258064516131</v>
      </c>
      <c r="AN47" s="277">
        <f t="shared" si="83"/>
        <v>6.666666666666668E-2</v>
      </c>
      <c r="AO47" s="277">
        <f t="shared" si="84"/>
        <v>0.23076923076923078</v>
      </c>
      <c r="AP47" s="277">
        <f t="shared" si="85"/>
        <v>0.14285714285714285</v>
      </c>
      <c r="AQ47" s="277">
        <f t="shared" si="86"/>
        <v>0.13043478260869565</v>
      </c>
      <c r="AR47" s="277">
        <f t="shared" si="87"/>
        <v>0.31034482758620685</v>
      </c>
      <c r="AS47" s="278">
        <f t="shared" si="88"/>
        <v>7.6923076923076927E-2</v>
      </c>
      <c r="AT47" s="265"/>
      <c r="AU47" s="266">
        <f t="shared" si="75"/>
        <v>1.248318308056181</v>
      </c>
      <c r="AV47" s="272">
        <f t="shared" si="76"/>
        <v>0.122976937740596</v>
      </c>
      <c r="AW47" s="273">
        <f t="shared" si="77"/>
        <v>0.97225240168641203</v>
      </c>
      <c r="AX47" s="274">
        <f t="shared" si="78"/>
        <v>7.9059734251738583</v>
      </c>
      <c r="AY47" s="279"/>
      <c r="AZ47" s="280"/>
      <c r="BA47" s="280"/>
      <c r="BB47" s="280"/>
      <c r="BC47" s="280"/>
      <c r="BD47" s="281">
        <f>AV47/(1/$AZ$50)</f>
        <v>0.61488468870297996</v>
      </c>
      <c r="BE47" s="51">
        <f t="shared" si="70"/>
        <v>3.0744234435148998</v>
      </c>
      <c r="BG47" s="405"/>
      <c r="BH47" s="234" t="str">
        <f t="shared" si="79"/>
        <v>Efficiency of engineering effort</v>
      </c>
      <c r="BI47" s="281">
        <f t="shared" si="71"/>
        <v>0.61488468870297996</v>
      </c>
      <c r="BJ47" s="51">
        <f t="shared" si="72"/>
        <v>3.0744234435148998</v>
      </c>
    </row>
    <row r="48" spans="2:62" ht="15.75" customHeight="1" thickBot="1" x14ac:dyDescent="0.3">
      <c r="B48" s="201"/>
      <c r="C48" s="41" t="s">
        <v>45</v>
      </c>
      <c r="D48" s="37"/>
      <c r="E48" s="37"/>
      <c r="F48" s="37"/>
      <c r="G48" s="37"/>
      <c r="H48" s="37"/>
      <c r="I48" s="37"/>
      <c r="J48" s="37"/>
      <c r="K48" s="37"/>
      <c r="L48" s="37"/>
      <c r="M48" s="37"/>
      <c r="N48" s="38"/>
      <c r="O48"/>
      <c r="X48" s="52"/>
      <c r="Y48" s="405"/>
      <c r="Z48" s="221">
        <f t="shared" ref="Z48:AA48" si="90">C36</f>
        <v>31</v>
      </c>
      <c r="AA48" s="234" t="str">
        <f t="shared" si="90"/>
        <v>System capability upgrades</v>
      </c>
      <c r="AB48" s="241">
        <f>IF(ISERROR(1/$AG43),0,IF(OR(COUNT($O$31)&lt;&gt;1,COUNT($O36)&lt;&gt;1),"",1/$AG43))</f>
        <v>3</v>
      </c>
      <c r="AC48" s="61">
        <f>IF(ISERROR(1/$AG44),0,IF(OR(COUNT($O$32)&lt;&gt;1,COUNT($O36)&lt;&gt;1),"",1/$AG44))</f>
        <v>0.33333333333333331</v>
      </c>
      <c r="AD48" s="61">
        <f>IF(ISERROR(1/$AG45),0,IF(OR(COUNT($O$33)&lt;&gt;1,COUNT($O36)&lt;&gt;1),"",1/$AG45))</f>
        <v>3</v>
      </c>
      <c r="AE48" s="61">
        <f>IF(ISERROR(1/$AG46),0,IF(OR(COUNT($O$34)&lt;&gt;1,COUNT($O36)&lt;&gt;1),"",1/$AG46))</f>
        <v>0.33333333333333331</v>
      </c>
      <c r="AF48" s="61">
        <f>IF(ISERROR(1/$AG47),0,IF(OR(COUNT($O$35)&lt;&gt;1,COUNT($O36)&lt;&gt;1),"",1/$AG47))</f>
        <v>0.33333333333333331</v>
      </c>
      <c r="AG48" s="237">
        <v>1</v>
      </c>
      <c r="AH48" s="242">
        <f>IF(OR(COUNT($O36)&lt;&gt;1,COUNT($O37)&lt;&gt;1),0,
IF($O36-$O37&lt;0,
IF($O36-$O37&gt;=$Z$53,$AA$53,
IF($O36-$O37&gt;=$Z$54,$AA$54,
IF($O36-$O37&gt;=$Z$55,$AA$55,$AA$56))),
IF($O36=$O37,1,
IF($O36-$O37&lt;=$AC$53,$AD$53,
IF($O36-$O37&lt;=$AC$54,$AD$54,
IF($O36-$O37&lt;=$AC$55,$AD$55,$AD$56))))))</f>
        <v>0.33333333333333331</v>
      </c>
      <c r="AI48" s="129"/>
      <c r="AJ48"/>
      <c r="AK48" s="52"/>
      <c r="AL48" s="264" t="str">
        <f t="shared" si="74"/>
        <v>System capability upgrades</v>
      </c>
      <c r="AM48" s="276">
        <f t="shared" si="82"/>
        <v>0.29032258064516131</v>
      </c>
      <c r="AN48" s="277">
        <f t="shared" si="83"/>
        <v>6.666666666666668E-2</v>
      </c>
      <c r="AO48" s="277">
        <f t="shared" si="84"/>
        <v>0.23076923076923078</v>
      </c>
      <c r="AP48" s="277">
        <f t="shared" si="85"/>
        <v>0.14285714285714285</v>
      </c>
      <c r="AQ48" s="277">
        <f t="shared" si="86"/>
        <v>4.3478260869565216E-2</v>
      </c>
      <c r="AR48" s="277">
        <f>AG48/AG$50</f>
        <v>0.10344827586206895</v>
      </c>
      <c r="AS48" s="278">
        <f t="shared" si="88"/>
        <v>7.6923076923076927E-2</v>
      </c>
      <c r="AT48" s="265"/>
      <c r="AU48" s="266">
        <f t="shared" si="75"/>
        <v>0.95446523459291255</v>
      </c>
      <c r="AV48" s="272">
        <f t="shared" si="76"/>
        <v>9.4028270652274495E-2</v>
      </c>
      <c r="AW48" s="273">
        <f t="shared" si="77"/>
        <v>0.70221123522146578</v>
      </c>
      <c r="AX48" s="274">
        <f t="shared" si="78"/>
        <v>7.4680862505523455</v>
      </c>
      <c r="AY48" s="279"/>
      <c r="AZ48" s="280"/>
      <c r="BA48" s="280"/>
      <c r="BB48" s="280"/>
      <c r="BC48" s="280"/>
      <c r="BD48" s="281">
        <f t="shared" ref="BD48:BD49" si="91">AV48/(1/$AZ$50)</f>
        <v>0.47014135326137246</v>
      </c>
      <c r="BE48" s="51">
        <f t="shared" si="70"/>
        <v>2.1939929818864048</v>
      </c>
      <c r="BG48" s="405"/>
      <c r="BH48" s="234" t="str">
        <f t="shared" si="79"/>
        <v>System capability upgrades</v>
      </c>
      <c r="BI48" s="281">
        <f t="shared" si="71"/>
        <v>0.47014135326137246</v>
      </c>
      <c r="BJ48" s="51">
        <f t="shared" si="72"/>
        <v>2.1939929818864048</v>
      </c>
    </row>
    <row r="49" spans="2:62" ht="15.75" customHeight="1" thickBot="1" x14ac:dyDescent="0.3">
      <c r="B49" s="211"/>
      <c r="C49" s="41" t="s">
        <v>42</v>
      </c>
      <c r="D49" s="37"/>
      <c r="E49" s="37"/>
      <c r="F49" s="37"/>
      <c r="G49" s="37"/>
      <c r="H49" s="37"/>
      <c r="I49" s="37"/>
      <c r="J49" s="37"/>
      <c r="K49" s="37"/>
      <c r="L49" s="37"/>
      <c r="M49" s="37"/>
      <c r="N49" s="38"/>
      <c r="O49"/>
      <c r="X49" s="52"/>
      <c r="Y49" s="405"/>
      <c r="Z49" s="221">
        <f t="shared" ref="Z49:AA49" si="92">C37</f>
        <v>32</v>
      </c>
      <c r="AA49" s="234" t="str">
        <f t="shared" si="92"/>
        <v>Level of obsolescence (component, system or process)</v>
      </c>
      <c r="AB49" s="243">
        <f>IF(ISERROR(1/$AH43),0,IF(OR(COUNT($O$31)&lt;&gt;1,COUNT($O37)&lt;&gt;1),"",1/$AH43))</f>
        <v>3</v>
      </c>
      <c r="AC49" s="244">
        <f>IF(ISERROR(1/$AH44),0,IF(OR(COUNT($O$32)&lt;&gt;1,COUNT($O37)&lt;&gt;1),"",1/$AH44))</f>
        <v>3</v>
      </c>
      <c r="AD49" s="244">
        <f>IF(ISERROR(1/$AH45),0,IF(OR(COUNT($O$33)&lt;&gt;1,COUNT($O37)&lt;&gt;1),"",1/$AH45))</f>
        <v>3</v>
      </c>
      <c r="AE49" s="244">
        <f>IF(ISERROR(1/$AH46),0,IF(OR(COUNT($O$34)&lt;&gt;1,COUNT($O37)&lt;&gt;1),"",1/$AH46))</f>
        <v>0.33333333333333331</v>
      </c>
      <c r="AF49" s="244">
        <f>IF(ISERROR(1/$AH47),0,IF(OR(COUNT($O$35)&lt;&gt;1,COUNT($O37)&lt;&gt;1),"",1/$AH47))</f>
        <v>3</v>
      </c>
      <c r="AG49" s="244">
        <f>IF(ISERROR(1/$AH48),0,IF(OR(COUNT($O$36)&lt;&gt;1,COUNT($O37)&lt;&gt;1),"",1/$AH48))</f>
        <v>3</v>
      </c>
      <c r="AH49" s="245">
        <v>1</v>
      </c>
      <c r="AI49" s="55"/>
      <c r="AJ49"/>
      <c r="AK49" s="52"/>
      <c r="AL49" s="264" t="str">
        <f t="shared" si="74"/>
        <v>Level of obsolescence (component, system or process)</v>
      </c>
      <c r="AM49" s="282">
        <f t="shared" si="82"/>
        <v>0.29032258064516131</v>
      </c>
      <c r="AN49" s="283">
        <f t="shared" si="83"/>
        <v>0.60000000000000009</v>
      </c>
      <c r="AO49" s="283">
        <f t="shared" si="84"/>
        <v>0.23076923076923078</v>
      </c>
      <c r="AP49" s="283">
        <f t="shared" si="85"/>
        <v>0.14285714285714285</v>
      </c>
      <c r="AQ49" s="283">
        <f t="shared" si="86"/>
        <v>0.39130434782608692</v>
      </c>
      <c r="AR49" s="283">
        <f t="shared" si="87"/>
        <v>0.31034482758620685</v>
      </c>
      <c r="AS49" s="284">
        <f t="shared" si="88"/>
        <v>0.23076923076923078</v>
      </c>
      <c r="AT49" s="265"/>
      <c r="AU49" s="266">
        <f t="shared" si="75"/>
        <v>2.1963673604530594</v>
      </c>
      <c r="AV49" s="272">
        <f t="shared" si="76"/>
        <v>0.21637312406520995</v>
      </c>
      <c r="AW49" s="273">
        <f t="shared" si="77"/>
        <v>1.7939522963436783</v>
      </c>
      <c r="AX49" s="274">
        <f t="shared" si="78"/>
        <v>8.2910125926869807</v>
      </c>
      <c r="AY49" s="279"/>
      <c r="AZ49" s="280"/>
      <c r="BA49" s="280"/>
      <c r="BB49" s="280"/>
      <c r="BC49" s="280"/>
      <c r="BD49" s="281">
        <f t="shared" si="91"/>
        <v>1.0818656203260497</v>
      </c>
      <c r="BE49" s="51">
        <f t="shared" si="70"/>
        <v>5.048706228188232</v>
      </c>
      <c r="BG49" s="405"/>
      <c r="BH49" s="234" t="str">
        <f t="shared" si="79"/>
        <v>Level of obsolescence (component, system or process)</v>
      </c>
      <c r="BI49" s="281">
        <f t="shared" si="71"/>
        <v>1.0818656203260497</v>
      </c>
      <c r="BJ49" s="51">
        <f t="shared" si="72"/>
        <v>5.048706228188232</v>
      </c>
    </row>
    <row r="50" spans="2:62" ht="15.75" customHeight="1" x14ac:dyDescent="0.25">
      <c r="B50" s="42"/>
      <c r="C50" s="43" t="s">
        <v>43</v>
      </c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5"/>
      <c r="O50"/>
      <c r="X50" s="52"/>
      <c r="AA50" s="66" t="s">
        <v>85</v>
      </c>
      <c r="AB50" s="67">
        <f t="shared" ref="AB50:AE50" si="93">SUM(AB43:AB47)</f>
        <v>10.333333333333332</v>
      </c>
      <c r="AC50" s="67">
        <f t="shared" si="93"/>
        <v>4.9999999999999991</v>
      </c>
      <c r="AD50" s="67">
        <f t="shared" si="93"/>
        <v>13</v>
      </c>
      <c r="AE50" s="67">
        <f t="shared" si="93"/>
        <v>2.3333333333333335</v>
      </c>
      <c r="AF50" s="67">
        <f>SUM(AF43:AF47)</f>
        <v>7.666666666666667</v>
      </c>
      <c r="AG50" s="67">
        <f t="shared" ref="AG50:AH50" si="94">SUM(AG43:AG47)</f>
        <v>9.6666666666666679</v>
      </c>
      <c r="AH50" s="67">
        <f t="shared" si="94"/>
        <v>4.333333333333333</v>
      </c>
      <c r="AI50" s="55"/>
      <c r="AJ50"/>
      <c r="AK50" s="52"/>
      <c r="AL50" s="285"/>
      <c r="AM50" s="280"/>
      <c r="AN50" s="280"/>
      <c r="AO50" s="280"/>
      <c r="AP50" s="280"/>
      <c r="AQ50" s="280"/>
      <c r="AR50" s="265"/>
      <c r="AS50" s="265"/>
      <c r="AT50" s="286" t="s">
        <v>86</v>
      </c>
      <c r="AU50" s="287">
        <f>SUM(AU43:AU49)</f>
        <v>10.150832595045973</v>
      </c>
      <c r="AV50" s="287">
        <f>SUM(AV43:AV49)</f>
        <v>1</v>
      </c>
      <c r="AW50" s="273"/>
      <c r="AX50" s="280"/>
      <c r="AY50" s="288" t="s">
        <v>87</v>
      </c>
      <c r="AZ50" s="287">
        <f>COUNT(AW43:AW47)</f>
        <v>5</v>
      </c>
      <c r="BA50" s="280"/>
      <c r="BB50" s="280"/>
      <c r="BC50" s="280"/>
      <c r="BD50" s="281"/>
      <c r="BE50" s="69">
        <f>AVERAGE(BE43:BE49)</f>
        <v>3.397180221946289</v>
      </c>
    </row>
    <row r="51" spans="2:62" x14ac:dyDescent="0.25">
      <c r="O51"/>
      <c r="X51" s="52"/>
      <c r="AA51" s="55"/>
      <c r="AB51" s="55"/>
      <c r="AC51" s="55"/>
      <c r="AD51" s="55"/>
      <c r="AE51" s="55"/>
      <c r="AF51" s="55"/>
      <c r="AG51" s="55"/>
      <c r="AH51" s="55"/>
      <c r="AI51" s="53"/>
      <c r="AJ51"/>
      <c r="AK51" s="52"/>
      <c r="AL51" s="53"/>
      <c r="AM51" s="53"/>
      <c r="AN51" s="53"/>
      <c r="AO51" s="53"/>
      <c r="AP51" s="53"/>
      <c r="AQ51" s="53"/>
      <c r="AR51" s="53"/>
      <c r="AS51" s="53"/>
      <c r="AT51" s="53"/>
      <c r="AU51" s="53"/>
      <c r="AV51" s="53"/>
      <c r="AW51" s="53"/>
      <c r="AX51" s="53"/>
      <c r="AY51" s="53"/>
      <c r="AZ51" s="53"/>
      <c r="BA51" s="53"/>
      <c r="BB51"/>
      <c r="BC51"/>
      <c r="BD51" s="7"/>
    </row>
    <row r="52" spans="2:62" x14ac:dyDescent="0.25">
      <c r="O52"/>
      <c r="X52" s="52"/>
      <c r="Y52" s="55" t="s">
        <v>90</v>
      </c>
      <c r="Z52" s="53"/>
      <c r="AC52" s="53"/>
      <c r="AD52" s="53"/>
      <c r="AE52" s="55"/>
      <c r="AF52" s="55"/>
      <c r="AG52" s="55"/>
      <c r="AH52" s="55"/>
      <c r="AI52" s="53"/>
      <c r="AJ52"/>
      <c r="AK52" s="52"/>
      <c r="AL52" s="53"/>
      <c r="AM52" s="53"/>
      <c r="AN52" s="53"/>
      <c r="AO52" s="53"/>
      <c r="AP52" s="53"/>
      <c r="AQ52" s="53"/>
      <c r="AR52" s="53"/>
      <c r="AS52" s="53"/>
      <c r="AT52" s="53"/>
      <c r="AU52" s="53"/>
      <c r="AV52" s="53"/>
      <c r="AW52" s="53"/>
      <c r="AX52" s="53"/>
      <c r="AY52" s="53"/>
      <c r="AZ52" s="53"/>
      <c r="BA52" s="133" t="s">
        <v>89</v>
      </c>
      <c r="BB52" s="134" t="s">
        <v>80</v>
      </c>
      <c r="BC52" s="53"/>
      <c r="BD52" s="46" t="str">
        <f>U27</f>
        <v>Mean cat</v>
      </c>
      <c r="BE52" s="47"/>
    </row>
    <row r="53" spans="2:62" x14ac:dyDescent="0.25">
      <c r="O53"/>
      <c r="X53" s="52"/>
      <c r="Y53" s="212" t="s">
        <v>91</v>
      </c>
      <c r="Z53" s="213">
        <v>-3</v>
      </c>
      <c r="AA53" s="148">
        <v>0.33333333333333331</v>
      </c>
      <c r="AB53" s="218" t="s">
        <v>92</v>
      </c>
      <c r="AC53" s="213">
        <v>3</v>
      </c>
      <c r="AD53" s="149">
        <v>3</v>
      </c>
      <c r="AE53" s="53"/>
      <c r="AF53" s="53"/>
      <c r="AG53" s="53"/>
      <c r="AH53" s="53"/>
      <c r="AI53" s="53"/>
      <c r="AJ53"/>
      <c r="AK53" s="52"/>
      <c r="AL53" s="53"/>
      <c r="AM53" s="53"/>
      <c r="AN53" s="53"/>
      <c r="AO53" s="53"/>
      <c r="AP53" s="53"/>
      <c r="AQ53" s="53"/>
      <c r="AR53" s="53"/>
      <c r="AS53" s="53"/>
      <c r="AT53" s="53"/>
      <c r="AU53" s="53"/>
      <c r="AV53" s="53"/>
      <c r="AW53" s="53"/>
      <c r="AX53" s="53"/>
      <c r="AY53" s="53"/>
      <c r="AZ53" s="53"/>
      <c r="BA53" s="135">
        <v>2</v>
      </c>
      <c r="BB53" s="136">
        <v>0</v>
      </c>
      <c r="BC53" s="53"/>
      <c r="BD53" s="146" t="str">
        <f>U28</f>
        <v>Commercial</v>
      </c>
      <c r="BE53" s="176">
        <f>BE14</f>
        <v>5.3356605119519251</v>
      </c>
    </row>
    <row r="54" spans="2:62" x14ac:dyDescent="0.25">
      <c r="X54" s="52"/>
      <c r="Y54" s="214" t="s">
        <v>91</v>
      </c>
      <c r="Z54" s="215">
        <v>-5</v>
      </c>
      <c r="AA54" s="150">
        <v>0.2</v>
      </c>
      <c r="AB54" s="219" t="s">
        <v>92</v>
      </c>
      <c r="AC54" s="215">
        <v>5</v>
      </c>
      <c r="AD54" s="151">
        <v>5</v>
      </c>
      <c r="AF54" s="53"/>
      <c r="AG54" s="53"/>
      <c r="AH54" s="53"/>
      <c r="AI54" s="53"/>
      <c r="AJ54"/>
      <c r="AK54" s="52"/>
      <c r="AL54" s="53"/>
      <c r="AM54" s="53"/>
      <c r="AN54" s="53"/>
      <c r="AO54" s="53"/>
      <c r="AP54" s="53"/>
      <c r="AQ54" s="53"/>
      <c r="AR54" s="53"/>
      <c r="AS54" s="53"/>
      <c r="AT54" s="53"/>
      <c r="AU54" s="53"/>
      <c r="AV54" s="53"/>
      <c r="AW54" s="53"/>
      <c r="AX54" s="53"/>
      <c r="AY54" s="53"/>
      <c r="AZ54" s="53"/>
      <c r="BA54" s="135">
        <v>3</v>
      </c>
      <c r="BB54" s="136">
        <v>0.57999999999999996</v>
      </c>
      <c r="BC54" s="53"/>
      <c r="BD54" s="48" t="str">
        <f t="shared" ref="BD54:BD57" si="95">U29</f>
        <v>Affordability</v>
      </c>
      <c r="BE54" s="176">
        <f>BE20</f>
        <v>5.7555555555555564</v>
      </c>
    </row>
    <row r="55" spans="2:62" x14ac:dyDescent="0.25">
      <c r="X55" s="52"/>
      <c r="Y55" s="214" t="s">
        <v>91</v>
      </c>
      <c r="Z55" s="215">
        <v>-7</v>
      </c>
      <c r="AA55" s="150">
        <v>0.14285714285714285</v>
      </c>
      <c r="AB55" s="219" t="s">
        <v>92</v>
      </c>
      <c r="AC55" s="215">
        <v>7</v>
      </c>
      <c r="AD55" s="151">
        <v>7</v>
      </c>
      <c r="AF55" s="53"/>
      <c r="AG55" s="53"/>
      <c r="AH55" s="53"/>
      <c r="AI55" s="53"/>
      <c r="AJ55"/>
      <c r="AK55" s="52"/>
      <c r="AL55" s="53"/>
      <c r="AM55" s="53"/>
      <c r="AN55" s="53"/>
      <c r="AO55" s="53"/>
      <c r="AP55" s="53"/>
      <c r="AQ55" s="53"/>
      <c r="AR55" s="53"/>
      <c r="AS55" s="53"/>
      <c r="AT55" s="53"/>
      <c r="AU55" s="53"/>
      <c r="AV55" s="53"/>
      <c r="AW55" s="53"/>
      <c r="AX55" s="53"/>
      <c r="AY55" s="53"/>
      <c r="AZ55" s="53"/>
      <c r="BA55" s="135">
        <v>4</v>
      </c>
      <c r="BB55" s="136">
        <v>0.9</v>
      </c>
      <c r="BC55" s="53"/>
      <c r="BD55" s="49" t="str">
        <f t="shared" si="95"/>
        <v>Maintainer performance</v>
      </c>
      <c r="BE55" s="176">
        <f>BE29</f>
        <v>5.8274750712250709</v>
      </c>
    </row>
    <row r="56" spans="2:62" x14ac:dyDescent="0.25">
      <c r="Y56" s="216" t="s">
        <v>91</v>
      </c>
      <c r="Z56" s="217">
        <v>-9</v>
      </c>
      <c r="AA56" s="152">
        <v>0.1111111111111111</v>
      </c>
      <c r="AB56" s="220" t="s">
        <v>92</v>
      </c>
      <c r="AC56" s="217">
        <v>9</v>
      </c>
      <c r="AD56" s="153">
        <v>9</v>
      </c>
      <c r="AF56" s="53"/>
      <c r="AG56" s="53"/>
      <c r="AH56" s="53"/>
      <c r="AI56" s="53"/>
      <c r="AJ56"/>
      <c r="AK56" s="53"/>
      <c r="AL56" s="53"/>
      <c r="AM56" s="53"/>
      <c r="AN56" s="53"/>
      <c r="AO56" s="53"/>
      <c r="AP56" s="53"/>
      <c r="AQ56" s="53"/>
      <c r="AR56" s="53"/>
      <c r="AS56" s="53"/>
      <c r="AT56" s="53"/>
      <c r="AU56" s="53"/>
      <c r="AV56" s="53"/>
      <c r="AW56" s="53"/>
      <c r="AX56" s="53"/>
      <c r="AY56" s="53"/>
      <c r="AZ56" s="53"/>
      <c r="BA56" s="135">
        <v>5</v>
      </c>
      <c r="BB56" s="136">
        <v>1.1200000000000001</v>
      </c>
      <c r="BC56" s="53"/>
      <c r="BD56" s="209" t="str">
        <f t="shared" si="95"/>
        <v>Operational</v>
      </c>
      <c r="BE56" s="176">
        <f>BE40</f>
        <v>5.8633235419577545</v>
      </c>
    </row>
    <row r="57" spans="2:62" x14ac:dyDescent="0.25">
      <c r="AF57" s="53"/>
      <c r="AG57" s="53" t="s">
        <v>49</v>
      </c>
      <c r="AH57" s="53"/>
      <c r="AI57" s="53"/>
      <c r="AJ57"/>
      <c r="AK57" s="53"/>
      <c r="AL57" s="53"/>
      <c r="AM57" s="53"/>
      <c r="AN57" s="53"/>
      <c r="AO57" s="53"/>
      <c r="AP57" s="53"/>
      <c r="AQ57" s="53"/>
      <c r="AR57" s="53"/>
      <c r="AS57" s="53"/>
      <c r="AT57" s="53"/>
      <c r="AU57" s="53"/>
      <c r="AV57" s="53"/>
      <c r="AW57" s="53"/>
      <c r="AX57" s="53"/>
      <c r="AY57" s="53"/>
      <c r="AZ57" s="53"/>
      <c r="BA57" s="135">
        <v>6</v>
      </c>
      <c r="BB57" s="136">
        <v>1.24</v>
      </c>
      <c r="BC57" s="53"/>
      <c r="BD57" s="210" t="str">
        <f t="shared" si="95"/>
        <v>Engineering</v>
      </c>
      <c r="BE57" s="177">
        <f>BE50</f>
        <v>3.397180221946289</v>
      </c>
    </row>
    <row r="58" spans="2:62" x14ac:dyDescent="0.25">
      <c r="F58" s="10"/>
      <c r="AF58" s="53"/>
      <c r="AG58" s="53"/>
      <c r="AH58" s="53"/>
      <c r="AI58" s="53"/>
      <c r="AJ58"/>
      <c r="AK58" s="53"/>
      <c r="AL58" s="53"/>
      <c r="AM58" s="53"/>
      <c r="AN58" s="53"/>
      <c r="AO58" s="53"/>
      <c r="AP58" s="53"/>
      <c r="AQ58" s="53"/>
      <c r="AR58" s="53"/>
      <c r="AS58" s="53"/>
      <c r="AT58" s="53"/>
      <c r="AU58" s="53"/>
      <c r="AV58" s="53"/>
      <c r="AW58" s="53"/>
      <c r="AX58" s="53"/>
      <c r="AY58" s="53"/>
      <c r="AZ58" s="53"/>
      <c r="BA58" s="135">
        <v>7</v>
      </c>
      <c r="BB58" s="136">
        <v>1.32</v>
      </c>
      <c r="BC58" s="53"/>
    </row>
    <row r="59" spans="2:62" x14ac:dyDescent="0.25">
      <c r="F59" s="10"/>
      <c r="AB59" s="53"/>
      <c r="AC59" s="53"/>
      <c r="AD59" s="53"/>
      <c r="AE59" s="53"/>
      <c r="AF59" s="53"/>
      <c r="AG59" s="53"/>
      <c r="AH59" s="53"/>
      <c r="AI59" s="53"/>
      <c r="AJ59"/>
      <c r="AK59" s="53"/>
      <c r="AL59" s="53"/>
      <c r="AM59" s="53"/>
      <c r="AN59" s="53"/>
      <c r="AO59" s="53"/>
      <c r="AP59" s="53"/>
      <c r="AQ59" s="53"/>
      <c r="AR59" s="53"/>
      <c r="AS59" s="53"/>
      <c r="AT59" s="53"/>
      <c r="AU59" s="53"/>
      <c r="AV59" s="53"/>
      <c r="AW59" s="53"/>
      <c r="AX59" s="53"/>
      <c r="AY59" s="53"/>
      <c r="AZ59" s="53"/>
      <c r="BA59" s="135">
        <v>8</v>
      </c>
      <c r="BB59" s="136">
        <v>1.41</v>
      </c>
      <c r="BC59" s="53"/>
    </row>
    <row r="60" spans="2:62" x14ac:dyDescent="0.25">
      <c r="F60" s="10"/>
      <c r="AB60" s="53"/>
      <c r="AC60" s="53"/>
      <c r="AD60" s="53"/>
      <c r="AE60" s="53"/>
      <c r="AF60" s="53"/>
      <c r="AG60" s="53"/>
      <c r="AH60" s="53"/>
      <c r="AI60" s="53"/>
      <c r="AJ60"/>
      <c r="AK60" s="53"/>
      <c r="AL60" s="53"/>
      <c r="AM60" s="53"/>
      <c r="AN60" s="53"/>
      <c r="AO60" s="53"/>
      <c r="AP60" s="53"/>
      <c r="AQ60" s="53"/>
      <c r="AR60" s="53"/>
      <c r="AS60" s="53"/>
      <c r="AT60" s="53"/>
      <c r="AU60" s="53"/>
      <c r="AV60" s="53"/>
      <c r="AW60" s="53"/>
      <c r="AX60" s="53"/>
      <c r="AY60" s="53"/>
      <c r="AZ60" s="53"/>
      <c r="BA60" s="135">
        <v>9</v>
      </c>
      <c r="BB60" s="137">
        <v>1.45</v>
      </c>
      <c r="BC60" s="53"/>
    </row>
    <row r="61" spans="2:62" x14ac:dyDescent="0.25">
      <c r="F61" s="10"/>
      <c r="AB61" s="53"/>
      <c r="AC61" s="53"/>
      <c r="AD61" s="53"/>
      <c r="AE61" s="53"/>
      <c r="AF61" s="53"/>
      <c r="AG61" s="53"/>
      <c r="AH61" s="53"/>
      <c r="AI61" s="53"/>
      <c r="AJ61"/>
      <c r="AK61" s="53"/>
      <c r="AL61" s="53"/>
      <c r="AM61" s="53"/>
      <c r="AN61" s="53"/>
      <c r="AO61" s="53"/>
      <c r="AP61" s="53"/>
      <c r="AQ61" s="53"/>
      <c r="AR61" s="53"/>
      <c r="AS61" s="53"/>
      <c r="AT61" s="53"/>
      <c r="AU61" s="53"/>
      <c r="AV61" s="53"/>
      <c r="AW61" s="53"/>
      <c r="AX61" s="53"/>
      <c r="AY61" s="53"/>
      <c r="AZ61" s="53"/>
      <c r="BA61" s="138">
        <v>10</v>
      </c>
      <c r="BB61" s="139">
        <v>1.49</v>
      </c>
      <c r="BC61" s="53"/>
    </row>
    <row r="62" spans="2:62" x14ac:dyDescent="0.25">
      <c r="F62" s="10"/>
      <c r="AB62" s="53"/>
      <c r="AC62" s="53"/>
      <c r="AD62" s="53"/>
      <c r="AE62" s="53"/>
      <c r="AF62" s="53"/>
      <c r="AG62" s="53"/>
      <c r="AH62" s="53"/>
      <c r="AI62" s="53"/>
      <c r="AJ62"/>
      <c r="AK62" s="53"/>
      <c r="AL62" s="53"/>
      <c r="AM62" s="53"/>
      <c r="AN62" s="53"/>
      <c r="AO62" s="53"/>
      <c r="AP62" s="53"/>
      <c r="AQ62" s="53"/>
      <c r="AR62" s="53"/>
      <c r="AS62" s="53"/>
      <c r="AT62" s="53"/>
      <c r="AU62" s="53"/>
      <c r="AV62" s="53"/>
      <c r="AW62" s="53"/>
      <c r="AX62" s="53"/>
      <c r="AY62" s="53"/>
      <c r="AZ62" s="53"/>
      <c r="BA62" s="53"/>
    </row>
    <row r="63" spans="2:62" x14ac:dyDescent="0.25">
      <c r="F63" s="10"/>
      <c r="AB63" s="53"/>
      <c r="AC63" s="53"/>
      <c r="AD63" s="53"/>
      <c r="AE63" s="53"/>
      <c r="AF63" s="53"/>
      <c r="AG63" s="53"/>
      <c r="AH63" s="53"/>
      <c r="AI63" s="53"/>
      <c r="AL63" s="53"/>
      <c r="AM63" s="53"/>
      <c r="AN63" s="53"/>
      <c r="AO63" s="53"/>
      <c r="AP63" s="53"/>
      <c r="AQ63" s="53"/>
      <c r="AR63" s="53"/>
      <c r="AS63" s="53"/>
      <c r="AT63" s="53"/>
      <c r="AU63" s="53"/>
      <c r="AV63" s="53"/>
      <c r="AW63" s="53"/>
      <c r="AX63" s="53"/>
      <c r="AY63" s="53"/>
      <c r="AZ63" s="53"/>
      <c r="BA63" s="53"/>
    </row>
    <row r="64" spans="2:62" x14ac:dyDescent="0.25">
      <c r="F64" s="10"/>
      <c r="AB64" s="53"/>
      <c r="AC64" s="53"/>
      <c r="AD64" s="53"/>
      <c r="AE64" s="53"/>
      <c r="AF64" s="53"/>
      <c r="AG64" s="53"/>
      <c r="AH64" s="53"/>
      <c r="AI64" s="53"/>
      <c r="AL64" s="53"/>
      <c r="AM64" s="53"/>
      <c r="AN64" s="53"/>
      <c r="AO64" s="53"/>
      <c r="AP64" s="53"/>
      <c r="AQ64" s="53"/>
      <c r="AR64" s="53"/>
      <c r="AS64" s="53"/>
      <c r="AT64" s="53"/>
      <c r="AU64" s="53"/>
      <c r="AV64" s="53"/>
      <c r="AW64" s="53"/>
      <c r="AX64" s="53"/>
      <c r="AY64" s="53"/>
      <c r="AZ64" s="53"/>
      <c r="BA64" s="53"/>
    </row>
    <row r="65" spans="6:53" x14ac:dyDescent="0.25">
      <c r="F65" s="10"/>
      <c r="AB65" s="53"/>
      <c r="AC65" s="53"/>
      <c r="AD65" s="53"/>
      <c r="AE65" s="53"/>
      <c r="AF65" s="53"/>
      <c r="AG65" s="53"/>
      <c r="AH65" s="53"/>
      <c r="AI65" s="53"/>
      <c r="AL65" s="53"/>
      <c r="AM65" s="53"/>
      <c r="AN65" s="53"/>
      <c r="AO65" s="53"/>
      <c r="AP65" s="53"/>
      <c r="AQ65" s="53"/>
      <c r="AR65" s="53"/>
      <c r="AS65" s="53"/>
      <c r="AT65" s="53"/>
      <c r="AU65" s="53"/>
      <c r="AV65" s="53"/>
      <c r="AW65" s="53"/>
      <c r="AX65" s="53"/>
      <c r="AY65" s="53"/>
      <c r="AZ65" s="53"/>
      <c r="BA65" s="53"/>
    </row>
    <row r="66" spans="6:53" x14ac:dyDescent="0.25">
      <c r="F66" s="10"/>
      <c r="AB66" s="53"/>
      <c r="AC66" s="53"/>
      <c r="AD66" s="53"/>
      <c r="AE66" s="53"/>
      <c r="AF66" s="53"/>
      <c r="AG66" s="53"/>
      <c r="AH66" s="53"/>
      <c r="AI66" s="53"/>
      <c r="AL66" s="53"/>
      <c r="AM66" s="53"/>
      <c r="AN66" s="53"/>
      <c r="AO66" s="53"/>
      <c r="AP66" s="53"/>
      <c r="AQ66" s="53"/>
      <c r="AR66" s="53"/>
      <c r="AS66" s="53"/>
      <c r="AT66" s="53"/>
      <c r="AU66" s="53"/>
      <c r="AV66" s="53"/>
      <c r="AW66" s="53"/>
      <c r="AX66" s="53"/>
      <c r="AY66" s="53"/>
      <c r="AZ66" s="53"/>
      <c r="BA66" s="53"/>
    </row>
    <row r="67" spans="6:53" x14ac:dyDescent="0.25">
      <c r="F67" s="10"/>
      <c r="AB67" s="53"/>
      <c r="AC67" s="53"/>
      <c r="AD67" s="53"/>
      <c r="AE67" s="53"/>
      <c r="AF67" s="53"/>
      <c r="AG67" s="53"/>
      <c r="AH67" s="53"/>
      <c r="AI67" s="53"/>
      <c r="AL67" s="53"/>
      <c r="AM67" s="53"/>
      <c r="AN67" s="53"/>
      <c r="AO67" s="53"/>
      <c r="AP67" s="53"/>
      <c r="AQ67" s="53"/>
      <c r="AR67" s="53"/>
      <c r="AS67" s="53"/>
      <c r="AT67" s="53"/>
      <c r="AU67" s="53"/>
      <c r="AV67" s="53"/>
      <c r="AW67" s="53"/>
      <c r="AX67" s="53"/>
      <c r="AY67" s="53"/>
      <c r="AZ67" s="53"/>
      <c r="BA67" s="53"/>
    </row>
    <row r="68" spans="6:53" x14ac:dyDescent="0.25">
      <c r="F68" s="10"/>
      <c r="AB68" s="53"/>
      <c r="AC68" s="53"/>
      <c r="AD68" s="53"/>
      <c r="AE68" s="53"/>
      <c r="AF68" s="53"/>
      <c r="AG68" s="53"/>
      <c r="AH68" s="53"/>
      <c r="AI68" s="53"/>
      <c r="AL68" s="53"/>
      <c r="AM68" s="53"/>
      <c r="AN68" s="53"/>
      <c r="AO68" s="53"/>
      <c r="AP68" s="53"/>
      <c r="AQ68" s="53"/>
      <c r="AR68" s="53"/>
      <c r="AS68" s="53"/>
      <c r="AT68" s="53"/>
      <c r="AU68" s="53"/>
      <c r="AV68" s="53"/>
      <c r="AW68" s="53"/>
      <c r="AX68" s="53"/>
      <c r="AY68" s="53"/>
      <c r="AZ68" s="53"/>
      <c r="BA68" s="53"/>
    </row>
    <row r="69" spans="6:53" x14ac:dyDescent="0.25">
      <c r="F69" s="10"/>
      <c r="AB69" s="53"/>
      <c r="AC69" s="53"/>
      <c r="AD69" s="53"/>
      <c r="AE69" s="53"/>
      <c r="AF69" s="53"/>
      <c r="AG69" s="53"/>
      <c r="AH69" s="53"/>
      <c r="AL69" s="53"/>
      <c r="AM69" s="53"/>
      <c r="AN69" s="53"/>
      <c r="AO69" s="53"/>
      <c r="AP69" s="53"/>
      <c r="AQ69" s="53"/>
      <c r="AR69" s="53"/>
      <c r="AS69" s="53"/>
      <c r="AT69" s="53"/>
      <c r="AU69" s="53"/>
      <c r="AV69" s="53"/>
      <c r="AW69" s="53"/>
      <c r="AX69" s="53"/>
      <c r="AY69" s="53"/>
      <c r="AZ69" s="53"/>
      <c r="BA69" s="53"/>
    </row>
    <row r="70" spans="6:53" x14ac:dyDescent="0.25">
      <c r="F70" s="10"/>
      <c r="AB70" s="53"/>
      <c r="AC70" s="53"/>
      <c r="AD70" s="53"/>
      <c r="AE70" s="53"/>
      <c r="AF70" s="53"/>
      <c r="AG70" s="53"/>
      <c r="AH70" s="53"/>
      <c r="AL70" s="53"/>
      <c r="AM70" s="53"/>
      <c r="AN70" s="53"/>
      <c r="AO70" s="53"/>
      <c r="AP70" s="53"/>
      <c r="AQ70" s="53"/>
      <c r="AR70" s="53"/>
      <c r="AS70" s="53"/>
      <c r="AT70" s="53"/>
      <c r="AU70" s="53"/>
      <c r="AV70" s="53"/>
      <c r="AW70" s="53"/>
      <c r="AX70" s="53"/>
      <c r="AY70" s="53"/>
      <c r="AZ70" s="53"/>
      <c r="BA70" s="53"/>
    </row>
    <row r="71" spans="6:53" x14ac:dyDescent="0.25">
      <c r="F71" s="10"/>
    </row>
    <row r="72" spans="6:53" x14ac:dyDescent="0.25">
      <c r="F72" s="10"/>
    </row>
    <row r="73" spans="6:53" x14ac:dyDescent="0.25">
      <c r="F73" s="10"/>
    </row>
    <row r="74" spans="6:53" x14ac:dyDescent="0.25">
      <c r="F74" s="10"/>
    </row>
    <row r="75" spans="6:53" x14ac:dyDescent="0.25">
      <c r="F75" s="10"/>
    </row>
    <row r="76" spans="6:53" x14ac:dyDescent="0.25">
      <c r="F76" s="10"/>
    </row>
    <row r="77" spans="6:53" x14ac:dyDescent="0.25">
      <c r="F77" s="10"/>
    </row>
  </sheetData>
  <mergeCells count="17">
    <mergeCell ref="Y43:Y49"/>
    <mergeCell ref="O4:P4"/>
    <mergeCell ref="Q4:R4"/>
    <mergeCell ref="B6:B13"/>
    <mergeCell ref="B14:B16"/>
    <mergeCell ref="B17:B22"/>
    <mergeCell ref="B23:B30"/>
    <mergeCell ref="B31:B37"/>
    <mergeCell ref="Y17:Y19"/>
    <mergeCell ref="Y32:Y39"/>
    <mergeCell ref="Y6:Y13"/>
    <mergeCell ref="Y23:Y28"/>
    <mergeCell ref="BG6:BG13"/>
    <mergeCell ref="BG17:BG19"/>
    <mergeCell ref="BG23:BG28"/>
    <mergeCell ref="BG32:BG39"/>
    <mergeCell ref="BG43:BG49"/>
  </mergeCells>
  <conditionalFormatting sqref="BD6:BD13">
    <cfRule type="colorScale" priority="27">
      <colorScale>
        <cfvo type="min"/>
        <cfvo type="max"/>
        <color rgb="FFFCFCFF"/>
        <color rgb="FFF8696B"/>
      </colorScale>
    </cfRule>
  </conditionalFormatting>
  <conditionalFormatting sqref="BD17:BD19">
    <cfRule type="colorScale" priority="26">
      <colorScale>
        <cfvo type="min"/>
        <cfvo type="max"/>
        <color rgb="FFFCFCFF"/>
        <color rgb="FFF8696B"/>
      </colorScale>
    </cfRule>
  </conditionalFormatting>
  <conditionalFormatting sqref="BD23:BD28">
    <cfRule type="colorScale" priority="25">
      <colorScale>
        <cfvo type="min"/>
        <cfvo type="max"/>
        <color rgb="FFFCFCFF"/>
        <color rgb="FFF8696B"/>
      </colorScale>
    </cfRule>
  </conditionalFormatting>
  <conditionalFormatting sqref="BD32:BD39">
    <cfRule type="colorScale" priority="24">
      <colorScale>
        <cfvo type="min"/>
        <cfvo type="max"/>
        <color rgb="FFFCFCFF"/>
        <color rgb="FFF8696B"/>
      </colorScale>
    </cfRule>
  </conditionalFormatting>
  <conditionalFormatting sqref="BD43:BD49">
    <cfRule type="colorScale" priority="23">
      <colorScale>
        <cfvo type="min"/>
        <cfvo type="max"/>
        <color rgb="FFFCFCFF"/>
        <color rgb="FFF8696B"/>
      </colorScale>
    </cfRule>
  </conditionalFormatting>
  <conditionalFormatting sqref="D16:D17 D6:D7 D23:D37">
    <cfRule type="expression" dxfId="13" priority="18">
      <formula>$O6&gt;=5</formula>
    </cfRule>
    <cfRule type="expression" dxfId="12" priority="19">
      <formula>$Q6&gt;=5</formula>
    </cfRule>
  </conditionalFormatting>
  <conditionalFormatting sqref="D14">
    <cfRule type="expression" dxfId="11" priority="16">
      <formula>$O14&gt;=5</formula>
    </cfRule>
    <cfRule type="expression" dxfId="10" priority="17">
      <formula>$Q14&gt;=5</formula>
    </cfRule>
  </conditionalFormatting>
  <conditionalFormatting sqref="D15">
    <cfRule type="expression" dxfId="9" priority="14">
      <formula>$O15&gt;=5</formula>
    </cfRule>
    <cfRule type="expression" dxfId="8" priority="15">
      <formula>$Q15&gt;=5</formula>
    </cfRule>
  </conditionalFormatting>
  <conditionalFormatting sqref="D18">
    <cfRule type="expression" dxfId="7" priority="12">
      <formula>$O18&gt;=5</formula>
    </cfRule>
    <cfRule type="expression" dxfId="6" priority="13">
      <formula>$Q18&gt;=5</formula>
    </cfRule>
  </conditionalFormatting>
  <conditionalFormatting sqref="O6:P37">
    <cfRule type="colorScale" priority="20">
      <colorScale>
        <cfvo type="min"/>
        <cfvo type="percentile" val="50"/>
        <cfvo type="max"/>
        <color rgb="FF00B050"/>
        <color rgb="FFFCFCFF"/>
        <color rgb="FFF8696B"/>
      </colorScale>
    </cfRule>
  </conditionalFormatting>
  <conditionalFormatting sqref="Q6:R37">
    <cfRule type="colorScale" priority="21">
      <colorScale>
        <cfvo type="min"/>
        <cfvo type="percentile" val="50"/>
        <cfvo type="max"/>
        <color rgb="FF00B050"/>
        <color rgb="FFFCFCFF"/>
        <color rgb="FFF8696B"/>
      </colorScale>
    </cfRule>
  </conditionalFormatting>
  <conditionalFormatting sqref="S6:S37">
    <cfRule type="colorScale" priority="22">
      <colorScale>
        <cfvo type="min"/>
        <cfvo type="num" val="0"/>
        <cfvo type="max"/>
        <color theme="4"/>
        <color theme="0"/>
        <color rgb="FF00B0F0"/>
      </colorScale>
    </cfRule>
  </conditionalFormatting>
  <conditionalFormatting sqref="D8:D13">
    <cfRule type="expression" dxfId="5" priority="10">
      <formula>$O8&gt;=5</formula>
    </cfRule>
    <cfRule type="expression" dxfId="4" priority="11">
      <formula>$Q8&gt;=5</formula>
    </cfRule>
  </conditionalFormatting>
  <conditionalFormatting sqref="D19 D21">
    <cfRule type="expression" dxfId="3" priority="8">
      <formula>$O19&gt;=5</formula>
    </cfRule>
    <cfRule type="expression" dxfId="2" priority="9">
      <formula>$Q19&gt;=5</formula>
    </cfRule>
  </conditionalFormatting>
  <conditionalFormatting sqref="D20 D22">
    <cfRule type="expression" dxfId="1" priority="6">
      <formula>$O20&gt;=5</formula>
    </cfRule>
    <cfRule type="expression" dxfId="0" priority="7">
      <formula>$Q20&gt;=5</formula>
    </cfRule>
  </conditionalFormatting>
  <conditionalFormatting sqref="BI6:BI13">
    <cfRule type="colorScale" priority="5">
      <colorScale>
        <cfvo type="min"/>
        <cfvo type="max"/>
        <color rgb="FFFCFCFF"/>
        <color rgb="FFF8696B"/>
      </colorScale>
    </cfRule>
  </conditionalFormatting>
  <conditionalFormatting sqref="BI17:BI19">
    <cfRule type="colorScale" priority="4">
      <colorScale>
        <cfvo type="min"/>
        <cfvo type="max"/>
        <color rgb="FFFCFCFF"/>
        <color rgb="FFF8696B"/>
      </colorScale>
    </cfRule>
  </conditionalFormatting>
  <conditionalFormatting sqref="BI23:BI28">
    <cfRule type="colorScale" priority="3">
      <colorScale>
        <cfvo type="min"/>
        <cfvo type="max"/>
        <color rgb="FFFCFCFF"/>
        <color rgb="FFF8696B"/>
      </colorScale>
    </cfRule>
  </conditionalFormatting>
  <conditionalFormatting sqref="BI32:BI39">
    <cfRule type="colorScale" priority="2">
      <colorScale>
        <cfvo type="min"/>
        <cfvo type="max"/>
        <color rgb="FFFCFCFF"/>
        <color rgb="FFF8696B"/>
      </colorScale>
    </cfRule>
  </conditionalFormatting>
  <conditionalFormatting sqref="BI43:BI49">
    <cfRule type="colorScale" priority="1">
      <colorScale>
        <cfvo type="min"/>
        <cfvo type="max"/>
        <color rgb="FFFCFCFF"/>
        <color rgb="FFF8696B"/>
      </colorScale>
    </cfRule>
  </conditionalFormatting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F07997AD3A3974DB64C4CAB9438FE59" ma:contentTypeVersion="13" ma:contentTypeDescription="Create a new document." ma:contentTypeScope="" ma:versionID="dffa6c51da3d86c22e81a3c7668b2cc4">
  <xsd:schema xmlns:xsd="http://www.w3.org/2001/XMLSchema" xmlns:xs="http://www.w3.org/2001/XMLSchema" xmlns:p="http://schemas.microsoft.com/office/2006/metadata/properties" xmlns:ns3="b02a2e6d-94b9-4d43-8427-e98c51604dce" xmlns:ns4="e9780cab-beab-46ae-8c45-14380e9421e3" targetNamespace="http://schemas.microsoft.com/office/2006/metadata/properties" ma:root="true" ma:fieldsID="b8afab6b970c8adb1489b6c02fe3aa9d" ns3:_="" ns4:_="">
    <xsd:import namespace="b02a2e6d-94b9-4d43-8427-e98c51604dce"/>
    <xsd:import namespace="e9780cab-beab-46ae-8c45-14380e9421e3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Location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02a2e6d-94b9-4d43-8427-e98c51604dc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9780cab-beab-46ae-8c45-14380e9421e3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8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AD57C06-40DD-4212-9FF5-DA47B74FD0F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02a2e6d-94b9-4d43-8427-e98c51604dce"/>
    <ds:schemaRef ds:uri="e9780cab-beab-46ae-8c45-14380e9421e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2EDCA44-F179-4CF2-9560-48DD59076C4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DE2242E-846D-47AD-B4CF-F8005DC70237}">
  <ds:schemaRefs>
    <ds:schemaRef ds:uri="http://schemas.microsoft.com/office/infopath/2007/PartnerControls"/>
    <ds:schemaRef ds:uri="http://purl.org/dc/elements/1.1/"/>
    <ds:schemaRef ds:uri="http://schemas.microsoft.com/office/2006/metadata/properties"/>
    <ds:schemaRef ds:uri="e9780cab-beab-46ae-8c45-14380e9421e3"/>
    <ds:schemaRef ds:uri="http://schemas.microsoft.com/office/2006/documentManagement/types"/>
    <ds:schemaRef ds:uri="http://schemas.openxmlformats.org/package/2006/metadata/core-properties"/>
    <ds:schemaRef ds:uri="http://purl.org/dc/dcmitype/"/>
    <ds:schemaRef ds:uri="b02a2e6d-94b9-4d43-8427-e98c51604dce"/>
    <ds:schemaRef ds:uri="http://www.w3.org/XML/1998/namespace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Details</vt:lpstr>
      <vt:lpstr>Influencing Factors</vt:lpstr>
      <vt:lpstr>Infl factors w. pedigree</vt:lpstr>
      <vt:lpstr>Pairwise &amp; AHP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</dc:creator>
  <cp:lastModifiedBy>Grenyer, Alex</cp:lastModifiedBy>
  <dcterms:created xsi:type="dcterms:W3CDTF">2018-02-21T15:28:47Z</dcterms:created>
  <dcterms:modified xsi:type="dcterms:W3CDTF">2020-03-06T12:08:41Z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0x0101001F07997AD3A3974DB64C4CAB9438FE59</vt:lpwstr>
  </property>
</Properties>
</file>