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federica_persico_cranfield_ac_uk/Documents/Fed`s/Papers - Work In Progress/TATB/"/>
    </mc:Choice>
  </mc:AlternateContent>
  <xr:revisionPtr revIDLastSave="1201" documentId="11_E60897F41BE170836B02CE998F75CCDC64E183C8" xr6:coauthVersionLast="47" xr6:coauthVersionMax="47" xr10:uidLastSave="{1ECF196B-1777-4D95-9160-45CDEC1D6FEF}"/>
  <bookViews>
    <workbookView minimized="1" xWindow="1080" yWindow="1080" windowWidth="17280" windowHeight="8964" firstSheet="3" activeTab="5" xr2:uid="{00000000-000D-0000-FFFF-FFFF00000000}"/>
  </bookViews>
  <sheets>
    <sheet name="Soil Column Set-Up" sheetId="1" r:id="rId1"/>
    <sheet name="Leachate" sheetId="2" r:id="rId2"/>
    <sheet name="Column Breakdown (mass)" sheetId="4" r:id="rId3"/>
    <sheet name="Column Sub Sampling" sheetId="5" r:id="rId4"/>
    <sheet name="Top Layer Separation" sheetId="6" r:id="rId5"/>
    <sheet name="TATB Mass" sheetId="3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" i="3" l="1"/>
  <c r="N15" i="3"/>
  <c r="M15" i="3"/>
  <c r="L15" i="3"/>
  <c r="K15" i="3"/>
  <c r="N10" i="3"/>
  <c r="N9" i="3"/>
  <c r="N4" i="3"/>
  <c r="N6" i="3"/>
  <c r="N8" i="3"/>
  <c r="S7" i="3"/>
  <c r="S5" i="3"/>
  <c r="S3" i="3"/>
  <c r="E4" i="6"/>
  <c r="F4" i="6" s="1"/>
  <c r="E5" i="6"/>
  <c r="F5" i="6" s="1"/>
  <c r="E3" i="6"/>
  <c r="F3" i="6" s="1"/>
  <c r="L10" i="3"/>
  <c r="L9" i="3"/>
  <c r="C14" i="1"/>
  <c r="D14" i="1"/>
  <c r="B14" i="1"/>
  <c r="Y5" i="3"/>
  <c r="Y7" i="3"/>
  <c r="Y3" i="3"/>
  <c r="T5" i="3"/>
  <c r="T7" i="3"/>
  <c r="T3" i="3"/>
  <c r="R8" i="3"/>
  <c r="Q8" i="3"/>
  <c r="R6" i="3"/>
  <c r="Q6" i="3"/>
  <c r="R4" i="3"/>
  <c r="Q4" i="3"/>
  <c r="P8" i="3"/>
  <c r="Y8" i="3" s="1"/>
  <c r="O8" i="3"/>
  <c r="T8" i="3" s="1"/>
  <c r="P6" i="3"/>
  <c r="Y6" i="3" s="1"/>
  <c r="O6" i="3"/>
  <c r="T6" i="3" s="1"/>
  <c r="P4" i="3"/>
  <c r="O4" i="3"/>
  <c r="T4" i="3" s="1"/>
  <c r="G13" i="3"/>
  <c r="E13" i="3"/>
  <c r="C13" i="3"/>
  <c r="G18" i="3"/>
  <c r="G17" i="3"/>
  <c r="G16" i="3"/>
  <c r="G15" i="3"/>
  <c r="E18" i="3"/>
  <c r="E17" i="3"/>
  <c r="E16" i="3"/>
  <c r="E15" i="3"/>
  <c r="C18" i="3"/>
  <c r="C17" i="3"/>
  <c r="C16" i="3"/>
  <c r="C15" i="3"/>
  <c r="B21" i="1"/>
  <c r="B20" i="1"/>
  <c r="B18" i="1"/>
  <c r="B16" i="1"/>
  <c r="H3" i="5"/>
  <c r="D16" i="5"/>
  <c r="D13" i="5"/>
  <c r="D8" i="5"/>
  <c r="D3" i="5"/>
  <c r="H16" i="5"/>
  <c r="H13" i="5"/>
  <c r="H8" i="5"/>
  <c r="L16" i="5"/>
  <c r="L13" i="5"/>
  <c r="L8" i="5"/>
  <c r="L3" i="5"/>
  <c r="D11" i="1"/>
  <c r="C11" i="1"/>
  <c r="B11" i="1"/>
  <c r="B8" i="1"/>
  <c r="D7" i="1"/>
  <c r="C7" i="1"/>
  <c r="B7" i="1"/>
  <c r="B3" i="1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2" i="4"/>
  <c r="A4" i="2"/>
  <c r="A5" i="2" s="1"/>
  <c r="A6" i="2" s="1"/>
  <c r="G12" i="1"/>
  <c r="D12" i="1" s="1"/>
  <c r="P10" i="3" l="1"/>
  <c r="Y4" i="3"/>
  <c r="Y10" i="3"/>
  <c r="Y9" i="3"/>
  <c r="W3" i="3"/>
  <c r="V3" i="3"/>
  <c r="Q10" i="3"/>
  <c r="Q9" i="3"/>
  <c r="R10" i="3"/>
  <c r="R9" i="3"/>
  <c r="O10" i="3"/>
  <c r="O9" i="3"/>
  <c r="P9" i="3"/>
  <c r="I15" i="3"/>
  <c r="H15" i="3"/>
  <c r="I16" i="3"/>
  <c r="H16" i="3"/>
  <c r="I17" i="3"/>
  <c r="H17" i="3"/>
  <c r="I18" i="3"/>
  <c r="H18" i="3"/>
  <c r="C12" i="1"/>
  <c r="G13" i="1"/>
  <c r="B12" i="1"/>
  <c r="D13" i="1" l="1"/>
  <c r="C13" i="1"/>
  <c r="B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</author>
  </authors>
  <commentList>
    <comment ref="A3" authorId="0" shapeId="0" xr:uid="{A05104D7-7922-4F07-B14E-3A714CB52D47}">
      <text>
        <r>
          <rPr>
            <b/>
            <sz val="9"/>
            <color indexed="81"/>
            <rFont val="Tahoma"/>
            <charset val="1"/>
          </rPr>
          <t>Olivia:</t>
        </r>
        <r>
          <rPr>
            <sz val="9"/>
            <color indexed="81"/>
            <rFont val="Tahoma"/>
            <charset val="1"/>
          </rPr>
          <t xml:space="preserve">
Mass of Perpex, Meshes, and grey stand
</t>
        </r>
      </text>
    </comment>
    <comment ref="A4" authorId="0" shapeId="0" xr:uid="{05CAB967-DE0D-4238-9959-E807CFA7C470}">
      <text>
        <r>
          <rPr>
            <b/>
            <sz val="9"/>
            <color indexed="81"/>
            <rFont val="Tahoma"/>
            <family val="2"/>
          </rPr>
          <t>Olivia:</t>
        </r>
        <r>
          <rPr>
            <sz val="9"/>
            <color indexed="81"/>
            <rFont val="Tahoma"/>
            <family val="2"/>
          </rPr>
          <t xml:space="preserve">
Mass of Column with 300g sand, 150g of gravel, 40 ml DI water to just saturate the sand in order to prevent dry sand falling through when filling the column</t>
        </r>
      </text>
    </comment>
    <comment ref="A9" authorId="0" shapeId="0" xr:uid="{8FB4F8C3-32F9-4065-8081-479964EC706E}">
      <text>
        <r>
          <rPr>
            <b/>
            <sz val="9"/>
            <color indexed="81"/>
            <rFont val="Tahoma"/>
            <family val="2"/>
          </rPr>
          <t>Olivia:</t>
        </r>
        <r>
          <rPr>
            <sz val="9"/>
            <color indexed="81"/>
            <rFont val="Tahoma"/>
            <family val="2"/>
          </rPr>
          <t xml:space="preserve">
800ml distilled water poured into soil columns to saturate the sand on the day of set-up. Quantity recovered after is recorded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tc={3FC43427-0E81-4074-879B-C4BDF02DC30A}</author>
  </authors>
  <commentList>
    <comment ref="C1" authorId="0" shapeId="0" xr:uid="{3FC43427-0E81-4074-879B-C4BDF02DC30A}">
      <text>
        <t>[Threaded comment]
Your version of Excel allows you to read this threaded comment; however, any edits to it will get removed if the file is opened in a newer version of Excel. Learn more: https://go.microsoft.com/fwlink/?linkid=870924
Comment:
    mass of plastic bag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</author>
  </authors>
  <commentList>
    <comment ref="J18" authorId="0" shapeId="0" xr:uid="{25BF16B4-B08D-4F64-95E8-FC3178938992}">
      <text>
        <r>
          <rPr>
            <b/>
            <sz val="9"/>
            <color indexed="81"/>
            <rFont val="Tahoma"/>
            <family val="2"/>
          </rPr>
          <t>Olivia:</t>
        </r>
        <r>
          <rPr>
            <sz val="9"/>
            <color indexed="81"/>
            <rFont val="Tahoma"/>
            <family val="2"/>
          </rPr>
          <t xml:space="preserve">
30 mL DMSO !!! (was meant to be 20 mL)
</t>
        </r>
      </text>
    </comment>
  </commentList>
</comments>
</file>

<file path=xl/sharedStrings.xml><?xml version="1.0" encoding="utf-8"?>
<sst xmlns="http://schemas.openxmlformats.org/spreadsheetml/2006/main" count="179" uniqueCount="83">
  <si>
    <t>Column Number</t>
  </si>
  <si>
    <t>Column Mass (g)</t>
  </si>
  <si>
    <t>Column + wet sand layer (g)</t>
  </si>
  <si>
    <t>#100g Increments</t>
  </si>
  <si>
    <t>Final Mass dry (g)</t>
  </si>
  <si>
    <t>Mass of Sand (g)</t>
  </si>
  <si>
    <t>Mass of Sand (kg)</t>
  </si>
  <si>
    <t>DI Water added (ml)</t>
  </si>
  <si>
    <t>DI out (ml)</t>
  </si>
  <si>
    <t>Saturation Volume</t>
  </si>
  <si>
    <t>Packing Density (kg/m^3)</t>
  </si>
  <si>
    <t>Column Volume</t>
  </si>
  <si>
    <t>m^3</t>
  </si>
  <si>
    <t>kg/L</t>
  </si>
  <si>
    <t>L</t>
  </si>
  <si>
    <t>Porosity</t>
  </si>
  <si>
    <t>Diameter</t>
  </si>
  <si>
    <t>m</t>
  </si>
  <si>
    <t>height</t>
  </si>
  <si>
    <t>density</t>
  </si>
  <si>
    <t>kg/m^s</t>
  </si>
  <si>
    <t>volume</t>
  </si>
  <si>
    <t>Mass of sand</t>
  </si>
  <si>
    <t>kg</t>
  </si>
  <si>
    <t>g</t>
  </si>
  <si>
    <t>Column Leachate (mL)</t>
  </si>
  <si>
    <t>Date Collected</t>
  </si>
  <si>
    <t>Wet Mass (g)</t>
  </si>
  <si>
    <t>Dry Mass</t>
  </si>
  <si>
    <t>E</t>
  </si>
  <si>
    <t>D</t>
  </si>
  <si>
    <t>C</t>
  </si>
  <si>
    <t>B</t>
  </si>
  <si>
    <t>A</t>
  </si>
  <si>
    <t>1A</t>
  </si>
  <si>
    <t>1B</t>
  </si>
  <si>
    <t>1C</t>
  </si>
  <si>
    <t>1D</t>
  </si>
  <si>
    <t>Columns Broken down into Sections</t>
  </si>
  <si>
    <t>1E</t>
  </si>
  <si>
    <t>Section height</t>
  </si>
  <si>
    <t>2A</t>
  </si>
  <si>
    <t>1 cm</t>
  </si>
  <si>
    <t>2B</t>
  </si>
  <si>
    <t>4 cm</t>
  </si>
  <si>
    <t>2C</t>
  </si>
  <si>
    <t>5 cm</t>
  </si>
  <si>
    <t>2D</t>
  </si>
  <si>
    <t>2E</t>
  </si>
  <si>
    <t>3A</t>
  </si>
  <si>
    <t>3B</t>
  </si>
  <si>
    <t>3C</t>
  </si>
  <si>
    <t>3D</t>
  </si>
  <si>
    <t xml:space="preserve">standard deviation of sections CDE. </t>
  </si>
  <si>
    <t>3E</t>
  </si>
  <si>
    <t>Sample</t>
  </si>
  <si>
    <t>Sample Mass (g)</t>
  </si>
  <si>
    <t>Average (g)</t>
  </si>
  <si>
    <t>Subsamples were sonicated with 20 mL DMSO for 30 minute at 70 degrees celcius</t>
  </si>
  <si>
    <t>r1</t>
  </si>
  <si>
    <t>subsamples were then filtered</t>
  </si>
  <si>
    <t>r2</t>
  </si>
  <si>
    <t>subsamples were than put into HPLC vials for analysis</t>
  </si>
  <si>
    <t>r3</t>
  </si>
  <si>
    <t>r4</t>
  </si>
  <si>
    <t>r5</t>
  </si>
  <si>
    <t>filter (g)</t>
  </si>
  <si>
    <t>Post-Filtration (filter, tatb, some sand) (g)</t>
  </si>
  <si>
    <t>tatb, sand (g)</t>
  </si>
  <si>
    <t>tatb, sand (mg)</t>
  </si>
  <si>
    <t>3a had a lot of sand in the filter paper</t>
  </si>
  <si>
    <t>Column</t>
  </si>
  <si>
    <t>Initial Mass (mg)</t>
  </si>
  <si>
    <t>Leachate</t>
  </si>
  <si>
    <t>total TATB extracted</t>
  </si>
  <si>
    <t>TOTAL B-E</t>
  </si>
  <si>
    <t>TOTAL AVERAGE TATB Mass</t>
  </si>
  <si>
    <t>SD</t>
  </si>
  <si>
    <t>TOTAL C-E</t>
  </si>
  <si>
    <t>TATB Mass (mg)</t>
  </si>
  <si>
    <t>% Recovered</t>
  </si>
  <si>
    <t>Average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</si>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</sst>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%"/>
    <numFmt numFmtId="166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16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2" xfId="0" applyBorder="1"/>
    <xf numFmtId="2" fontId="0" fillId="0" borderId="4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8" xfId="0" applyFont="1" applyBorder="1"/>
    <xf numFmtId="1" fontId="0" fillId="0" borderId="9" xfId="0" applyNumberFormat="1" applyBorder="1"/>
    <xf numFmtId="2" fontId="0" fillId="0" borderId="9" xfId="0" applyNumberFormat="1" applyBorder="1"/>
    <xf numFmtId="0" fontId="1" fillId="0" borderId="9" xfId="0" applyFont="1" applyBorder="1"/>
    <xf numFmtId="2" fontId="0" fillId="0" borderId="10" xfId="0" applyNumberFormat="1" applyBorder="1"/>
    <xf numFmtId="0" fontId="1" fillId="0" borderId="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" fontId="1" fillId="0" borderId="0" xfId="0" applyNumberFormat="1" applyFont="1"/>
    <xf numFmtId="2" fontId="0" fillId="0" borderId="2" xfId="0" applyNumberFormat="1" applyBorder="1"/>
    <xf numFmtId="0" fontId="0" fillId="0" borderId="3" xfId="0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2" borderId="12" xfId="0" applyFill="1" applyBorder="1"/>
    <xf numFmtId="0" fontId="0" fillId="0" borderId="24" xfId="0" applyBorder="1"/>
    <xf numFmtId="0" fontId="0" fillId="0" borderId="12" xfId="0" applyBorder="1"/>
    <xf numFmtId="11" fontId="0" fillId="0" borderId="0" xfId="0" applyNumberFormat="1"/>
    <xf numFmtId="2" fontId="0" fillId="0" borderId="0" xfId="0" applyNumberFormat="1"/>
    <xf numFmtId="165" fontId="0" fillId="0" borderId="0" xfId="0" applyNumberFormat="1"/>
    <xf numFmtId="0" fontId="1" fillId="0" borderId="27" xfId="0" applyFont="1" applyBorder="1"/>
    <xf numFmtId="0" fontId="1" fillId="0" borderId="26" xfId="0" applyFont="1" applyBorder="1"/>
    <xf numFmtId="9" fontId="0" fillId="0" borderId="0" xfId="0" applyNumberFormat="1"/>
    <xf numFmtId="165" fontId="0" fillId="0" borderId="33" xfId="0" applyNumberFormat="1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9" fontId="0" fillId="0" borderId="47" xfId="0" applyNumberFormat="1" applyBorder="1"/>
    <xf numFmtId="0" fontId="1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0" fillId="0" borderId="28" xfId="0" applyBorder="1"/>
    <xf numFmtId="0" fontId="0" fillId="0" borderId="42" xfId="0" applyBorder="1"/>
    <xf numFmtId="0" fontId="0" fillId="0" borderId="43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0" fillId="0" borderId="31" xfId="0" applyNumberFormat="1" applyBorder="1"/>
    <xf numFmtId="10" fontId="0" fillId="0" borderId="51" xfId="0" applyNumberFormat="1" applyBorder="1"/>
    <xf numFmtId="10" fontId="0" fillId="0" borderId="35" xfId="0" applyNumberFormat="1" applyBorder="1"/>
    <xf numFmtId="10" fontId="0" fillId="0" borderId="52" xfId="0" applyNumberFormat="1" applyBorder="1"/>
    <xf numFmtId="2" fontId="0" fillId="0" borderId="29" xfId="0" applyNumberFormat="1" applyBorder="1"/>
    <xf numFmtId="2" fontId="0" fillId="0" borderId="30" xfId="0" applyNumberFormat="1" applyBorder="1"/>
    <xf numFmtId="10" fontId="0" fillId="0" borderId="36" xfId="0" applyNumberFormat="1" applyBorder="1"/>
    <xf numFmtId="10" fontId="0" fillId="0" borderId="34" xfId="0" applyNumberFormat="1" applyBorder="1"/>
    <xf numFmtId="10" fontId="0" fillId="0" borderId="37" xfId="0" applyNumberFormat="1" applyBorder="1"/>
    <xf numFmtId="2" fontId="0" fillId="0" borderId="28" xfId="0" applyNumberFormat="1" applyBorder="1"/>
    <xf numFmtId="10" fontId="0" fillId="0" borderId="31" xfId="0" applyNumberFormat="1" applyBorder="1"/>
    <xf numFmtId="10" fontId="0" fillId="0" borderId="32" xfId="0" applyNumberFormat="1" applyBorder="1"/>
    <xf numFmtId="0" fontId="1" fillId="0" borderId="38" xfId="0" applyFont="1" applyBorder="1" applyAlignment="1">
      <alignment wrapText="1"/>
    </xf>
    <xf numFmtId="0" fontId="1" fillId="0" borderId="39" xfId="0" applyFont="1" applyBorder="1" applyAlignment="1">
      <alignment wrapText="1"/>
    </xf>
    <xf numFmtId="0" fontId="1" fillId="0" borderId="40" xfId="0" applyFont="1" applyBorder="1" applyAlignment="1">
      <alignment wrapText="1"/>
    </xf>
    <xf numFmtId="0" fontId="1" fillId="0" borderId="41" xfId="0" applyFont="1" applyBorder="1" applyAlignment="1">
      <alignment wrapText="1"/>
    </xf>
    <xf numFmtId="0" fontId="1" fillId="0" borderId="26" xfId="0" applyFont="1" applyBorder="1" applyAlignment="1">
      <alignment wrapText="1"/>
    </xf>
    <xf numFmtId="10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 wrapText="1"/>
    </xf>
    <xf numFmtId="166" fontId="0" fillId="0" borderId="32" xfId="0" applyNumberFormat="1" applyBorder="1"/>
    <xf numFmtId="166" fontId="0" fillId="0" borderId="33" xfId="0" applyNumberFormat="1" applyBorder="1"/>
    <xf numFmtId="0" fontId="0" fillId="0" borderId="26" xfId="0" applyBorder="1"/>
    <xf numFmtId="0" fontId="1" fillId="0" borderId="57" xfId="0" applyFont="1" applyBorder="1"/>
    <xf numFmtId="0" fontId="1" fillId="0" borderId="58" xfId="0" applyFont="1" applyBorder="1"/>
    <xf numFmtId="0" fontId="0" fillId="0" borderId="59" xfId="0" applyBorder="1"/>
    <xf numFmtId="0" fontId="0" fillId="2" borderId="60" xfId="0" applyFill="1" applyBorder="1"/>
    <xf numFmtId="0" fontId="0" fillId="0" borderId="61" xfId="0" applyBorder="1"/>
    <xf numFmtId="0" fontId="0" fillId="0" borderId="62" xfId="0" applyBorder="1"/>
    <xf numFmtId="0" fontId="0" fillId="2" borderId="63" xfId="0" applyFill="1" applyBorder="1"/>
    <xf numFmtId="166" fontId="0" fillId="0" borderId="0" xfId="0" applyNumberFormat="1"/>
    <xf numFmtId="0" fontId="1" fillId="0" borderId="0" xfId="0" applyFont="1" applyAlignment="1">
      <alignment wrapText="1"/>
    </xf>
    <xf numFmtId="0" fontId="7" fillId="0" borderId="0" xfId="0" applyFont="1"/>
    <xf numFmtId="0" fontId="1" fillId="0" borderId="59" xfId="0" applyFont="1" applyBorder="1"/>
    <xf numFmtId="0" fontId="0" fillId="0" borderId="60" xfId="0" applyBorder="1"/>
    <xf numFmtId="0" fontId="1" fillId="0" borderId="61" xfId="0" applyFont="1" applyBorder="1"/>
    <xf numFmtId="0" fontId="0" fillId="0" borderId="63" xfId="0" applyBorder="1"/>
    <xf numFmtId="0" fontId="0" fillId="0" borderId="64" xfId="0" applyBorder="1" applyAlignment="1">
      <alignment vertical="top"/>
    </xf>
    <xf numFmtId="0" fontId="1" fillId="0" borderId="65" xfId="0" applyFont="1" applyBorder="1" applyAlignment="1">
      <alignment vertical="top" wrapText="1"/>
    </xf>
    <xf numFmtId="0" fontId="1" fillId="0" borderId="66" xfId="0" applyFont="1" applyBorder="1" applyAlignment="1">
      <alignment vertical="top" wrapText="1"/>
    </xf>
    <xf numFmtId="10" fontId="0" fillId="0" borderId="45" xfId="0" applyNumberForma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" fontId="0" fillId="0" borderId="18" xfId="0" applyNumberFormat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0" fillId="0" borderId="0" xfId="0" applyFill="1" applyBorder="1" applyAlignment="1"/>
    <xf numFmtId="0" fontId="0" fillId="0" borderId="12" xfId="0" applyFill="1" applyBorder="1" applyAlignment="1"/>
    <xf numFmtId="0" fontId="7" fillId="0" borderId="6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Column Section by Mass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'Column Breakdown (mass)'!$H$1</c:f>
              <c:strCache>
                <c:ptCount val="1"/>
                <c:pt idx="0">
                  <c:v>E</c:v>
                </c:pt>
              </c:strCache>
            </c:strRef>
          </c:tx>
          <c:spPr>
            <a:solidFill>
              <a:schemeClr val="accent4">
                <a:tint val="54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</c:spPr>
          <c:invertIfNegative val="0"/>
          <c:cat>
            <c:numRef>
              <c:f>'Column Breakdown (mass)'!$G$2:$G$4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'Column Breakdown (mass)'!$H$2:$H$4</c:f>
              <c:numCache>
                <c:formatCode>General</c:formatCode>
                <c:ptCount val="3"/>
                <c:pt idx="0">
                  <c:v>673</c:v>
                </c:pt>
                <c:pt idx="1">
                  <c:v>662</c:v>
                </c:pt>
                <c:pt idx="2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C-4D5D-8EEB-795C8B6D431A}"/>
            </c:ext>
          </c:extLst>
        </c:ser>
        <c:ser>
          <c:idx val="1"/>
          <c:order val="1"/>
          <c:tx>
            <c:strRef>
              <c:f>'Column Breakdown (mass)'!$I$1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chemeClr val="accent4">
                <a:tint val="77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</c:spPr>
          <c:invertIfNegative val="0"/>
          <c:cat>
            <c:numRef>
              <c:f>'Column Breakdown (mass)'!$G$2:$G$4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'Column Breakdown (mass)'!$I$2:$I$4</c:f>
              <c:numCache>
                <c:formatCode>General</c:formatCode>
                <c:ptCount val="3"/>
                <c:pt idx="0">
                  <c:v>789</c:v>
                </c:pt>
                <c:pt idx="1">
                  <c:v>597</c:v>
                </c:pt>
                <c:pt idx="2">
                  <c:v>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C-4D5D-8EEB-795C8B6D431A}"/>
            </c:ext>
          </c:extLst>
        </c:ser>
        <c:ser>
          <c:idx val="2"/>
          <c:order val="2"/>
          <c:tx>
            <c:strRef>
              <c:f>'Column Breakdown (mass)'!$J$1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>
                  <a:lumMod val="50000"/>
                </a:schemeClr>
              </a:solidFill>
            </a:ln>
            <a:effectLst/>
          </c:spPr>
          <c:invertIfNegative val="0"/>
          <c:cat>
            <c:numRef>
              <c:f>'Column Breakdown (mass)'!$G$2:$G$4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'Column Breakdown (mass)'!$J$2:$J$4</c:f>
              <c:numCache>
                <c:formatCode>General</c:formatCode>
                <c:ptCount val="3"/>
                <c:pt idx="0">
                  <c:v>614</c:v>
                </c:pt>
                <c:pt idx="1">
                  <c:v>771</c:v>
                </c:pt>
                <c:pt idx="2">
                  <c:v>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AC-4D5D-8EEB-795C8B6D431A}"/>
            </c:ext>
          </c:extLst>
        </c:ser>
        <c:ser>
          <c:idx val="3"/>
          <c:order val="3"/>
          <c:tx>
            <c:strRef>
              <c:f>'Column Breakdown (mass)'!$K$1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</c:spPr>
          <c:invertIfNegative val="0"/>
          <c:cat>
            <c:numRef>
              <c:f>'Column Breakdown (mass)'!$G$2:$G$4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'Column Breakdown (mass)'!$K$2:$K$4</c:f>
              <c:numCache>
                <c:formatCode>General</c:formatCode>
                <c:ptCount val="3"/>
                <c:pt idx="0">
                  <c:v>436</c:v>
                </c:pt>
                <c:pt idx="1">
                  <c:v>495</c:v>
                </c:pt>
                <c:pt idx="2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AC-4D5D-8EEB-795C8B6D431A}"/>
            </c:ext>
          </c:extLst>
        </c:ser>
        <c:ser>
          <c:idx val="4"/>
          <c:order val="4"/>
          <c:tx>
            <c:strRef>
              <c:f>'Column Breakdown (mass)'!$L$1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4">
                <a:shade val="53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</c:spPr>
          <c:invertIfNegative val="0"/>
          <c:cat>
            <c:numRef>
              <c:f>'Column Breakdown (mass)'!$G$2:$G$4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'Column Breakdown (mass)'!$L$2:$L$4</c:f>
              <c:numCache>
                <c:formatCode>General</c:formatCode>
                <c:ptCount val="3"/>
                <c:pt idx="0">
                  <c:v>161</c:v>
                </c:pt>
                <c:pt idx="1">
                  <c:v>52</c:v>
                </c:pt>
                <c:pt idx="2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AC-4D5D-8EEB-795C8B6D4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0620928"/>
        <c:axId val="680619616"/>
      </c:barChart>
      <c:catAx>
        <c:axId val="680620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Column</a:t>
                </a:r>
                <a:r>
                  <a:rPr lang="en-GB" sz="1400" baseline="0"/>
                  <a:t> 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619616"/>
        <c:crosses val="autoZero"/>
        <c:auto val="1"/>
        <c:lblAlgn val="ctr"/>
        <c:lblOffset val="100"/>
        <c:noMultiLvlLbl val="0"/>
      </c:catAx>
      <c:valAx>
        <c:axId val="68061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Mass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620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317784140618786"/>
          <c:y val="0.29972373962017967"/>
          <c:w val="5.4094885866539412E-2"/>
          <c:h val="0.343863788133414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Column 1</c:v>
          </c:tx>
          <c:spPr>
            <a:ln w="28575" cap="rnd">
              <a:solidFill>
                <a:schemeClr val="bg2">
                  <a:lumMod val="9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'TATB Mass'!$A$15:$A$18</c:f>
              <c:strCache>
                <c:ptCount val="4"/>
                <c:pt idx="0">
                  <c:v>B</c:v>
                </c:pt>
                <c:pt idx="1">
                  <c:v>C</c:v>
                </c:pt>
                <c:pt idx="2">
                  <c:v>D</c:v>
                </c:pt>
                <c:pt idx="3">
                  <c:v>E</c:v>
                </c:pt>
              </c:strCache>
            </c:strRef>
          </c:cat>
          <c:val>
            <c:numRef>
              <c:f>'TATB Mass'!$B$15:$B$18</c:f>
              <c:numCache>
                <c:formatCode>General</c:formatCode>
                <c:ptCount val="4"/>
                <c:pt idx="0">
                  <c:v>17.07</c:v>
                </c:pt>
                <c:pt idx="1">
                  <c:v>0.66800000000000004</c:v>
                </c:pt>
                <c:pt idx="2">
                  <c:v>0.221</c:v>
                </c:pt>
                <c:pt idx="3">
                  <c:v>4.3200000000000002E-2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15-4CA2-820F-DF1FD74D5A78}"/>
            </c:ext>
          </c:extLst>
        </c:ser>
        <c:ser>
          <c:idx val="1"/>
          <c:order val="1"/>
          <c:tx>
            <c:v>Column 2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'TATB Mass'!$D$15:$D$18</c:f>
              <c:numCache>
                <c:formatCode>General</c:formatCode>
                <c:ptCount val="4"/>
                <c:pt idx="0">
                  <c:v>20.180499999999999</c:v>
                </c:pt>
                <c:pt idx="1">
                  <c:v>0.74443999999999999</c:v>
                </c:pt>
                <c:pt idx="2">
                  <c:v>0.21196000000000001</c:v>
                </c:pt>
                <c:pt idx="3">
                  <c:v>0.12830900000000001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15-4CA2-820F-DF1FD74D5A78}"/>
            </c:ext>
          </c:extLst>
        </c:ser>
        <c:ser>
          <c:idx val="2"/>
          <c:order val="2"/>
          <c:tx>
            <c:v>Column 3</c:v>
          </c:tx>
          <c:spPr>
            <a:ln w="28575" cap="rnd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'TATB Mass'!$F$15:$F$18</c:f>
              <c:numCache>
                <c:formatCode>General</c:formatCode>
                <c:ptCount val="4"/>
                <c:pt idx="0">
                  <c:v>2.9781040000000001</c:v>
                </c:pt>
                <c:pt idx="1">
                  <c:v>0.22508</c:v>
                </c:pt>
                <c:pt idx="2">
                  <c:v>6.6059999999999994E-2</c:v>
                </c:pt>
                <c:pt idx="3">
                  <c:v>9.5478899999999998E-3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15-4CA2-820F-DF1FD74D5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4150143"/>
        <c:axId val="1924803487"/>
      </c:lineChart>
      <c:catAx>
        <c:axId val="19241501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Column</a:t>
                </a:r>
                <a:r>
                  <a:rPr lang="en-US" b="1" baseline="0"/>
                  <a:t> s</a:t>
                </a:r>
                <a:r>
                  <a:rPr lang="en-US" b="1"/>
                  <a:t>ection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803487"/>
        <c:crosses val="autoZero"/>
        <c:auto val="1"/>
        <c:lblAlgn val="ctr"/>
        <c:lblOffset val="100"/>
        <c:noMultiLvlLbl val="0"/>
      </c:catAx>
      <c:valAx>
        <c:axId val="1924803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TATB</a:t>
                </a:r>
                <a:r>
                  <a:rPr lang="en-GB" b="1" baseline="0"/>
                  <a:t> mass (mg)</a:t>
                </a:r>
                <a:endParaRPr lang="en-GB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150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v>% Recovered Column 1</c:v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val>
            <c:numRef>
              <c:f>'TATB Mass'!$C$15:$C$18</c:f>
              <c:numCache>
                <c:formatCode>0.000%</c:formatCode>
                <c:ptCount val="4"/>
                <c:pt idx="0">
                  <c:v>3.4554655870445344E-2</c:v>
                </c:pt>
                <c:pt idx="1">
                  <c:v>1.3522267206477734E-3</c:v>
                </c:pt>
                <c:pt idx="2">
                  <c:v>4.4736842105263158E-4</c:v>
                </c:pt>
                <c:pt idx="3">
                  <c:v>8.7449392712550612E-5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D8-4D2B-A0FF-0F7B17742F80}"/>
            </c:ext>
          </c:extLst>
        </c:ser>
        <c:ser>
          <c:idx val="5"/>
          <c:order val="1"/>
          <c:tx>
            <c:v>% Recovered Column 2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'TATB Mass'!$E$15:$E$18</c:f>
              <c:numCache>
                <c:formatCode>0.000%</c:formatCode>
                <c:ptCount val="4"/>
                <c:pt idx="0">
                  <c:v>4.1017276422764225E-2</c:v>
                </c:pt>
                <c:pt idx="1">
                  <c:v>1.513089430894309E-3</c:v>
                </c:pt>
                <c:pt idx="2">
                  <c:v>4.3081300813008129E-4</c:v>
                </c:pt>
                <c:pt idx="3">
                  <c:v>2.607906504065041E-4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BD8-4D2B-A0FF-0F7B17742F80}"/>
            </c:ext>
          </c:extLst>
        </c:ser>
        <c:ser>
          <c:idx val="6"/>
          <c:order val="2"/>
          <c:tx>
            <c:v>% Recovered Column 3</c:v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'TATB Mass'!$H$15:$H$18</c:f>
              <c:numCache>
                <c:formatCode>0.000%</c:formatCode>
                <c:ptCount val="4"/>
                <c:pt idx="0">
                  <c:v>2.7160289600382026E-2</c:v>
                </c:pt>
                <c:pt idx="1">
                  <c:v>1.1039678177097946E-3</c:v>
                </c:pt>
                <c:pt idx="2">
                  <c:v>3.3641761925138047E-4</c:v>
                </c:pt>
                <c:pt idx="3">
                  <c:v>1.2239475643651031E-4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D8-4D2B-A0FF-0F7B17742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4150143"/>
        <c:axId val="1924803487"/>
      </c:barChart>
      <c:catAx>
        <c:axId val="19241501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Column</a:t>
                </a:r>
                <a:r>
                  <a:rPr lang="en-US" b="1" baseline="0"/>
                  <a:t> s</a:t>
                </a:r>
                <a:r>
                  <a:rPr lang="en-US" b="1"/>
                  <a:t>ection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803487"/>
        <c:crosses val="autoZero"/>
        <c:auto val="1"/>
        <c:lblAlgn val="ctr"/>
        <c:lblOffset val="100"/>
        <c:noMultiLvlLbl val="0"/>
      </c:catAx>
      <c:valAx>
        <c:axId val="1924803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TATB</a:t>
                </a:r>
                <a:r>
                  <a:rPr lang="en-GB" b="1" baseline="0"/>
                  <a:t> % Recovered</a:t>
                </a:r>
                <a:endParaRPr lang="en-GB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4150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4</xdr:row>
      <xdr:rowOff>103186</xdr:rowOff>
    </xdr:from>
    <xdr:to>
      <xdr:col>14</xdr:col>
      <xdr:colOff>161925</xdr:colOff>
      <xdr:row>21</xdr:row>
      <xdr:rowOff>123824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A8A7A278-CA18-48F2-9A8D-8035B78E88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373380</xdr:colOff>
      <xdr:row>20</xdr:row>
      <xdr:rowOff>34290</xdr:rowOff>
    </xdr:from>
    <xdr:to>
      <xdr:col>5</xdr:col>
      <xdr:colOff>22860</xdr:colOff>
      <xdr:row>35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0A358C-DC6F-CB9F-F786-9BC9E52DAB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281940</xdr:colOff>
      <xdr:row>20</xdr:row>
      <xdr:rowOff>53340</xdr:rowOff>
    </xdr:from>
    <xdr:to>
      <xdr:col>10</xdr:col>
      <xdr:colOff>556260</xdr:colOff>
      <xdr:row>35</xdr:row>
      <xdr:rowOff>53340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0B65551-0220-49A6-8BBC-3B71B451E6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[Student] Olivia Christian" id="{5A6664F9-ABC9-4182-8C81-21547F2A5913}" userId="S::olivia.christian@cranfield.ac.uk::6019565d-41c0-4bf7-b0c1-d58a1c83a96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1-07-20T18:53:37.07" personId="{5A6664F9-ABC9-4182-8C81-21547F2A5913}" id="{3FC43427-0E81-4074-879B-C4BDF02DC30A}">
    <text>mass of plastic bag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workbookViewId="0">
      <selection activeCell="G23" sqref="G23"/>
    </sheetView>
  </sheetViews>
  <sheetFormatPr defaultRowHeight="14.4" x14ac:dyDescent="0.3"/>
  <cols>
    <col min="1" max="1" width="24.88671875" bestFit="1" customWidth="1"/>
    <col min="2" max="2" width="15.109375" customWidth="1"/>
    <col min="3" max="4" width="10.88671875" bestFit="1" customWidth="1"/>
    <col min="5" max="5" width="15.88671875" bestFit="1" customWidth="1"/>
    <col min="6" max="7" width="15.88671875" customWidth="1"/>
    <col min="8" max="8" width="18.44140625" bestFit="1" customWidth="1"/>
    <col min="9" max="9" width="9.88671875" customWidth="1"/>
    <col min="10" max="10" width="17.6640625" customWidth="1"/>
    <col min="11" max="11" width="23.88671875" bestFit="1" customWidth="1"/>
  </cols>
  <sheetData>
    <row r="1" spans="1:8" ht="15" thickBot="1" x14ac:dyDescent="0.35">
      <c r="B1" s="93" t="s">
        <v>0</v>
      </c>
      <c r="C1" s="93"/>
      <c r="D1" s="93"/>
    </row>
    <row r="2" spans="1:8" ht="15" thickBot="1" x14ac:dyDescent="0.35">
      <c r="B2" s="21">
        <v>1</v>
      </c>
      <c r="C2" s="21">
        <v>2</v>
      </c>
      <c r="D2" s="22">
        <v>3</v>
      </c>
    </row>
    <row r="3" spans="1:8" x14ac:dyDescent="0.3">
      <c r="A3" s="16" t="s">
        <v>1</v>
      </c>
      <c r="B3" s="11">
        <f>1200</f>
        <v>1200</v>
      </c>
      <c r="C3" s="11">
        <v>1117.2</v>
      </c>
      <c r="D3" s="10">
        <v>1122</v>
      </c>
    </row>
    <row r="4" spans="1:8" x14ac:dyDescent="0.3">
      <c r="A4" s="19" t="s">
        <v>2</v>
      </c>
      <c r="B4" s="11">
        <v>1656.2</v>
      </c>
      <c r="C4" s="11">
        <v>1610.5</v>
      </c>
      <c r="D4" s="11">
        <v>1622.2</v>
      </c>
    </row>
    <row r="5" spans="1:8" x14ac:dyDescent="0.3">
      <c r="A5" s="19" t="s">
        <v>3</v>
      </c>
      <c r="B5" s="11">
        <v>18</v>
      </c>
      <c r="C5" s="11">
        <v>17</v>
      </c>
      <c r="D5" s="11">
        <v>18</v>
      </c>
    </row>
    <row r="6" spans="1:8" x14ac:dyDescent="0.3">
      <c r="A6" s="19" t="s">
        <v>4</v>
      </c>
      <c r="B6" s="11">
        <v>4050</v>
      </c>
      <c r="C6" s="11">
        <v>3850.1</v>
      </c>
      <c r="D6" s="11">
        <v>3865.2</v>
      </c>
    </row>
    <row r="7" spans="1:8" x14ac:dyDescent="0.3">
      <c r="A7" s="19" t="s">
        <v>5</v>
      </c>
      <c r="B7" s="17">
        <f>B6-B4</f>
        <v>2393.8000000000002</v>
      </c>
      <c r="C7" s="17">
        <f>C6-C4</f>
        <v>2239.6</v>
      </c>
      <c r="D7" s="17">
        <f>D6-D4</f>
        <v>2243</v>
      </c>
    </row>
    <row r="8" spans="1:8" x14ac:dyDescent="0.3">
      <c r="A8" s="19" t="s">
        <v>6</v>
      </c>
      <c r="B8" s="18">
        <f>2.39</f>
        <v>2.39</v>
      </c>
      <c r="C8" s="18">
        <v>2.2400000000000002</v>
      </c>
      <c r="D8" s="18">
        <v>2.2400000000000002</v>
      </c>
    </row>
    <row r="9" spans="1:8" x14ac:dyDescent="0.3">
      <c r="A9" s="19" t="s">
        <v>7</v>
      </c>
      <c r="B9" s="11">
        <v>800</v>
      </c>
      <c r="C9" s="11">
        <v>800</v>
      </c>
      <c r="D9" s="11">
        <v>800</v>
      </c>
    </row>
    <row r="10" spans="1:8" x14ac:dyDescent="0.3">
      <c r="A10" s="19" t="s">
        <v>8</v>
      </c>
      <c r="B10" s="11">
        <v>298</v>
      </c>
      <c r="C10" s="11">
        <v>325</v>
      </c>
      <c r="D10" s="11">
        <v>318</v>
      </c>
    </row>
    <row r="11" spans="1:8" x14ac:dyDescent="0.3">
      <c r="A11" s="11" t="s">
        <v>9</v>
      </c>
      <c r="B11" s="11">
        <f>B9-B10</f>
        <v>502</v>
      </c>
      <c r="C11" s="11">
        <f>C9-C10</f>
        <v>475</v>
      </c>
      <c r="D11" s="11">
        <f>D9-D10</f>
        <v>482</v>
      </c>
    </row>
    <row r="12" spans="1:8" x14ac:dyDescent="0.3">
      <c r="A12" s="11" t="s">
        <v>10</v>
      </c>
      <c r="B12" s="18">
        <f>B8/G12</f>
        <v>1521.5212559585193</v>
      </c>
      <c r="C12" s="18">
        <f>C8/G12</f>
        <v>1426.028290103382</v>
      </c>
      <c r="D12" s="18">
        <f>D8/G12</f>
        <v>1426.028290103382</v>
      </c>
      <c r="F12" t="s">
        <v>11</v>
      </c>
      <c r="G12">
        <f>(PI()*(0.05^2))*0.2</f>
        <v>1.5707963267948969E-3</v>
      </c>
      <c r="H12" t="s">
        <v>12</v>
      </c>
    </row>
    <row r="13" spans="1:8" ht="15" thickBot="1" x14ac:dyDescent="0.35">
      <c r="A13" s="12" t="s">
        <v>13</v>
      </c>
      <c r="B13" s="20">
        <f>B8/G13</f>
        <v>1.5215212559585194</v>
      </c>
      <c r="C13" s="20">
        <f>C8/G13</f>
        <v>1.4260282901033823</v>
      </c>
      <c r="D13" s="20">
        <f>D8/G13</f>
        <v>1.4260282901033823</v>
      </c>
      <c r="G13">
        <f>G12*1000</f>
        <v>1.5707963267948968</v>
      </c>
      <c r="H13" t="s">
        <v>14</v>
      </c>
    </row>
    <row r="14" spans="1:8" x14ac:dyDescent="0.3">
      <c r="A14" t="s">
        <v>15</v>
      </c>
      <c r="B14" s="69">
        <f>B10/B9</f>
        <v>0.3725</v>
      </c>
      <c r="C14" s="69">
        <f t="shared" ref="C14:D14" si="0">C10/C9</f>
        <v>0.40625</v>
      </c>
      <c r="D14" s="69">
        <f t="shared" si="0"/>
        <v>0.39750000000000002</v>
      </c>
    </row>
    <row r="16" spans="1:8" x14ac:dyDescent="0.3">
      <c r="A16" t="s">
        <v>16</v>
      </c>
      <c r="B16">
        <f>0.1</f>
        <v>0.1</v>
      </c>
      <c r="C16" t="s">
        <v>17</v>
      </c>
    </row>
    <row r="17" spans="1:3" x14ac:dyDescent="0.3">
      <c r="A17" t="s">
        <v>18</v>
      </c>
      <c r="B17" s="31">
        <v>0.01</v>
      </c>
      <c r="C17" t="s">
        <v>17</v>
      </c>
    </row>
    <row r="18" spans="1:3" x14ac:dyDescent="0.3">
      <c r="A18" t="s">
        <v>19</v>
      </c>
      <c r="B18" s="32">
        <f>C12</f>
        <v>1426.028290103382</v>
      </c>
      <c r="C18" t="s">
        <v>20</v>
      </c>
    </row>
    <row r="20" spans="1:3" x14ac:dyDescent="0.3">
      <c r="A20" t="s">
        <v>21</v>
      </c>
      <c r="B20" s="31">
        <f>(PI()*0.05^2)*B17</f>
        <v>7.8539816339744841E-5</v>
      </c>
    </row>
    <row r="21" spans="1:3" x14ac:dyDescent="0.3">
      <c r="A21" t="s">
        <v>22</v>
      </c>
      <c r="B21" s="32">
        <f>B18*B20</f>
        <v>0.112</v>
      </c>
      <c r="C21" t="s">
        <v>23</v>
      </c>
    </row>
    <row r="22" spans="1:3" x14ac:dyDescent="0.3">
      <c r="B22">
        <v>110</v>
      </c>
      <c r="C22" t="s">
        <v>24</v>
      </c>
    </row>
  </sheetData>
  <mergeCells count="1">
    <mergeCell ref="B1:D1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273F9-E749-4C54-A4D7-0400C13E325B}">
  <dimension ref="A1:D15"/>
  <sheetViews>
    <sheetView workbookViewId="0">
      <selection activeCell="A3" sqref="A3"/>
    </sheetView>
  </sheetViews>
  <sheetFormatPr defaultRowHeight="14.4" x14ac:dyDescent="0.3"/>
  <cols>
    <col min="1" max="1" width="18.109375" bestFit="1" customWidth="1"/>
  </cols>
  <sheetData>
    <row r="1" spans="1:4" x14ac:dyDescent="0.3">
      <c r="B1" s="94" t="s">
        <v>25</v>
      </c>
      <c r="C1" s="94"/>
      <c r="D1" s="94"/>
    </row>
    <row r="2" spans="1:4" x14ac:dyDescent="0.3">
      <c r="A2" s="23" t="s">
        <v>26</v>
      </c>
      <c r="B2" s="1">
        <v>1</v>
      </c>
      <c r="C2" s="1">
        <v>2</v>
      </c>
      <c r="D2" s="1">
        <v>3</v>
      </c>
    </row>
    <row r="3" spans="1:4" x14ac:dyDescent="0.3">
      <c r="A3" s="2">
        <v>44361</v>
      </c>
      <c r="B3" s="3">
        <v>2062</v>
      </c>
      <c r="C3">
        <v>2290</v>
      </c>
      <c r="D3">
        <v>2089</v>
      </c>
    </row>
    <row r="4" spans="1:4" x14ac:dyDescent="0.3">
      <c r="A4" s="2">
        <f>A3+7</f>
        <v>44368</v>
      </c>
      <c r="B4">
        <v>2218</v>
      </c>
      <c r="C4">
        <v>2490</v>
      </c>
      <c r="D4">
        <v>2112</v>
      </c>
    </row>
    <row r="5" spans="1:4" x14ac:dyDescent="0.3">
      <c r="A5" s="2">
        <f>A4+7</f>
        <v>44375</v>
      </c>
      <c r="B5">
        <v>2130</v>
      </c>
      <c r="C5">
        <v>2460</v>
      </c>
      <c r="D5">
        <v>1970</v>
      </c>
    </row>
    <row r="6" spans="1:4" x14ac:dyDescent="0.3">
      <c r="A6" s="2">
        <f>A5+7</f>
        <v>44382</v>
      </c>
      <c r="B6">
        <v>2320</v>
      </c>
      <c r="C6">
        <v>2110</v>
      </c>
      <c r="D6">
        <v>2255</v>
      </c>
    </row>
    <row r="7" spans="1:4" x14ac:dyDescent="0.3">
      <c r="A7" s="2"/>
    </row>
    <row r="8" spans="1:4" x14ac:dyDescent="0.3">
      <c r="A8" s="2"/>
    </row>
    <row r="10" spans="1:4" x14ac:dyDescent="0.3">
      <c r="A10" s="2"/>
    </row>
    <row r="11" spans="1:4" x14ac:dyDescent="0.3">
      <c r="A11" s="2"/>
    </row>
    <row r="13" spans="1:4" x14ac:dyDescent="0.3">
      <c r="A13" s="2"/>
    </row>
    <row r="14" spans="1:4" x14ac:dyDescent="0.3">
      <c r="A14" s="2"/>
    </row>
    <row r="15" spans="1:4" x14ac:dyDescent="0.3">
      <c r="A15" s="2"/>
    </row>
  </sheetData>
  <mergeCells count="1"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66F3F-6369-4C7A-9FD1-14ECA6B3290E}">
  <dimension ref="A1:Q16"/>
  <sheetViews>
    <sheetView zoomScale="110" zoomScaleNormal="110" workbookViewId="0">
      <selection activeCell="G5" sqref="G5"/>
    </sheetView>
  </sheetViews>
  <sheetFormatPr defaultRowHeight="14.4" x14ac:dyDescent="0.3"/>
  <cols>
    <col min="2" max="2" width="12.109375" bestFit="1" customWidth="1"/>
    <col min="3" max="3" width="5.33203125" customWidth="1"/>
    <col min="4" max="4" width="8.5546875" bestFit="1" customWidth="1"/>
    <col min="5" max="5" width="5.33203125" customWidth="1"/>
    <col min="17" max="17" width="13.109375" bestFit="1" customWidth="1"/>
  </cols>
  <sheetData>
    <row r="1" spans="1:17" x14ac:dyDescent="0.3">
      <c r="A1" s="74"/>
      <c r="B1" s="75" t="s">
        <v>27</v>
      </c>
      <c r="C1" s="75">
        <v>-20</v>
      </c>
      <c r="D1" s="75" t="s">
        <v>28</v>
      </c>
      <c r="E1" s="76">
        <v>-20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</row>
    <row r="2" spans="1:17" x14ac:dyDescent="0.3">
      <c r="A2" s="77" t="s">
        <v>34</v>
      </c>
      <c r="B2">
        <v>211</v>
      </c>
      <c r="C2">
        <f>B2-20</f>
        <v>191</v>
      </c>
      <c r="D2">
        <v>181</v>
      </c>
      <c r="E2" s="78">
        <f>D2-20</f>
        <v>161</v>
      </c>
      <c r="G2">
        <v>1</v>
      </c>
      <c r="H2">
        <v>673</v>
      </c>
      <c r="I2">
        <v>789</v>
      </c>
      <c r="J2">
        <v>614</v>
      </c>
      <c r="K2">
        <v>436</v>
      </c>
      <c r="L2">
        <v>161</v>
      </c>
    </row>
    <row r="3" spans="1:17" x14ac:dyDescent="0.3">
      <c r="A3" s="77" t="s">
        <v>35</v>
      </c>
      <c r="B3">
        <v>541</v>
      </c>
      <c r="C3">
        <f t="shared" ref="C3:C16" si="0">B3-20</f>
        <v>521</v>
      </c>
      <c r="D3">
        <v>456</v>
      </c>
      <c r="E3" s="78">
        <f t="shared" ref="E3:E16" si="1">D3-20</f>
        <v>436</v>
      </c>
      <c r="G3">
        <v>2</v>
      </c>
      <c r="H3">
        <v>662</v>
      </c>
      <c r="I3">
        <v>597</v>
      </c>
      <c r="J3">
        <v>771</v>
      </c>
      <c r="K3">
        <v>495</v>
      </c>
      <c r="L3">
        <v>52</v>
      </c>
    </row>
    <row r="4" spans="1:17" x14ac:dyDescent="0.3">
      <c r="A4" s="77" t="s">
        <v>36</v>
      </c>
      <c r="B4">
        <v>743</v>
      </c>
      <c r="C4">
        <f t="shared" si="0"/>
        <v>723</v>
      </c>
      <c r="D4">
        <v>634</v>
      </c>
      <c r="E4" s="78">
        <f t="shared" si="1"/>
        <v>614</v>
      </c>
      <c r="G4">
        <v>3</v>
      </c>
      <c r="H4">
        <v>450</v>
      </c>
      <c r="I4">
        <v>586</v>
      </c>
      <c r="J4">
        <v>694</v>
      </c>
      <c r="K4">
        <v>601</v>
      </c>
      <c r="L4">
        <v>267</v>
      </c>
    </row>
    <row r="5" spans="1:17" x14ac:dyDescent="0.3">
      <c r="A5" s="77" t="s">
        <v>37</v>
      </c>
      <c r="B5">
        <v>948</v>
      </c>
      <c r="C5">
        <f t="shared" si="0"/>
        <v>928</v>
      </c>
      <c r="D5">
        <v>809</v>
      </c>
      <c r="E5" s="78">
        <f t="shared" si="1"/>
        <v>789</v>
      </c>
      <c r="P5" t="s">
        <v>38</v>
      </c>
    </row>
    <row r="6" spans="1:17" x14ac:dyDescent="0.3">
      <c r="A6" s="77" t="s">
        <v>39</v>
      </c>
      <c r="B6">
        <v>751</v>
      </c>
      <c r="C6">
        <f t="shared" si="0"/>
        <v>731</v>
      </c>
      <c r="D6">
        <v>693</v>
      </c>
      <c r="E6" s="78">
        <f t="shared" si="1"/>
        <v>673</v>
      </c>
      <c r="Q6" t="s">
        <v>40</v>
      </c>
    </row>
    <row r="7" spans="1:17" x14ac:dyDescent="0.3">
      <c r="A7" s="77" t="s">
        <v>41</v>
      </c>
      <c r="B7">
        <v>89</v>
      </c>
      <c r="C7">
        <f t="shared" si="0"/>
        <v>69</v>
      </c>
      <c r="D7">
        <v>72</v>
      </c>
      <c r="E7" s="78">
        <f t="shared" si="1"/>
        <v>52</v>
      </c>
      <c r="P7" s="13" t="s">
        <v>33</v>
      </c>
      <c r="Q7" t="s">
        <v>42</v>
      </c>
    </row>
    <row r="8" spans="1:17" x14ac:dyDescent="0.3">
      <c r="A8" s="77" t="s">
        <v>43</v>
      </c>
      <c r="B8">
        <v>616</v>
      </c>
      <c r="C8">
        <f t="shared" si="0"/>
        <v>596</v>
      </c>
      <c r="D8">
        <v>515</v>
      </c>
      <c r="E8" s="78">
        <f t="shared" si="1"/>
        <v>495</v>
      </c>
      <c r="P8" s="14" t="s">
        <v>32</v>
      </c>
      <c r="Q8" t="s">
        <v>44</v>
      </c>
    </row>
    <row r="9" spans="1:17" x14ac:dyDescent="0.3">
      <c r="A9" s="77" t="s">
        <v>45</v>
      </c>
      <c r="B9">
        <v>941</v>
      </c>
      <c r="C9">
        <f t="shared" si="0"/>
        <v>921</v>
      </c>
      <c r="D9">
        <v>791</v>
      </c>
      <c r="E9" s="78">
        <f t="shared" si="1"/>
        <v>771</v>
      </c>
      <c r="P9" s="14" t="s">
        <v>31</v>
      </c>
      <c r="Q9" t="s">
        <v>46</v>
      </c>
    </row>
    <row r="10" spans="1:17" x14ac:dyDescent="0.3">
      <c r="A10" s="77" t="s">
        <v>47</v>
      </c>
      <c r="B10">
        <v>724</v>
      </c>
      <c r="C10">
        <f t="shared" si="0"/>
        <v>704</v>
      </c>
      <c r="D10">
        <v>617</v>
      </c>
      <c r="E10" s="78">
        <f t="shared" si="1"/>
        <v>597</v>
      </c>
      <c r="P10" s="14" t="s">
        <v>30</v>
      </c>
      <c r="Q10" t="s">
        <v>46</v>
      </c>
    </row>
    <row r="11" spans="1:17" x14ac:dyDescent="0.3">
      <c r="A11" s="77" t="s">
        <v>48</v>
      </c>
      <c r="B11">
        <v>760</v>
      </c>
      <c r="C11">
        <f t="shared" si="0"/>
        <v>740</v>
      </c>
      <c r="D11">
        <v>682</v>
      </c>
      <c r="E11" s="78">
        <f t="shared" si="1"/>
        <v>662</v>
      </c>
      <c r="P11" s="15" t="s">
        <v>29</v>
      </c>
      <c r="Q11" t="s">
        <v>46</v>
      </c>
    </row>
    <row r="12" spans="1:17" x14ac:dyDescent="0.3">
      <c r="A12" s="77" t="s">
        <v>49</v>
      </c>
      <c r="B12">
        <v>329</v>
      </c>
      <c r="C12">
        <f t="shared" si="0"/>
        <v>309</v>
      </c>
      <c r="D12">
        <v>287</v>
      </c>
      <c r="E12" s="78">
        <f t="shared" si="1"/>
        <v>267</v>
      </c>
    </row>
    <row r="13" spans="1:17" x14ac:dyDescent="0.3">
      <c r="A13" s="77" t="s">
        <v>50</v>
      </c>
      <c r="B13">
        <v>743</v>
      </c>
      <c r="C13">
        <f t="shared" si="0"/>
        <v>723</v>
      </c>
      <c r="D13">
        <v>621</v>
      </c>
      <c r="E13" s="78">
        <f t="shared" si="1"/>
        <v>601</v>
      </c>
    </row>
    <row r="14" spans="1:17" x14ac:dyDescent="0.3">
      <c r="A14" s="77" t="s">
        <v>51</v>
      </c>
      <c r="B14">
        <v>861</v>
      </c>
      <c r="C14">
        <f t="shared" si="0"/>
        <v>841</v>
      </c>
      <c r="D14">
        <v>714</v>
      </c>
      <c r="E14" s="78">
        <f t="shared" si="1"/>
        <v>694</v>
      </c>
    </row>
    <row r="15" spans="1:17" x14ac:dyDescent="0.3">
      <c r="A15" s="77" t="s">
        <v>52</v>
      </c>
      <c r="B15">
        <v>710</v>
      </c>
      <c r="C15">
        <f t="shared" si="0"/>
        <v>690</v>
      </c>
      <c r="D15">
        <v>606</v>
      </c>
      <c r="E15" s="78">
        <f t="shared" si="1"/>
        <v>586</v>
      </c>
      <c r="Q15" t="s">
        <v>53</v>
      </c>
    </row>
    <row r="16" spans="1:17" x14ac:dyDescent="0.3">
      <c r="A16" s="79" t="s">
        <v>54</v>
      </c>
      <c r="B16" s="80">
        <v>528</v>
      </c>
      <c r="C16" s="80">
        <f t="shared" si="0"/>
        <v>508</v>
      </c>
      <c r="D16" s="80">
        <v>470</v>
      </c>
      <c r="E16" s="81">
        <f t="shared" si="1"/>
        <v>450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03421-DCEA-4DBB-9D93-D5F45F9FDAC1}">
  <dimension ref="A1:N36"/>
  <sheetViews>
    <sheetView workbookViewId="0">
      <selection activeCell="P19" sqref="P19"/>
    </sheetView>
  </sheetViews>
  <sheetFormatPr defaultRowHeight="13.5" customHeight="1" x14ac:dyDescent="0.3"/>
  <cols>
    <col min="1" max="1" width="3.109375" bestFit="1" customWidth="1"/>
    <col min="2" max="2" width="4.109375" customWidth="1"/>
    <col min="3" max="3" width="14.6640625" bestFit="1" customWidth="1"/>
    <col min="4" max="4" width="10.5546875" bestFit="1" customWidth="1"/>
    <col min="5" max="5" width="4.109375" customWidth="1"/>
    <col min="6" max="6" width="4" customWidth="1"/>
    <col min="7" max="7" width="14.6640625" bestFit="1" customWidth="1"/>
    <col min="8" max="8" width="10.5546875" bestFit="1" customWidth="1"/>
    <col min="9" max="9" width="3.109375" customWidth="1"/>
    <col min="10" max="10" width="4.44140625" customWidth="1"/>
    <col min="11" max="11" width="14.6640625" bestFit="1" customWidth="1"/>
    <col min="12" max="12" width="10.5546875" bestFit="1" customWidth="1"/>
  </cols>
  <sheetData>
    <row r="1" spans="1:14" ht="13.5" customHeight="1" thickBot="1" x14ac:dyDescent="0.35"/>
    <row r="2" spans="1:14" ht="13.5" customHeight="1" x14ac:dyDescent="0.3">
      <c r="A2" s="95" t="s">
        <v>55</v>
      </c>
      <c r="B2" s="96"/>
      <c r="C2" s="26" t="s">
        <v>56</v>
      </c>
      <c r="D2" s="27" t="s">
        <v>57</v>
      </c>
      <c r="E2" s="95" t="s">
        <v>55</v>
      </c>
      <c r="F2" s="96"/>
      <c r="G2" s="26" t="s">
        <v>56</v>
      </c>
      <c r="H2" s="27" t="s">
        <v>57</v>
      </c>
      <c r="I2" s="95" t="s">
        <v>55</v>
      </c>
      <c r="J2" s="96"/>
      <c r="K2" s="26" t="s">
        <v>56</v>
      </c>
      <c r="L2" s="27" t="s">
        <v>57</v>
      </c>
      <c r="N2" t="s">
        <v>58</v>
      </c>
    </row>
    <row r="3" spans="1:14" ht="13.5" customHeight="1" x14ac:dyDescent="0.3">
      <c r="A3" s="100" t="s">
        <v>35</v>
      </c>
      <c r="B3" s="4" t="s">
        <v>59</v>
      </c>
      <c r="C3" s="7">
        <v>9.85</v>
      </c>
      <c r="D3" s="98">
        <f>AVERAGE(C3:C7)</f>
        <v>9.9999999999999982</v>
      </c>
      <c r="E3" s="100" t="s">
        <v>43</v>
      </c>
      <c r="F3" s="4" t="s">
        <v>59</v>
      </c>
      <c r="G3" s="5">
        <v>9.8800000000000008</v>
      </c>
      <c r="H3" s="103">
        <f>AVERAGE(G3:G7)</f>
        <v>10.01</v>
      </c>
      <c r="I3" s="100" t="s">
        <v>51</v>
      </c>
      <c r="J3" s="4" t="s">
        <v>59</v>
      </c>
      <c r="K3" s="5">
        <v>9.99</v>
      </c>
      <c r="L3" s="97">
        <f>AVERAGE(K3:K7)</f>
        <v>10.004</v>
      </c>
      <c r="N3" t="s">
        <v>60</v>
      </c>
    </row>
    <row r="4" spans="1:14" ht="13.5" customHeight="1" x14ac:dyDescent="0.3">
      <c r="A4" s="101"/>
      <c r="B4" t="s">
        <v>61</v>
      </c>
      <c r="C4" s="6">
        <v>10.1</v>
      </c>
      <c r="D4" s="98"/>
      <c r="E4" s="101"/>
      <c r="F4" t="s">
        <v>61</v>
      </c>
      <c r="G4" s="7">
        <v>10.08</v>
      </c>
      <c r="H4" s="104"/>
      <c r="I4" s="101"/>
      <c r="J4" t="s">
        <v>61</v>
      </c>
      <c r="K4" s="7">
        <v>9.98</v>
      </c>
      <c r="L4" s="98"/>
      <c r="N4" t="s">
        <v>62</v>
      </c>
    </row>
    <row r="5" spans="1:14" ht="13.5" customHeight="1" x14ac:dyDescent="0.3">
      <c r="A5" s="101"/>
      <c r="B5" t="s">
        <v>63</v>
      </c>
      <c r="C5" s="6">
        <v>10.1</v>
      </c>
      <c r="D5" s="98"/>
      <c r="E5" s="101"/>
      <c r="F5" t="s">
        <v>63</v>
      </c>
      <c r="G5" s="7">
        <v>10.039999999999999</v>
      </c>
      <c r="H5" s="104"/>
      <c r="I5" s="101"/>
      <c r="J5" t="s">
        <v>63</v>
      </c>
      <c r="K5" s="7">
        <v>9.9499999999999993</v>
      </c>
      <c r="L5" s="98"/>
    </row>
    <row r="6" spans="1:14" ht="13.5" customHeight="1" x14ac:dyDescent="0.3">
      <c r="A6" s="101"/>
      <c r="B6" t="s">
        <v>64</v>
      </c>
      <c r="C6" s="7">
        <v>9.8699999999999992</v>
      </c>
      <c r="D6" s="98"/>
      <c r="E6" s="101"/>
      <c r="F6" t="s">
        <v>64</v>
      </c>
      <c r="G6" s="7">
        <v>10.01</v>
      </c>
      <c r="H6" s="104"/>
      <c r="I6" s="101"/>
      <c r="J6" t="s">
        <v>64</v>
      </c>
      <c r="K6" s="7">
        <v>10.1</v>
      </c>
      <c r="L6" s="98"/>
    </row>
    <row r="7" spans="1:14" ht="13.5" customHeight="1" x14ac:dyDescent="0.3">
      <c r="A7" s="102"/>
      <c r="B7" s="8" t="s">
        <v>65</v>
      </c>
      <c r="C7" s="9">
        <v>10.08</v>
      </c>
      <c r="D7" s="99"/>
      <c r="E7" s="102"/>
      <c r="F7" s="8" t="s">
        <v>65</v>
      </c>
      <c r="G7" s="9">
        <v>10.039999999999999</v>
      </c>
      <c r="H7" s="105"/>
      <c r="I7" s="102"/>
      <c r="J7" s="8" t="s">
        <v>65</v>
      </c>
      <c r="K7" s="9">
        <v>10</v>
      </c>
      <c r="L7" s="99"/>
    </row>
    <row r="8" spans="1:14" ht="13.5" customHeight="1" x14ac:dyDescent="0.3">
      <c r="A8" s="100" t="s">
        <v>36</v>
      </c>
      <c r="B8" s="4" t="s">
        <v>59</v>
      </c>
      <c r="C8" s="5">
        <v>10.039999999999999</v>
      </c>
      <c r="D8" s="109">
        <f>AVERAGE(C8:C12)</f>
        <v>10.028</v>
      </c>
      <c r="E8" s="100" t="s">
        <v>45</v>
      </c>
      <c r="F8" s="4" t="s">
        <v>59</v>
      </c>
      <c r="G8" s="5">
        <v>9.94</v>
      </c>
      <c r="H8" s="97">
        <f>AVERAGE(G8:G12)</f>
        <v>9.9819999999999993</v>
      </c>
      <c r="I8" s="100" t="s">
        <v>50</v>
      </c>
      <c r="J8" s="4" t="s">
        <v>59</v>
      </c>
      <c r="K8" s="5">
        <v>10.039999999999999</v>
      </c>
      <c r="L8" s="97">
        <f>AVERAGE(K8:K12)</f>
        <v>10.056000000000001</v>
      </c>
    </row>
    <row r="9" spans="1:14" ht="13.5" customHeight="1" x14ac:dyDescent="0.3">
      <c r="A9" s="101"/>
      <c r="B9" t="s">
        <v>61</v>
      </c>
      <c r="C9" s="7">
        <v>10.02</v>
      </c>
      <c r="D9" s="110"/>
      <c r="E9" s="101"/>
      <c r="F9" t="s">
        <v>61</v>
      </c>
      <c r="G9" s="7">
        <v>10.06</v>
      </c>
      <c r="H9" s="98"/>
      <c r="I9" s="101"/>
      <c r="J9" t="s">
        <v>61</v>
      </c>
      <c r="K9" s="7">
        <v>10.11</v>
      </c>
      <c r="L9" s="98"/>
    </row>
    <row r="10" spans="1:14" ht="13.5" customHeight="1" x14ac:dyDescent="0.3">
      <c r="A10" s="101"/>
      <c r="B10" t="s">
        <v>63</v>
      </c>
      <c r="C10" s="7">
        <v>10.01</v>
      </c>
      <c r="D10" s="110"/>
      <c r="E10" s="101"/>
      <c r="F10" t="s">
        <v>63</v>
      </c>
      <c r="G10" s="7">
        <v>10.08</v>
      </c>
      <c r="H10" s="98"/>
      <c r="I10" s="101"/>
      <c r="J10" t="s">
        <v>63</v>
      </c>
      <c r="K10" s="7">
        <v>10.06</v>
      </c>
      <c r="L10" s="98"/>
    </row>
    <row r="11" spans="1:14" ht="13.5" customHeight="1" x14ac:dyDescent="0.3">
      <c r="A11" s="101"/>
      <c r="B11" t="s">
        <v>64</v>
      </c>
      <c r="C11" s="7">
        <v>10.050000000000001</v>
      </c>
      <c r="D11" s="110"/>
      <c r="E11" s="101"/>
      <c r="F11" t="s">
        <v>64</v>
      </c>
      <c r="G11" s="7">
        <v>9.89</v>
      </c>
      <c r="H11" s="98"/>
      <c r="I11" s="101"/>
      <c r="J11" t="s">
        <v>64</v>
      </c>
      <c r="K11" s="7">
        <v>9.99</v>
      </c>
      <c r="L11" s="98"/>
    </row>
    <row r="12" spans="1:14" ht="13.5" customHeight="1" x14ac:dyDescent="0.3">
      <c r="A12" s="102"/>
      <c r="B12" s="8" t="s">
        <v>65</v>
      </c>
      <c r="C12" s="9">
        <v>10.02</v>
      </c>
      <c r="D12" s="111"/>
      <c r="E12" s="102"/>
      <c r="F12" s="8" t="s">
        <v>65</v>
      </c>
      <c r="G12" s="9">
        <v>9.94</v>
      </c>
      <c r="H12" s="99"/>
      <c r="I12" s="102"/>
      <c r="J12" s="8" t="s">
        <v>65</v>
      </c>
      <c r="K12" s="9">
        <v>10.08</v>
      </c>
      <c r="L12" s="99"/>
    </row>
    <row r="13" spans="1:14" ht="13.5" customHeight="1" x14ac:dyDescent="0.3">
      <c r="A13" s="100" t="s">
        <v>37</v>
      </c>
      <c r="B13" s="4" t="s">
        <v>59</v>
      </c>
      <c r="C13" s="5">
        <v>10.01</v>
      </c>
      <c r="D13" s="97">
        <f>AVERAGE(C13:C15)</f>
        <v>10.043333333333335</v>
      </c>
      <c r="E13" s="100" t="s">
        <v>47</v>
      </c>
      <c r="F13" s="4" t="s">
        <v>59</v>
      </c>
      <c r="G13" s="5">
        <v>9.93</v>
      </c>
      <c r="H13" s="103">
        <f>AVERAGE(G13:G15)</f>
        <v>10.029999999999999</v>
      </c>
      <c r="I13" s="100" t="s">
        <v>52</v>
      </c>
      <c r="J13" s="4" t="s">
        <v>59</v>
      </c>
      <c r="K13" s="5">
        <v>10.11</v>
      </c>
      <c r="L13" s="97">
        <f>AVERAGE(K13:K15)</f>
        <v>10.036666666666667</v>
      </c>
    </row>
    <row r="14" spans="1:14" ht="13.5" customHeight="1" x14ac:dyDescent="0.3">
      <c r="A14" s="101"/>
      <c r="B14" t="s">
        <v>61</v>
      </c>
      <c r="C14" s="7">
        <v>10.09</v>
      </c>
      <c r="D14" s="98"/>
      <c r="E14" s="101"/>
      <c r="F14" t="s">
        <v>61</v>
      </c>
      <c r="G14" s="7">
        <v>10.11</v>
      </c>
      <c r="H14" s="104"/>
      <c r="I14" s="101"/>
      <c r="J14" t="s">
        <v>61</v>
      </c>
      <c r="K14" s="7">
        <v>9.9600000000000009</v>
      </c>
      <c r="L14" s="98"/>
    </row>
    <row r="15" spans="1:14" ht="13.5" customHeight="1" x14ac:dyDescent="0.3">
      <c r="A15" s="102"/>
      <c r="B15" s="8" t="s">
        <v>63</v>
      </c>
      <c r="C15" s="9">
        <v>10.029999999999999</v>
      </c>
      <c r="D15" s="99"/>
      <c r="E15" s="102"/>
      <c r="F15" s="8" t="s">
        <v>63</v>
      </c>
      <c r="G15" s="9">
        <v>10.050000000000001</v>
      </c>
      <c r="H15" s="105"/>
      <c r="I15" s="102"/>
      <c r="J15" s="8" t="s">
        <v>63</v>
      </c>
      <c r="K15" s="9">
        <v>10.039999999999999</v>
      </c>
      <c r="L15" s="99"/>
    </row>
    <row r="16" spans="1:14" ht="13.5" customHeight="1" x14ac:dyDescent="0.3">
      <c r="A16" s="100" t="s">
        <v>39</v>
      </c>
      <c r="B16" s="4" t="s">
        <v>59</v>
      </c>
      <c r="C16" s="24">
        <v>10</v>
      </c>
      <c r="D16" s="97">
        <f>AVERAGE(C16:C18)</f>
        <v>9.9833333333333325</v>
      </c>
      <c r="E16" s="100" t="s">
        <v>48</v>
      </c>
      <c r="F16" s="4" t="s">
        <v>59</v>
      </c>
      <c r="G16" s="5">
        <v>10.02</v>
      </c>
      <c r="H16" s="97">
        <f>AVERAGE(G16:G18)</f>
        <v>10.023333333333332</v>
      </c>
      <c r="I16" s="100" t="s">
        <v>54</v>
      </c>
      <c r="J16" s="4" t="s">
        <v>59</v>
      </c>
      <c r="K16" s="5">
        <v>9.98</v>
      </c>
      <c r="L16" s="103">
        <f>AVERAGE(K16:K18)</f>
        <v>10.020000000000001</v>
      </c>
    </row>
    <row r="17" spans="1:12" ht="13.5" customHeight="1" x14ac:dyDescent="0.3">
      <c r="A17" s="101"/>
      <c r="B17" t="s">
        <v>61</v>
      </c>
      <c r="C17" s="7">
        <v>9.9700000000000006</v>
      </c>
      <c r="D17" s="98"/>
      <c r="E17" s="101"/>
      <c r="F17" t="s">
        <v>61</v>
      </c>
      <c r="G17" s="7">
        <v>10.1</v>
      </c>
      <c r="H17" s="98"/>
      <c r="I17" s="101"/>
      <c r="J17" t="s">
        <v>61</v>
      </c>
      <c r="K17" s="7">
        <v>10.14</v>
      </c>
      <c r="L17" s="104"/>
    </row>
    <row r="18" spans="1:12" ht="13.5" customHeight="1" thickBot="1" x14ac:dyDescent="0.35">
      <c r="A18" s="106"/>
      <c r="B18" s="30" t="s">
        <v>63</v>
      </c>
      <c r="C18" s="29">
        <v>9.98</v>
      </c>
      <c r="D18" s="108"/>
      <c r="E18" s="106"/>
      <c r="F18" s="30" t="s">
        <v>63</v>
      </c>
      <c r="G18" s="29">
        <v>9.9499999999999993</v>
      </c>
      <c r="H18" s="108"/>
      <c r="I18" s="106"/>
      <c r="J18" s="28" t="s">
        <v>63</v>
      </c>
      <c r="K18" s="29">
        <v>9.94</v>
      </c>
      <c r="L18" s="107"/>
    </row>
    <row r="19" spans="1:12" ht="13.5" customHeight="1" x14ac:dyDescent="0.3">
      <c r="A19" s="25"/>
      <c r="C19" s="7"/>
    </row>
    <row r="36" spans="1:1" ht="13.5" customHeight="1" x14ac:dyDescent="0.3">
      <c r="A36" s="25"/>
    </row>
  </sheetData>
  <mergeCells count="27">
    <mergeCell ref="H13:H15"/>
    <mergeCell ref="H16:H18"/>
    <mergeCell ref="A13:A15"/>
    <mergeCell ref="A16:A18"/>
    <mergeCell ref="E3:E7"/>
    <mergeCell ref="E8:E12"/>
    <mergeCell ref="D3:D7"/>
    <mergeCell ref="D8:D12"/>
    <mergeCell ref="D13:D15"/>
    <mergeCell ref="D16:D18"/>
    <mergeCell ref="E13:E15"/>
    <mergeCell ref="E16:E18"/>
    <mergeCell ref="I13:I15"/>
    <mergeCell ref="I16:I18"/>
    <mergeCell ref="I2:J2"/>
    <mergeCell ref="L13:L15"/>
    <mergeCell ref="L16:L18"/>
    <mergeCell ref="A2:B2"/>
    <mergeCell ref="L3:L7"/>
    <mergeCell ref="L8:L12"/>
    <mergeCell ref="A3:A7"/>
    <mergeCell ref="A8:A12"/>
    <mergeCell ref="H3:H7"/>
    <mergeCell ref="H8:H12"/>
    <mergeCell ref="E2:F2"/>
    <mergeCell ref="I3:I7"/>
    <mergeCell ref="I8:I12"/>
  </mergeCells>
  <phoneticPr fontId="6" type="noConversion"/>
  <pageMargins left="0.7" right="0.7" top="0.75" bottom="0.75" header="0.3" footer="0.3"/>
  <ignoredErrors>
    <ignoredError sqref="H3 H8" formulaRange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3423B-DE30-45F6-B006-E4571722593C}">
  <dimension ref="B2:G5"/>
  <sheetViews>
    <sheetView workbookViewId="0">
      <selection activeCell="F12" sqref="F12"/>
    </sheetView>
  </sheetViews>
  <sheetFormatPr defaultRowHeight="14.4" x14ac:dyDescent="0.3"/>
  <cols>
    <col min="4" max="4" width="25.44140625" customWidth="1"/>
    <col min="5" max="5" width="12.6640625" bestFit="1" customWidth="1"/>
  </cols>
  <sheetData>
    <row r="2" spans="2:7" ht="43.2" x14ac:dyDescent="0.3">
      <c r="B2" s="89"/>
      <c r="C2" s="90" t="s">
        <v>66</v>
      </c>
      <c r="D2" s="90" t="s">
        <v>67</v>
      </c>
      <c r="E2" s="90" t="s">
        <v>68</v>
      </c>
      <c r="F2" s="91" t="s">
        <v>69</v>
      </c>
    </row>
    <row r="3" spans="2:7" x14ac:dyDescent="0.3">
      <c r="B3" s="85" t="s">
        <v>34</v>
      </c>
      <c r="C3">
        <v>1.1399999999999999</v>
      </c>
      <c r="D3">
        <v>1.5583</v>
      </c>
      <c r="E3">
        <f>D3-C3</f>
        <v>0.41830000000000012</v>
      </c>
      <c r="F3" s="86">
        <f>E3*1000</f>
        <v>418.30000000000013</v>
      </c>
    </row>
    <row r="4" spans="2:7" x14ac:dyDescent="0.3">
      <c r="B4" s="85" t="s">
        <v>41</v>
      </c>
      <c r="C4">
        <v>1.0754999999999999</v>
      </c>
      <c r="D4">
        <v>1.5885</v>
      </c>
      <c r="E4">
        <f t="shared" ref="E4:E5" si="0">D4-C4</f>
        <v>0.51300000000000012</v>
      </c>
      <c r="F4" s="86">
        <f t="shared" ref="F4:F5" si="1">E4*1000</f>
        <v>513.00000000000011</v>
      </c>
    </row>
    <row r="5" spans="2:7" x14ac:dyDescent="0.3">
      <c r="B5" s="87" t="s">
        <v>49</v>
      </c>
      <c r="C5" s="80">
        <v>1.0625</v>
      </c>
      <c r="D5" s="80">
        <v>2.4169999999999998</v>
      </c>
      <c r="E5" s="80">
        <f t="shared" si="0"/>
        <v>1.3544999999999998</v>
      </c>
      <c r="F5" s="88">
        <f t="shared" si="1"/>
        <v>1354.4999999999998</v>
      </c>
      <c r="G5" s="84" t="s">
        <v>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7B60D-A276-48C7-BC0C-BAB6EA20725D}">
  <dimension ref="A1:AA32"/>
  <sheetViews>
    <sheetView tabSelected="1" topLeftCell="D1" workbookViewId="0">
      <selection activeCell="Z31" sqref="Z31"/>
    </sheetView>
  </sheetViews>
  <sheetFormatPr defaultRowHeight="14.4" x14ac:dyDescent="0.3"/>
  <cols>
    <col min="1" max="1" width="16" style="1" bestFit="1" customWidth="1"/>
    <col min="2" max="2" width="15.33203125" bestFit="1" customWidth="1"/>
    <col min="3" max="3" width="12.5546875" bestFit="1" customWidth="1"/>
    <col min="4" max="4" width="15.33203125" bestFit="1" customWidth="1"/>
    <col min="5" max="5" width="12.5546875" bestFit="1" customWidth="1"/>
    <col min="6" max="6" width="15.33203125" bestFit="1" customWidth="1"/>
    <col min="7" max="7" width="12.5546875" bestFit="1" customWidth="1"/>
    <col min="8" max="8" width="8.44140625" bestFit="1" customWidth="1"/>
    <col min="9" max="9" width="18.33203125" bestFit="1" customWidth="1"/>
    <col min="10" max="10" width="8" bestFit="1" customWidth="1"/>
    <col min="11" max="11" width="10.109375" customWidth="1"/>
    <col min="12" max="12" width="9.109375" customWidth="1"/>
    <col min="13" max="13" width="8.21875" customWidth="1"/>
    <col min="19" max="19" width="12.6640625" customWidth="1"/>
    <col min="20" max="20" width="11.109375" bestFit="1" customWidth="1"/>
    <col min="22" max="22" width="17.5546875" customWidth="1"/>
    <col min="23" max="23" width="18.88671875" customWidth="1"/>
    <col min="24" max="24" width="20.33203125" customWidth="1"/>
    <col min="25" max="25" width="12.109375" customWidth="1"/>
  </cols>
  <sheetData>
    <row r="1" spans="1:27" ht="15" thickBot="1" x14ac:dyDescent="0.35">
      <c r="B1" s="115">
        <v>1</v>
      </c>
      <c r="C1" s="115"/>
      <c r="D1" s="115">
        <v>2</v>
      </c>
      <c r="E1" s="115"/>
      <c r="F1" s="115">
        <v>3</v>
      </c>
      <c r="G1" s="115"/>
    </row>
    <row r="2" spans="1:27" ht="57.6" x14ac:dyDescent="0.3">
      <c r="H2">
        <v>418.30000000000013</v>
      </c>
      <c r="J2" s="34" t="s">
        <v>71</v>
      </c>
      <c r="K2" s="49"/>
      <c r="L2" s="68" t="s">
        <v>72</v>
      </c>
      <c r="M2" s="68" t="s">
        <v>73</v>
      </c>
      <c r="N2" s="35" t="s">
        <v>33</v>
      </c>
      <c r="O2" s="42" t="s">
        <v>32</v>
      </c>
      <c r="P2" s="43" t="s">
        <v>31</v>
      </c>
      <c r="Q2" s="43" t="s">
        <v>30</v>
      </c>
      <c r="R2" s="44" t="s">
        <v>29</v>
      </c>
      <c r="S2" s="83" t="s">
        <v>74</v>
      </c>
      <c r="T2" t="s">
        <v>75</v>
      </c>
      <c r="V2" s="71" t="s">
        <v>76</v>
      </c>
      <c r="W2" t="s">
        <v>77</v>
      </c>
      <c r="Y2" t="s">
        <v>78</v>
      </c>
    </row>
    <row r="3" spans="1:27" ht="28.8" x14ac:dyDescent="0.3">
      <c r="H3">
        <v>513.00000000000011</v>
      </c>
      <c r="J3" s="116">
        <v>1</v>
      </c>
      <c r="K3" s="64" t="s">
        <v>79</v>
      </c>
      <c r="L3" s="48">
        <v>494</v>
      </c>
      <c r="M3" s="38">
        <v>0</v>
      </c>
      <c r="N3">
        <v>418.30000000000013</v>
      </c>
      <c r="O3" s="45">
        <v>17.07</v>
      </c>
      <c r="P3" s="56">
        <v>0.66800000000000004</v>
      </c>
      <c r="Q3" s="56">
        <v>0.221</v>
      </c>
      <c r="R3" s="57">
        <v>4.3200000000000002E-2</v>
      </c>
      <c r="S3" s="32">
        <f>SUM(N3:R3)</f>
        <v>436.30220000000014</v>
      </c>
      <c r="T3" s="32">
        <f>SUM(O3:R3)</f>
        <v>18.002199999999998</v>
      </c>
      <c r="V3" s="32">
        <f>AVERAGE(T3,T5,T7)</f>
        <v>14.182066963333334</v>
      </c>
      <c r="W3" s="70">
        <f>_xlfn.STDEV.P(T3,T5,T7)</f>
        <v>7.8240169745512551</v>
      </c>
      <c r="Y3" s="32">
        <f>SUM(P3:R3)</f>
        <v>0.93220000000000003</v>
      </c>
    </row>
    <row r="4" spans="1:27" ht="28.8" x14ac:dyDescent="0.3">
      <c r="H4">
        <v>1354.4999999999998</v>
      </c>
      <c r="J4" s="113"/>
      <c r="K4" s="65" t="s">
        <v>80</v>
      </c>
      <c r="L4" s="49"/>
      <c r="M4" s="39"/>
      <c r="N4" s="92">
        <f>N3/L3</f>
        <v>0.84676113360323912</v>
      </c>
      <c r="O4" s="58">
        <f>(O3/L3)</f>
        <v>3.4554655870445344E-2</v>
      </c>
      <c r="P4" s="59">
        <f>(P3/L3)</f>
        <v>1.3522267206477734E-3</v>
      </c>
      <c r="Q4" s="59">
        <f>(Q3/L3)</f>
        <v>4.4736842105263158E-4</v>
      </c>
      <c r="R4" s="60">
        <f>(R3/L3)</f>
        <v>8.7449392712550612E-5</v>
      </c>
      <c r="S4" s="69"/>
      <c r="T4" s="69">
        <f t="shared" ref="T4:T8" si="0">SUM(O4:R4)</f>
        <v>3.6441700404858307E-2</v>
      </c>
      <c r="Y4" s="33">
        <f t="shared" ref="Y4:Y8" si="1">SUM(P4:R4)</f>
        <v>1.8870445344129558E-3</v>
      </c>
    </row>
    <row r="5" spans="1:27" ht="28.8" x14ac:dyDescent="0.3">
      <c r="J5" s="112">
        <v>2</v>
      </c>
      <c r="K5" s="64" t="s">
        <v>79</v>
      </c>
      <c r="L5" s="48">
        <v>492</v>
      </c>
      <c r="M5" s="38">
        <v>0</v>
      </c>
      <c r="N5">
        <v>513.00000000000011</v>
      </c>
      <c r="O5" s="61">
        <v>20.180499999999999</v>
      </c>
      <c r="P5" s="56">
        <v>0.74443999999999999</v>
      </c>
      <c r="Q5" s="56">
        <v>0.21196000000000001</v>
      </c>
      <c r="R5" s="57">
        <v>0.12830900000000001</v>
      </c>
      <c r="S5" s="32">
        <f>SUM(N5:R5)</f>
        <v>534.26520900000014</v>
      </c>
      <c r="T5" s="32">
        <f t="shared" si="0"/>
        <v>21.265209000000002</v>
      </c>
      <c r="Y5" s="32">
        <f t="shared" si="1"/>
        <v>1.0847090000000001</v>
      </c>
    </row>
    <row r="6" spans="1:27" ht="28.8" x14ac:dyDescent="0.3">
      <c r="J6" s="113"/>
      <c r="K6" s="65" t="s">
        <v>80</v>
      </c>
      <c r="L6" s="49"/>
      <c r="M6" s="39"/>
      <c r="N6" s="92">
        <f>N5/L5</f>
        <v>1.0426829268292686</v>
      </c>
      <c r="O6" s="58">
        <f>(O5/L5)</f>
        <v>4.1017276422764225E-2</v>
      </c>
      <c r="P6" s="59">
        <f>(P5/L5)</f>
        <v>1.513089430894309E-3</v>
      </c>
      <c r="Q6" s="59">
        <f>(Q5/L5)</f>
        <v>4.3081300813008129E-4</v>
      </c>
      <c r="R6" s="60">
        <f>(R5/L5)</f>
        <v>2.607906504065041E-4</v>
      </c>
      <c r="S6" s="69"/>
      <c r="T6" s="69">
        <f t="shared" si="0"/>
        <v>4.3221969512195119E-2</v>
      </c>
      <c r="Y6" s="33">
        <f t="shared" si="1"/>
        <v>2.2046930894308943E-3</v>
      </c>
    </row>
    <row r="7" spans="1:27" ht="28.8" x14ac:dyDescent="0.3">
      <c r="J7" s="112">
        <v>3</v>
      </c>
      <c r="K7" s="64" t="s">
        <v>79</v>
      </c>
      <c r="L7" s="48">
        <v>504</v>
      </c>
      <c r="M7" s="38">
        <v>0</v>
      </c>
      <c r="N7">
        <v>1354.4999999999998</v>
      </c>
      <c r="O7" s="61">
        <v>2.9781040000000001</v>
      </c>
      <c r="P7" s="56">
        <v>0.22508</v>
      </c>
      <c r="Q7" s="56">
        <v>6.6059999999999994E-2</v>
      </c>
      <c r="R7" s="57">
        <v>9.5478899999999998E-3</v>
      </c>
      <c r="S7" s="32">
        <f>SUM(N7:R7)</f>
        <v>1357.7787918899999</v>
      </c>
      <c r="T7" s="32">
        <f t="shared" si="0"/>
        <v>3.2787918899999999</v>
      </c>
      <c r="Y7" s="32">
        <f t="shared" si="1"/>
        <v>0.30068789000000001</v>
      </c>
    </row>
    <row r="8" spans="1:27" ht="28.8" x14ac:dyDescent="0.3">
      <c r="J8" s="114"/>
      <c r="K8" s="66" t="s">
        <v>80</v>
      </c>
      <c r="L8" s="50"/>
      <c r="M8" s="40"/>
      <c r="N8" s="62">
        <f>N7/L7</f>
        <v>2.6874999999999996</v>
      </c>
      <c r="O8" s="62">
        <f>(O7/L7)</f>
        <v>5.908936507936508E-3</v>
      </c>
      <c r="P8" s="63">
        <f>(P7/L7)</f>
        <v>4.465873015873016E-4</v>
      </c>
      <c r="Q8" s="63">
        <f>(Q7/L7)</f>
        <v>1.3107142857142856E-4</v>
      </c>
      <c r="R8" s="37">
        <f>(R7/L7)</f>
        <v>1.894422619047619E-5</v>
      </c>
      <c r="S8" s="33"/>
      <c r="T8" s="69">
        <f t="shared" si="0"/>
        <v>6.5055394642857135E-3</v>
      </c>
      <c r="Y8" s="33">
        <f t="shared" si="1"/>
        <v>5.9660295634920632E-4</v>
      </c>
    </row>
    <row r="9" spans="1:27" x14ac:dyDescent="0.3">
      <c r="J9" s="46"/>
      <c r="K9" s="67" t="s">
        <v>81</v>
      </c>
      <c r="L9" s="51">
        <f>AVERAGE(L5,L7,L3)</f>
        <v>496.66666666666669</v>
      </c>
      <c r="M9" s="41"/>
      <c r="N9" s="53">
        <f>AVERAGE(N4,N6,N8)</f>
        <v>1.5256480201441691</v>
      </c>
      <c r="O9" s="53">
        <f>AVERAGE(O4,O6,O8)</f>
        <v>2.7160289600382026E-2</v>
      </c>
      <c r="P9" s="54">
        <f>AVERAGE(P4,P6,P8)</f>
        <v>1.1039678177097946E-3</v>
      </c>
      <c r="Q9" s="54">
        <f>AVERAGE(Q4,Q6,Q8)</f>
        <v>3.3641761925138047E-4</v>
      </c>
      <c r="R9" s="55">
        <f>AVERAGE(R4,R6,R8)</f>
        <v>1.2239475643651031E-4</v>
      </c>
      <c r="S9" s="69"/>
      <c r="Y9" s="32">
        <f>AVERAGE(Y3,Y5,Y7)</f>
        <v>0.77253229666666667</v>
      </c>
    </row>
    <row r="10" spans="1:27" ht="28.8" x14ac:dyDescent="0.3">
      <c r="A10"/>
      <c r="C10" s="33"/>
      <c r="E10" s="33"/>
      <c r="G10" s="33"/>
      <c r="J10" s="47"/>
      <c r="K10" s="66" t="s">
        <v>82</v>
      </c>
      <c r="L10" s="50">
        <f>_xlfn.STDEV.P(L7,L3,L5)</f>
        <v>5.2493385826745405</v>
      </c>
      <c r="M10" s="40"/>
      <c r="N10" s="52">
        <f>_xlfn.STDEV.P(N4,N6,N8)</f>
        <v>0.82543780487949159</v>
      </c>
      <c r="O10" s="52">
        <f>_xlfn.STDEV.P(O4,O6,O8)</f>
        <v>1.5256831743968746E-2</v>
      </c>
      <c r="P10" s="72">
        <f>_xlfn.STDEV.P(P4,P6,P8)</f>
        <v>4.6945433581274031E-4</v>
      </c>
      <c r="Q10" s="72">
        <f>_xlfn.STDEV.P(Q4,Q6,Q8)</f>
        <v>1.4535889823544669E-4</v>
      </c>
      <c r="R10" s="73">
        <f>_xlfn.STDEV.P(R4,R6,R8)</f>
        <v>1.0177854083210799E-4</v>
      </c>
      <c r="S10" s="82"/>
      <c r="Y10" s="32">
        <f>_xlfn.STDEV.P(Y3,Y5,Y7)</f>
        <v>0.33940399413011652</v>
      </c>
    </row>
    <row r="11" spans="1:27" x14ac:dyDescent="0.3">
      <c r="B11" s="1" t="s">
        <v>79</v>
      </c>
      <c r="C11" s="1" t="s">
        <v>80</v>
      </c>
      <c r="D11" s="1" t="s">
        <v>79</v>
      </c>
      <c r="E11" s="1" t="s">
        <v>80</v>
      </c>
      <c r="F11" s="1" t="s">
        <v>79</v>
      </c>
      <c r="G11" s="1" t="s">
        <v>80</v>
      </c>
      <c r="H11" s="1" t="s">
        <v>81</v>
      </c>
      <c r="I11" s="1" t="s">
        <v>82</v>
      </c>
    </row>
    <row r="12" spans="1:27" x14ac:dyDescent="0.3">
      <c r="A12" s="1" t="s">
        <v>72</v>
      </c>
      <c r="B12">
        <v>494</v>
      </c>
      <c r="D12">
        <v>492</v>
      </c>
      <c r="F12">
        <v>504</v>
      </c>
    </row>
    <row r="13" spans="1:27" x14ac:dyDescent="0.3">
      <c r="A13" s="1" t="s">
        <v>73</v>
      </c>
      <c r="B13">
        <v>0</v>
      </c>
      <c r="C13" s="36">
        <f>B13/B12</f>
        <v>0</v>
      </c>
      <c r="D13">
        <v>0</v>
      </c>
      <c r="E13" s="36">
        <f>D13/D12</f>
        <v>0</v>
      </c>
      <c r="F13">
        <v>0</v>
      </c>
      <c r="G13" s="36">
        <f>F13/F12</f>
        <v>0</v>
      </c>
    </row>
    <row r="14" spans="1:27" ht="15" thickBot="1" x14ac:dyDescent="0.35">
      <c r="A14" s="1" t="s">
        <v>33</v>
      </c>
      <c r="C14" s="36"/>
      <c r="E14" s="36"/>
      <c r="G14" s="36"/>
    </row>
    <row r="15" spans="1:27" x14ac:dyDescent="0.3">
      <c r="A15" s="1" t="s">
        <v>32</v>
      </c>
      <c r="B15">
        <v>17.07</v>
      </c>
      <c r="C15" s="33">
        <f>(B15/B12)</f>
        <v>3.4554655870445344E-2</v>
      </c>
      <c r="D15">
        <v>20.180499999999999</v>
      </c>
      <c r="E15" s="33">
        <f>(D15/D12)</f>
        <v>4.1017276422764225E-2</v>
      </c>
      <c r="F15">
        <v>2.9781040000000001</v>
      </c>
      <c r="G15" s="33">
        <f>(F15/F12)</f>
        <v>5.908936507936508E-3</v>
      </c>
      <c r="H15" s="33">
        <f>AVERAGE(C15,E15,G15)</f>
        <v>2.7160289600382026E-2</v>
      </c>
      <c r="I15">
        <f>_xlfn.STDEV.P(C15,E15,G15)</f>
        <v>1.5256831743968746E-2</v>
      </c>
      <c r="K15" s="33">
        <f>SUM(C15:C18)</f>
        <v>3.6441700404858307E-2</v>
      </c>
      <c r="L15" s="33">
        <f>SUM(E15:E18)</f>
        <v>4.3221969512195119E-2</v>
      </c>
      <c r="M15" s="33">
        <f>SUM(G15:G18)</f>
        <v>6.5055394642857135E-3</v>
      </c>
      <c r="N15" s="33">
        <f>AVERAGE(K15:M15)</f>
        <v>2.8723069793779712E-2</v>
      </c>
      <c r="O15">
        <f>_xlfn.STDEV.S(K15:M15)</f>
        <v>1.9537323326097308E-2</v>
      </c>
      <c r="R15" s="119"/>
      <c r="S15" s="119"/>
      <c r="T15" s="119"/>
      <c r="U15" s="119"/>
      <c r="V15" s="119"/>
      <c r="W15" s="119"/>
      <c r="X15" s="119"/>
      <c r="Y15" s="119"/>
      <c r="Z15" s="119"/>
      <c r="AA15" s="119"/>
    </row>
    <row r="16" spans="1:27" x14ac:dyDescent="0.3">
      <c r="A16" s="1" t="s">
        <v>31</v>
      </c>
      <c r="B16">
        <v>0.66800000000000004</v>
      </c>
      <c r="C16" s="33">
        <f>(B16/B12)</f>
        <v>1.3522267206477734E-3</v>
      </c>
      <c r="D16">
        <v>0.74443999999999999</v>
      </c>
      <c r="E16" s="33">
        <f>(D16/D12)</f>
        <v>1.513089430894309E-3</v>
      </c>
      <c r="F16">
        <v>0.22508</v>
      </c>
      <c r="G16" s="33">
        <f>(F16/F12)</f>
        <v>4.465873015873016E-4</v>
      </c>
      <c r="H16" s="33">
        <f t="shared" ref="H16:H18" si="2">AVERAGE(C16,E16,G16)</f>
        <v>1.1039678177097946E-3</v>
      </c>
      <c r="I16">
        <f t="shared" ref="I16:I18" si="3">_xlfn.STDEV.P(C16,E16,G16)</f>
        <v>4.6945433581274031E-4</v>
      </c>
      <c r="R16" s="117"/>
      <c r="S16" s="117"/>
      <c r="T16" s="117"/>
      <c r="U16" s="117"/>
      <c r="V16" s="117"/>
      <c r="W16" s="117"/>
      <c r="X16" s="117"/>
      <c r="Y16" s="117"/>
      <c r="Z16" s="117"/>
      <c r="AA16" s="117"/>
    </row>
    <row r="17" spans="1:27" x14ac:dyDescent="0.3">
      <c r="A17" s="1" t="s">
        <v>30</v>
      </c>
      <c r="B17">
        <v>0.221</v>
      </c>
      <c r="C17" s="33">
        <f>(B17/B12)</f>
        <v>4.4736842105263158E-4</v>
      </c>
      <c r="D17">
        <v>0.21196000000000001</v>
      </c>
      <c r="E17" s="33">
        <f>(D17/D12)</f>
        <v>4.3081300813008129E-4</v>
      </c>
      <c r="F17">
        <v>6.6059999999999994E-2</v>
      </c>
      <c r="G17" s="33">
        <f>(F17/F12)</f>
        <v>1.3107142857142856E-4</v>
      </c>
      <c r="H17" s="33">
        <f t="shared" si="2"/>
        <v>3.3641761925138047E-4</v>
      </c>
      <c r="I17">
        <f t="shared" si="3"/>
        <v>1.4535889823544669E-4</v>
      </c>
      <c r="R17" s="117"/>
      <c r="S17" s="117"/>
      <c r="T17" s="117"/>
      <c r="U17" s="117"/>
      <c r="V17" s="117"/>
      <c r="W17" s="117"/>
      <c r="X17" s="117"/>
      <c r="Y17" s="117"/>
      <c r="Z17" s="117"/>
      <c r="AA17" s="117"/>
    </row>
    <row r="18" spans="1:27" x14ac:dyDescent="0.3">
      <c r="A18" s="1" t="s">
        <v>29</v>
      </c>
      <c r="B18">
        <v>4.3200000000000002E-2</v>
      </c>
      <c r="C18" s="33">
        <f>(B18/B12)</f>
        <v>8.7449392712550612E-5</v>
      </c>
      <c r="D18">
        <v>0.12830900000000001</v>
      </c>
      <c r="E18" s="33">
        <f>(D18/D12)</f>
        <v>2.607906504065041E-4</v>
      </c>
      <c r="F18">
        <v>9.5478899999999998E-3</v>
      </c>
      <c r="G18" s="33">
        <f>(F18/F12)</f>
        <v>1.894422619047619E-5</v>
      </c>
      <c r="H18" s="33">
        <f t="shared" si="2"/>
        <v>1.2239475643651031E-4</v>
      </c>
      <c r="I18">
        <f t="shared" si="3"/>
        <v>1.0177854083210799E-4</v>
      </c>
      <c r="R18" s="117"/>
      <c r="S18" s="117"/>
      <c r="T18" s="117"/>
      <c r="U18" s="117"/>
      <c r="V18" s="117"/>
      <c r="W18" s="117"/>
      <c r="X18" s="117"/>
      <c r="Y18" s="117"/>
      <c r="Z18" s="117"/>
      <c r="AA18" s="117"/>
    </row>
    <row r="19" spans="1:27" x14ac:dyDescent="0.3">
      <c r="A19"/>
      <c r="R19" s="117"/>
      <c r="S19" s="117"/>
      <c r="T19" s="117"/>
      <c r="U19" s="117"/>
      <c r="V19" s="117"/>
      <c r="W19" s="117"/>
      <c r="X19" s="117"/>
      <c r="Y19" s="117"/>
      <c r="Z19" s="117"/>
      <c r="AA19" s="117"/>
    </row>
    <row r="20" spans="1:27" x14ac:dyDescent="0.3">
      <c r="R20" s="117"/>
      <c r="S20" s="117"/>
      <c r="T20" s="117"/>
      <c r="U20" s="117"/>
      <c r="V20" s="117"/>
      <c r="W20" s="117"/>
      <c r="X20" s="117"/>
      <c r="Y20" s="117"/>
      <c r="Z20" s="117"/>
      <c r="AA20" s="117"/>
    </row>
    <row r="21" spans="1:27" x14ac:dyDescent="0.3">
      <c r="R21" s="117"/>
      <c r="S21" s="117"/>
      <c r="T21" s="117"/>
      <c r="U21" s="117"/>
      <c r="V21" s="117"/>
      <c r="W21" s="117"/>
      <c r="X21" s="117"/>
      <c r="Y21" s="117"/>
      <c r="Z21" s="117"/>
      <c r="AA21" s="117"/>
    </row>
    <row r="22" spans="1:27" x14ac:dyDescent="0.3">
      <c r="R22" s="117"/>
      <c r="S22" s="117"/>
      <c r="T22" s="117"/>
      <c r="U22" s="117"/>
      <c r="V22" s="117"/>
      <c r="W22" s="117"/>
      <c r="X22" s="117"/>
      <c r="Y22" s="117"/>
      <c r="Z22" s="117"/>
      <c r="AA22" s="117"/>
    </row>
    <row r="23" spans="1:27" x14ac:dyDescent="0.3">
      <c r="R23" s="117"/>
      <c r="S23" s="117"/>
      <c r="T23" s="117"/>
      <c r="U23" s="117"/>
      <c r="V23" s="117"/>
      <c r="W23" s="117"/>
      <c r="X23" s="117"/>
      <c r="Y23" s="117"/>
      <c r="Z23" s="117"/>
      <c r="AA23" s="117"/>
    </row>
    <row r="24" spans="1:27" x14ac:dyDescent="0.3">
      <c r="R24" s="117"/>
      <c r="S24" s="117"/>
      <c r="T24" s="117"/>
      <c r="U24" s="117"/>
      <c r="V24" s="117"/>
      <c r="W24" s="117"/>
      <c r="X24" s="117"/>
      <c r="Y24" s="117"/>
      <c r="Z24" s="117"/>
      <c r="AA24" s="117"/>
    </row>
    <row r="25" spans="1:27" x14ac:dyDescent="0.3">
      <c r="R25" s="117"/>
      <c r="S25" s="117"/>
      <c r="T25" s="117"/>
      <c r="U25" s="117"/>
      <c r="V25" s="117"/>
      <c r="W25" s="117"/>
      <c r="X25" s="117"/>
      <c r="Y25" s="117"/>
      <c r="Z25" s="117"/>
      <c r="AA25" s="117"/>
    </row>
    <row r="26" spans="1:27" x14ac:dyDescent="0.3">
      <c r="R26" s="117"/>
      <c r="S26" s="117"/>
      <c r="T26" s="117"/>
      <c r="U26" s="117"/>
      <c r="V26" s="117"/>
      <c r="W26" s="117"/>
      <c r="X26" s="117"/>
      <c r="Y26" s="117"/>
      <c r="Z26" s="117"/>
      <c r="AA26" s="117"/>
    </row>
    <row r="27" spans="1:27" x14ac:dyDescent="0.3">
      <c r="R27" s="117"/>
      <c r="S27" s="117"/>
      <c r="T27" s="117"/>
      <c r="U27" s="117"/>
      <c r="V27" s="117"/>
      <c r="W27" s="117"/>
      <c r="X27" s="117"/>
      <c r="Y27" s="117"/>
      <c r="Z27" s="117"/>
      <c r="AA27" s="117"/>
    </row>
    <row r="28" spans="1:27" x14ac:dyDescent="0.3">
      <c r="R28" s="117"/>
      <c r="S28" s="117"/>
      <c r="T28" s="117"/>
      <c r="U28" s="117"/>
      <c r="V28" s="117"/>
      <c r="W28" s="117"/>
      <c r="X28" s="117"/>
      <c r="Y28" s="117"/>
      <c r="Z28" s="117"/>
      <c r="AA28" s="117"/>
    </row>
    <row r="29" spans="1:27" x14ac:dyDescent="0.3">
      <c r="R29" s="117"/>
      <c r="S29" s="117"/>
      <c r="T29" s="117"/>
      <c r="U29" s="117"/>
      <c r="V29" s="117"/>
      <c r="W29" s="117"/>
      <c r="X29" s="117"/>
      <c r="Y29" s="117"/>
      <c r="Z29" s="117"/>
      <c r="AA29" s="117"/>
    </row>
    <row r="30" spans="1:27" x14ac:dyDescent="0.3">
      <c r="R30" s="117"/>
      <c r="S30" s="117"/>
      <c r="T30" s="117"/>
      <c r="U30" s="117"/>
      <c r="V30" s="117"/>
      <c r="W30" s="117"/>
      <c r="X30" s="117"/>
      <c r="Y30" s="117"/>
      <c r="Z30" s="117"/>
      <c r="AA30" s="117"/>
    </row>
    <row r="31" spans="1:27" x14ac:dyDescent="0.3">
      <c r="R31" s="117"/>
      <c r="S31" s="117"/>
      <c r="T31" s="117"/>
      <c r="U31" s="117"/>
      <c r="V31" s="117"/>
      <c r="W31" s="117"/>
      <c r="X31" s="117"/>
      <c r="Y31" s="117"/>
      <c r="Z31" s="117"/>
      <c r="AA31" s="117"/>
    </row>
    <row r="32" spans="1:27" ht="15" thickBot="1" x14ac:dyDescent="0.35">
      <c r="R32" s="118"/>
      <c r="S32" s="118"/>
      <c r="T32" s="118"/>
      <c r="U32" s="118"/>
      <c r="V32" s="118"/>
      <c r="W32" s="118"/>
      <c r="X32" s="118"/>
      <c r="Y32" s="118"/>
      <c r="Z32" s="118"/>
      <c r="AA32" s="118"/>
    </row>
  </sheetData>
  <mergeCells count="6">
    <mergeCell ref="J5:J6"/>
    <mergeCell ref="J7:J8"/>
    <mergeCell ref="B1:C1"/>
    <mergeCell ref="D1:E1"/>
    <mergeCell ref="F1:G1"/>
    <mergeCell ref="J3:J4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Soil Column Set-Up</vt:lpstr>
      <vt:lpstr>Leachate</vt:lpstr>
      <vt:lpstr>Column Breakdown (mass)</vt:lpstr>
      <vt:lpstr>Column Sub Sampling</vt:lpstr>
      <vt:lpstr>Top Layer Separation</vt:lpstr>
      <vt:lpstr>TATB Mass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Federica Persico [Researcher, CDS]</cp:lastModifiedBy>
  <cp:revision/>
  <dcterms:created xsi:type="dcterms:W3CDTF">2021-05-24T19:40:03Z</dcterms:created>
  <dcterms:modified xsi:type="dcterms:W3CDTF">2023-05-18T18:34:19Z</dcterms:modified>
  <cp:category/>
  <cp:contentStatus/>
</cp:coreProperties>
</file>