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filterPrivacy="1"/>
  <xr:revisionPtr revIDLastSave="0" documentId="13_ncr:1_{EE8F1D70-25C2-4B73-9625-FDD331C28917}" xr6:coauthVersionLast="46" xr6:coauthVersionMax="46" xr10:uidLastSave="{00000000-0000-0000-0000-000000000000}"/>
  <bookViews>
    <workbookView xWindow="-108" yWindow="-108" windowWidth="23256" windowHeight="12576" activeTab="5" xr2:uid="{00000000-000D-0000-FFFF-FFFF00000000}"/>
  </bookViews>
  <sheets>
    <sheet name="F&amp;C" sheetId="1" r:id="rId1"/>
    <sheet name="Sample7" sheetId="2" r:id="rId2"/>
    <sheet name="Sample8" sheetId="3" r:id="rId3"/>
    <sheet name="Sample9" sheetId="4" r:id="rId4"/>
    <sheet name="Average-15s" sheetId="7" r:id="rId5"/>
    <sheet name="Diss rates comparison" sheetId="8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4" l="1"/>
  <c r="B39" i="4"/>
  <c r="E41" i="4"/>
  <c r="B41" i="4"/>
  <c r="B40" i="4"/>
  <c r="E39" i="4"/>
  <c r="C39" i="4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5" i="4"/>
  <c r="E41" i="3"/>
  <c r="E40" i="3"/>
  <c r="E39" i="3"/>
  <c r="C39" i="3"/>
  <c r="D5" i="3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B40" i="2"/>
  <c r="E41" i="2"/>
  <c r="E40" i="2"/>
  <c r="E39" i="2"/>
  <c r="B41" i="2"/>
  <c r="B39" i="2"/>
  <c r="D6" i="2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5" i="2"/>
  <c r="E30" i="7"/>
  <c r="E29" i="7"/>
  <c r="R4" i="2" l="1"/>
  <c r="S4" i="2"/>
  <c r="Q4" i="2"/>
  <c r="R4" i="3"/>
  <c r="S4" i="3"/>
  <c r="Q4" i="3"/>
  <c r="R4" i="4"/>
  <c r="S4" i="4"/>
  <c r="Q4" i="4"/>
  <c r="P6" i="8"/>
  <c r="P7" i="8"/>
  <c r="P5" i="8"/>
  <c r="H9" i="7"/>
  <c r="I16" i="3" l="1"/>
  <c r="I17" i="3"/>
  <c r="I18" i="3"/>
  <c r="I19" i="3"/>
  <c r="I15" i="3"/>
  <c r="J16" i="3"/>
  <c r="J17" i="3"/>
  <c r="J18" i="3"/>
  <c r="J19" i="3"/>
  <c r="J15" i="3"/>
  <c r="H15" i="2"/>
  <c r="I15" i="2"/>
  <c r="J16" i="2"/>
  <c r="J17" i="2"/>
  <c r="J18" i="2"/>
  <c r="J19" i="2"/>
  <c r="J15" i="2"/>
  <c r="I16" i="2"/>
  <c r="I17" i="2"/>
  <c r="I18" i="2"/>
  <c r="I19" i="2"/>
  <c r="H16" i="2"/>
  <c r="H17" i="2"/>
  <c r="H18" i="2"/>
  <c r="H19" i="2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6" i="1"/>
  <c r="I6" i="3"/>
  <c r="I7" i="3"/>
  <c r="I8" i="3"/>
  <c r="I9" i="3"/>
  <c r="I10" i="3"/>
  <c r="L10" i="3" s="1"/>
  <c r="I11" i="3"/>
  <c r="L11" i="3" s="1"/>
  <c r="I12" i="3"/>
  <c r="I13" i="3"/>
  <c r="I14" i="3"/>
  <c r="I5" i="3"/>
  <c r="J6" i="2"/>
  <c r="J7" i="2"/>
  <c r="J8" i="2"/>
  <c r="J9" i="2"/>
  <c r="J10" i="2"/>
  <c r="J11" i="2"/>
  <c r="J12" i="2"/>
  <c r="J13" i="2"/>
  <c r="J14" i="2"/>
  <c r="J5" i="2"/>
  <c r="I6" i="2"/>
  <c r="I7" i="2"/>
  <c r="I8" i="2"/>
  <c r="I9" i="2"/>
  <c r="I10" i="2"/>
  <c r="I11" i="2"/>
  <c r="I12" i="2"/>
  <c r="I13" i="2"/>
  <c r="I14" i="2"/>
  <c r="I5" i="2"/>
  <c r="H6" i="2"/>
  <c r="H7" i="2"/>
  <c r="H8" i="2"/>
  <c r="H9" i="2"/>
  <c r="H10" i="2"/>
  <c r="H11" i="2"/>
  <c r="H12" i="2"/>
  <c r="H13" i="2"/>
  <c r="H14" i="2"/>
  <c r="H5" i="2"/>
  <c r="H16" i="4" l="1"/>
  <c r="H16" i="3"/>
  <c r="H17" i="3"/>
  <c r="H18" i="3"/>
  <c r="H19" i="3"/>
  <c r="H15" i="3"/>
  <c r="L5" i="2" l="1"/>
  <c r="H5" i="3" l="1"/>
  <c r="K5" i="3" s="1"/>
  <c r="N5" i="3" s="1"/>
  <c r="L5" i="3"/>
  <c r="J5" i="3"/>
  <c r="M5" i="3" s="1"/>
  <c r="P5" i="3" s="1"/>
  <c r="H6" i="3"/>
  <c r="K6" i="3" s="1"/>
  <c r="L6" i="3"/>
  <c r="J6" i="3"/>
  <c r="M6" i="3" s="1"/>
  <c r="H7" i="3"/>
  <c r="K7" i="3" s="1"/>
  <c r="L7" i="3"/>
  <c r="J7" i="3"/>
  <c r="M7" i="3" s="1"/>
  <c r="H8" i="3"/>
  <c r="K8" i="3" s="1"/>
  <c r="L8" i="3"/>
  <c r="J8" i="3"/>
  <c r="M8" i="3" s="1"/>
  <c r="H9" i="3"/>
  <c r="K9" i="3" s="1"/>
  <c r="L9" i="3"/>
  <c r="J9" i="3"/>
  <c r="M9" i="3" s="1"/>
  <c r="H10" i="3"/>
  <c r="K10" i="3" s="1"/>
  <c r="J10" i="3"/>
  <c r="M10" i="3" s="1"/>
  <c r="H11" i="3"/>
  <c r="K11" i="3" s="1"/>
  <c r="J11" i="3"/>
  <c r="M11" i="3" s="1"/>
  <c r="H12" i="3"/>
  <c r="K12" i="3" s="1"/>
  <c r="L12" i="3"/>
  <c r="J12" i="3"/>
  <c r="M12" i="3" s="1"/>
  <c r="H13" i="3"/>
  <c r="K13" i="3" s="1"/>
  <c r="L13" i="3"/>
  <c r="J13" i="3"/>
  <c r="M13" i="3" s="1"/>
  <c r="H14" i="3"/>
  <c r="K14" i="3" s="1"/>
  <c r="L14" i="3"/>
  <c r="J14" i="3"/>
  <c r="M14" i="3" s="1"/>
  <c r="K15" i="3"/>
  <c r="L15" i="3"/>
  <c r="M15" i="3"/>
  <c r="K16" i="3"/>
  <c r="L16" i="3"/>
  <c r="M16" i="3"/>
  <c r="K17" i="3"/>
  <c r="L17" i="3"/>
  <c r="M17" i="3"/>
  <c r="K18" i="3"/>
  <c r="L18" i="3"/>
  <c r="M18" i="3"/>
  <c r="K19" i="3"/>
  <c r="L19" i="3"/>
  <c r="M19" i="3"/>
  <c r="Q5" i="3" l="1"/>
  <c r="S5" i="3"/>
  <c r="O5" i="3"/>
  <c r="O9" i="3"/>
  <c r="R9" i="3" s="1"/>
  <c r="O10" i="3"/>
  <c r="R10" i="3" s="1"/>
  <c r="O11" i="3"/>
  <c r="R11" i="3" s="1"/>
  <c r="O7" i="3"/>
  <c r="R7" i="3" s="1"/>
  <c r="O19" i="3"/>
  <c r="R19" i="3" s="1"/>
  <c r="O14" i="3"/>
  <c r="O17" i="3"/>
  <c r="R17" i="3" s="1"/>
  <c r="O13" i="3"/>
  <c r="R13" i="3" s="1"/>
  <c r="O8" i="3"/>
  <c r="R8" i="3" s="1"/>
  <c r="O16" i="3"/>
  <c r="R16" i="3" s="1"/>
  <c r="O12" i="3"/>
  <c r="O6" i="3"/>
  <c r="R6" i="3" s="1"/>
  <c r="O18" i="3"/>
  <c r="R18" i="3" s="1"/>
  <c r="P16" i="3"/>
  <c r="S16" i="3" s="1"/>
  <c r="P14" i="3"/>
  <c r="P18" i="3"/>
  <c r="S18" i="3" s="1"/>
  <c r="P13" i="3"/>
  <c r="S13" i="3" s="1"/>
  <c r="P10" i="3"/>
  <c r="S10" i="3" s="1"/>
  <c r="P8" i="3"/>
  <c r="S8" i="3" s="1"/>
  <c r="P9" i="3"/>
  <c r="S9" i="3" s="1"/>
  <c r="P17" i="3"/>
  <c r="S17" i="3" s="1"/>
  <c r="P12" i="3"/>
  <c r="S12" i="3" s="1"/>
  <c r="N19" i="3"/>
  <c r="Q19" i="3" s="1"/>
  <c r="N18" i="3"/>
  <c r="Q18" i="3" s="1"/>
  <c r="N12" i="3"/>
  <c r="Q12" i="3" s="1"/>
  <c r="N14" i="3"/>
  <c r="Q14" i="3" s="1"/>
  <c r="N13" i="3"/>
  <c r="Q13" i="3" s="1"/>
  <c r="N10" i="3"/>
  <c r="Q10" i="3" s="1"/>
  <c r="N16" i="3"/>
  <c r="Q16" i="3" s="1"/>
  <c r="N6" i="3"/>
  <c r="N9" i="3"/>
  <c r="Q9" i="3" s="1"/>
  <c r="N17" i="3"/>
  <c r="Q17" i="3" s="1"/>
  <c r="N8" i="3"/>
  <c r="Q8" i="3" s="1"/>
  <c r="P7" i="3"/>
  <c r="S7" i="3" s="1"/>
  <c r="N7" i="3"/>
  <c r="P6" i="3"/>
  <c r="P19" i="3"/>
  <c r="S19" i="3" s="1"/>
  <c r="P15" i="3"/>
  <c r="S15" i="3" s="1"/>
  <c r="P11" i="3"/>
  <c r="S11" i="3" s="1"/>
  <c r="O15" i="3"/>
  <c r="R15" i="3" s="1"/>
  <c r="N15" i="3"/>
  <c r="Q15" i="3" s="1"/>
  <c r="N11" i="3"/>
  <c r="Q11" i="3" s="1"/>
  <c r="C9" i="7"/>
  <c r="D9" i="7"/>
  <c r="E9" i="7"/>
  <c r="F9" i="7"/>
  <c r="G9" i="7"/>
  <c r="C8" i="7"/>
  <c r="D8" i="7"/>
  <c r="E8" i="7"/>
  <c r="F8" i="7"/>
  <c r="G8" i="7"/>
  <c r="H8" i="7"/>
  <c r="D23" i="7"/>
  <c r="C23" i="7"/>
  <c r="B23" i="7"/>
  <c r="D22" i="7"/>
  <c r="C22" i="7"/>
  <c r="B22" i="7"/>
  <c r="D16" i="7"/>
  <c r="C16" i="7"/>
  <c r="B16" i="7"/>
  <c r="E16" i="7" s="1"/>
  <c r="D15" i="7"/>
  <c r="C15" i="7"/>
  <c r="B15" i="7"/>
  <c r="E15" i="7" s="1"/>
  <c r="B9" i="7"/>
  <c r="B8" i="7"/>
  <c r="B39" i="3" l="1"/>
  <c r="B41" i="3"/>
  <c r="B40" i="3"/>
  <c r="R14" i="3"/>
  <c r="B32" i="3"/>
  <c r="Q6" i="3"/>
  <c r="S14" i="3"/>
  <c r="B33" i="3"/>
  <c r="R5" i="3"/>
  <c r="B34" i="3"/>
  <c r="S6" i="3"/>
  <c r="C32" i="3"/>
  <c r="Q7" i="3"/>
  <c r="R12" i="3"/>
  <c r="E33" i="3"/>
  <c r="E34" i="3"/>
  <c r="E32" i="3"/>
  <c r="J16" i="4"/>
  <c r="M16" i="4" s="1"/>
  <c r="J17" i="4"/>
  <c r="M17" i="4" s="1"/>
  <c r="J18" i="4"/>
  <c r="M18" i="4" s="1"/>
  <c r="J19" i="4"/>
  <c r="M19" i="4" s="1"/>
  <c r="J15" i="4"/>
  <c r="M15" i="4" s="1"/>
  <c r="I16" i="4"/>
  <c r="L16" i="4" s="1"/>
  <c r="I17" i="4"/>
  <c r="L17" i="4" s="1"/>
  <c r="I18" i="4"/>
  <c r="L18" i="4" s="1"/>
  <c r="I19" i="4"/>
  <c r="L19" i="4" s="1"/>
  <c r="I15" i="4"/>
  <c r="L15" i="4" s="1"/>
  <c r="K16" i="4"/>
  <c r="H17" i="4"/>
  <c r="K17" i="4" s="1"/>
  <c r="H18" i="4"/>
  <c r="K18" i="4" s="1"/>
  <c r="H19" i="4"/>
  <c r="K19" i="4" s="1"/>
  <c r="H15" i="4"/>
  <c r="K15" i="4" s="1"/>
  <c r="I28" i="3"/>
  <c r="J28" i="3"/>
  <c r="H28" i="3"/>
  <c r="L18" i="2"/>
  <c r="M15" i="2"/>
  <c r="M16" i="2"/>
  <c r="M17" i="2"/>
  <c r="M18" i="2"/>
  <c r="M19" i="2"/>
  <c r="L15" i="2"/>
  <c r="L16" i="2"/>
  <c r="L17" i="2"/>
  <c r="L19" i="2"/>
  <c r="K16" i="2"/>
  <c r="K17" i="2"/>
  <c r="K18" i="2"/>
  <c r="K19" i="2"/>
  <c r="K15" i="2"/>
  <c r="J34" i="3" l="1"/>
  <c r="I34" i="3"/>
  <c r="H34" i="3"/>
  <c r="C21" i="4"/>
  <c r="K34" i="3" l="1"/>
  <c r="I25" i="4" l="1"/>
  <c r="K25" i="4"/>
  <c r="J25" i="4"/>
  <c r="L24" i="4"/>
  <c r="J6" i="4"/>
  <c r="J7" i="4"/>
  <c r="J8" i="4"/>
  <c r="J9" i="4"/>
  <c r="J10" i="4"/>
  <c r="M10" i="4" s="1"/>
  <c r="J11" i="4"/>
  <c r="M11" i="4" s="1"/>
  <c r="J12" i="4"/>
  <c r="J13" i="4"/>
  <c r="J14" i="4"/>
  <c r="J5" i="4"/>
  <c r="I6" i="4"/>
  <c r="I7" i="4"/>
  <c r="I8" i="4"/>
  <c r="I9" i="4"/>
  <c r="I10" i="4"/>
  <c r="L10" i="4" s="1"/>
  <c r="I11" i="4"/>
  <c r="L11" i="4" s="1"/>
  <c r="I12" i="4"/>
  <c r="I13" i="4"/>
  <c r="I14" i="4"/>
  <c r="I5" i="4"/>
  <c r="H6" i="4"/>
  <c r="H7" i="4"/>
  <c r="H8" i="4"/>
  <c r="H9" i="4"/>
  <c r="H10" i="4"/>
  <c r="K10" i="4" s="1"/>
  <c r="H11" i="4"/>
  <c r="K11" i="4" s="1"/>
  <c r="H12" i="4"/>
  <c r="H13" i="4"/>
  <c r="H14" i="4"/>
  <c r="H5" i="4"/>
  <c r="L25" i="4" l="1"/>
  <c r="H26" i="3"/>
  <c r="J26" i="3"/>
  <c r="I26" i="3"/>
  <c r="K25" i="3"/>
  <c r="J36" i="3" l="1"/>
  <c r="J35" i="3"/>
  <c r="J37" i="3" s="1"/>
  <c r="I36" i="3"/>
  <c r="I35" i="3"/>
  <c r="I37" i="3" s="1"/>
  <c r="H29" i="3"/>
  <c r="H35" i="3"/>
  <c r="H36" i="3"/>
  <c r="K26" i="3"/>
  <c r="K36" i="3" s="1"/>
  <c r="M14" i="4"/>
  <c r="L14" i="4"/>
  <c r="K14" i="4"/>
  <c r="M13" i="4"/>
  <c r="L13" i="4"/>
  <c r="K13" i="4"/>
  <c r="M12" i="4"/>
  <c r="L12" i="4"/>
  <c r="K12" i="4"/>
  <c r="M9" i="4"/>
  <c r="L9" i="4"/>
  <c r="K9" i="4"/>
  <c r="M8" i="4"/>
  <c r="L8" i="4"/>
  <c r="K8" i="4"/>
  <c r="M7" i="4"/>
  <c r="L7" i="4"/>
  <c r="K7" i="4"/>
  <c r="M6" i="4"/>
  <c r="L6" i="4"/>
  <c r="K6" i="4"/>
  <c r="M5" i="4"/>
  <c r="L5" i="4"/>
  <c r="K5" i="4"/>
  <c r="O10" i="4" l="1"/>
  <c r="R10" i="4" s="1"/>
  <c r="O16" i="4"/>
  <c r="R16" i="4" s="1"/>
  <c r="O6" i="4"/>
  <c r="R6" i="4" s="1"/>
  <c r="O9" i="4"/>
  <c r="R9" i="4" s="1"/>
  <c r="O11" i="4"/>
  <c r="R11" i="4" s="1"/>
  <c r="O14" i="4"/>
  <c r="R14" i="4" s="1"/>
  <c r="O17" i="4"/>
  <c r="R17" i="4" s="1"/>
  <c r="O12" i="4"/>
  <c r="R12" i="4" s="1"/>
  <c r="O13" i="4"/>
  <c r="R13" i="4" s="1"/>
  <c r="O18" i="4"/>
  <c r="R18" i="4" s="1"/>
  <c r="O15" i="4"/>
  <c r="R15" i="4" s="1"/>
  <c r="O5" i="4"/>
  <c r="R5" i="4" s="1"/>
  <c r="O7" i="4"/>
  <c r="R7" i="4" s="1"/>
  <c r="O19" i="4"/>
  <c r="R19" i="4" s="1"/>
  <c r="O8" i="4"/>
  <c r="R8" i="4" s="1"/>
  <c r="H37" i="3"/>
  <c r="K35" i="3"/>
  <c r="K37" i="3" s="1"/>
  <c r="N17" i="4"/>
  <c r="Q17" i="4" s="1"/>
  <c r="N19" i="4"/>
  <c r="N18" i="4"/>
  <c r="Q18" i="4" s="1"/>
  <c r="N16" i="4"/>
  <c r="Q16" i="4" s="1"/>
  <c r="N15" i="4"/>
  <c r="Q15" i="4" s="1"/>
  <c r="P16" i="4"/>
  <c r="S16" i="4" s="1"/>
  <c r="P17" i="4"/>
  <c r="S17" i="4" s="1"/>
  <c r="P18" i="4"/>
  <c r="S18" i="4" s="1"/>
  <c r="P19" i="4"/>
  <c r="P15" i="4"/>
  <c r="S15" i="4" s="1"/>
  <c r="N7" i="4"/>
  <c r="Q7" i="4" s="1"/>
  <c r="N9" i="4"/>
  <c r="Q9" i="4" s="1"/>
  <c r="N11" i="4"/>
  <c r="Q11" i="4" s="1"/>
  <c r="N5" i="4"/>
  <c r="Q5" i="4" s="1"/>
  <c r="P14" i="4"/>
  <c r="S14" i="4" s="1"/>
  <c r="N6" i="4"/>
  <c r="Q6" i="4" s="1"/>
  <c r="N13" i="4"/>
  <c r="Q13" i="4" s="1"/>
  <c r="P5" i="4"/>
  <c r="S5" i="4" s="1"/>
  <c r="P7" i="4"/>
  <c r="S7" i="4" s="1"/>
  <c r="P9" i="4"/>
  <c r="S9" i="4" s="1"/>
  <c r="P11" i="4"/>
  <c r="S11" i="4" s="1"/>
  <c r="P13" i="4"/>
  <c r="S13" i="4" s="1"/>
  <c r="N8" i="4"/>
  <c r="Q8" i="4" s="1"/>
  <c r="N10" i="4"/>
  <c r="Q10" i="4" s="1"/>
  <c r="N12" i="4"/>
  <c r="Q12" i="4" s="1"/>
  <c r="N14" i="4"/>
  <c r="Q14" i="4" s="1"/>
  <c r="P6" i="4"/>
  <c r="S6" i="4" s="1"/>
  <c r="P8" i="4"/>
  <c r="S8" i="4" s="1"/>
  <c r="P10" i="4"/>
  <c r="S10" i="4" s="1"/>
  <c r="P12" i="4"/>
  <c r="S12" i="4" s="1"/>
  <c r="I27" i="2"/>
  <c r="J27" i="2"/>
  <c r="K26" i="2"/>
  <c r="H27" i="2"/>
  <c r="M6" i="2"/>
  <c r="M7" i="2"/>
  <c r="M8" i="2"/>
  <c r="M9" i="2"/>
  <c r="M10" i="2"/>
  <c r="M11" i="2"/>
  <c r="M12" i="2"/>
  <c r="M13" i="2"/>
  <c r="M14" i="2"/>
  <c r="M5" i="2"/>
  <c r="L6" i="2"/>
  <c r="L7" i="2"/>
  <c r="L8" i="2"/>
  <c r="L9" i="2"/>
  <c r="L10" i="2"/>
  <c r="L11" i="2"/>
  <c r="L12" i="2"/>
  <c r="L13" i="2"/>
  <c r="L14" i="2"/>
  <c r="K6" i="2"/>
  <c r="K7" i="2"/>
  <c r="K8" i="2"/>
  <c r="K9" i="2"/>
  <c r="K10" i="2"/>
  <c r="K11" i="2"/>
  <c r="K12" i="2"/>
  <c r="K14" i="2"/>
  <c r="K5" i="2"/>
  <c r="J33" i="4" l="1"/>
  <c r="I33" i="4"/>
  <c r="Q19" i="4"/>
  <c r="K33" i="4"/>
  <c r="K34" i="4" s="1"/>
  <c r="K36" i="4" s="1"/>
  <c r="S19" i="4"/>
  <c r="D34" i="4"/>
  <c r="C33" i="4"/>
  <c r="B34" i="4"/>
  <c r="B33" i="4"/>
  <c r="I29" i="2"/>
  <c r="I30" i="2" s="1"/>
  <c r="D35" i="4"/>
  <c r="K27" i="4"/>
  <c r="K29" i="4" s="1"/>
  <c r="J27" i="4"/>
  <c r="J29" i="4" s="1"/>
  <c r="J35" i="4"/>
  <c r="J34" i="4"/>
  <c r="J36" i="4" s="1"/>
  <c r="I35" i="4"/>
  <c r="D33" i="4"/>
  <c r="I27" i="4"/>
  <c r="I28" i="4" s="1"/>
  <c r="P6" i="2"/>
  <c r="S6" i="2" s="1"/>
  <c r="P15" i="2"/>
  <c r="S15" i="2" s="1"/>
  <c r="M20" i="2"/>
  <c r="P16" i="2"/>
  <c r="S16" i="2" s="1"/>
  <c r="P18" i="2"/>
  <c r="S18" i="2" s="1"/>
  <c r="J35" i="2"/>
  <c r="P17" i="2"/>
  <c r="S17" i="2" s="1"/>
  <c r="J29" i="2"/>
  <c r="J31" i="2" s="1"/>
  <c r="J32" i="2" s="1"/>
  <c r="P19" i="2"/>
  <c r="P14" i="2"/>
  <c r="S14" i="2" s="1"/>
  <c r="L20" i="2"/>
  <c r="O16" i="2"/>
  <c r="R16" i="2" s="1"/>
  <c r="I35" i="2"/>
  <c r="O18" i="2"/>
  <c r="R18" i="2" s="1"/>
  <c r="O17" i="2"/>
  <c r="R17" i="2" s="1"/>
  <c r="O19" i="2"/>
  <c r="O15" i="2"/>
  <c r="R15" i="2" s="1"/>
  <c r="B35" i="4"/>
  <c r="O12" i="2"/>
  <c r="R12" i="2" s="1"/>
  <c r="O5" i="2"/>
  <c r="R5" i="2" s="1"/>
  <c r="O10" i="2"/>
  <c r="R10" i="2" s="1"/>
  <c r="J30" i="3"/>
  <c r="J29" i="3"/>
  <c r="J31" i="3" s="1"/>
  <c r="I30" i="3"/>
  <c r="I29" i="3"/>
  <c r="H30" i="3"/>
  <c r="K28" i="3"/>
  <c r="K30" i="3" s="1"/>
  <c r="K27" i="2"/>
  <c r="N11" i="2"/>
  <c r="Q11" i="2" s="1"/>
  <c r="N10" i="2"/>
  <c r="Q10" i="2" s="1"/>
  <c r="N9" i="2"/>
  <c r="Q9" i="2" s="1"/>
  <c r="N8" i="2"/>
  <c r="Q8" i="2" s="1"/>
  <c r="N7" i="2"/>
  <c r="Q7" i="2" s="1"/>
  <c r="N5" i="2"/>
  <c r="N6" i="2"/>
  <c r="Q6" i="2" s="1"/>
  <c r="N12" i="2"/>
  <c r="P11" i="2"/>
  <c r="S11" i="2" s="1"/>
  <c r="O11" i="2"/>
  <c r="R11" i="2" s="1"/>
  <c r="P10" i="2"/>
  <c r="S10" i="2" s="1"/>
  <c r="O6" i="2"/>
  <c r="R6" i="2" s="1"/>
  <c r="P9" i="2"/>
  <c r="O9" i="2"/>
  <c r="P8" i="2"/>
  <c r="S8" i="2" s="1"/>
  <c r="O14" i="2"/>
  <c r="R14" i="2" s="1"/>
  <c r="O8" i="2"/>
  <c r="R8" i="2" s="1"/>
  <c r="P13" i="2"/>
  <c r="S13" i="2" s="1"/>
  <c r="P7" i="2"/>
  <c r="S7" i="2" s="1"/>
  <c r="O13" i="2"/>
  <c r="R13" i="2" s="1"/>
  <c r="O7" i="2"/>
  <c r="R7" i="2" s="1"/>
  <c r="P12" i="2"/>
  <c r="S12" i="2" s="1"/>
  <c r="P5" i="2"/>
  <c r="S5" i="2" s="1"/>
  <c r="L33" i="4" l="1"/>
  <c r="L35" i="4" s="1"/>
  <c r="K35" i="4"/>
  <c r="I34" i="4"/>
  <c r="I36" i="4" s="1"/>
  <c r="S9" i="2"/>
  <c r="Q12" i="2"/>
  <c r="R19" i="2"/>
  <c r="Q5" i="2"/>
  <c r="S19" i="2"/>
  <c r="R9" i="2"/>
  <c r="I31" i="3"/>
  <c r="K29" i="3"/>
  <c r="K31" i="3" s="1"/>
  <c r="E36" i="2"/>
  <c r="J28" i="4"/>
  <c r="J30" i="4" s="1"/>
  <c r="I29" i="4"/>
  <c r="L27" i="4"/>
  <c r="L29" i="4" s="1"/>
  <c r="K28" i="4"/>
  <c r="K30" i="4" s="1"/>
  <c r="I36" i="2"/>
  <c r="I38" i="2" s="1"/>
  <c r="I37" i="2"/>
  <c r="J30" i="2"/>
  <c r="J36" i="2"/>
  <c r="J38" i="2" s="1"/>
  <c r="J37" i="2"/>
  <c r="I31" i="2"/>
  <c r="I32" i="2" s="1"/>
  <c r="E35" i="2"/>
  <c r="I30" i="4"/>
  <c r="B35" i="2"/>
  <c r="B34" i="2"/>
  <c r="K13" i="2" s="1"/>
  <c r="B36" i="2"/>
  <c r="H31" i="3"/>
  <c r="L34" i="4" l="1"/>
  <c r="L36" i="4" s="1"/>
  <c r="N19" i="2"/>
  <c r="N17" i="2"/>
  <c r="Q17" i="2" s="1"/>
  <c r="K20" i="2"/>
  <c r="N16" i="2"/>
  <c r="Q16" i="2" s="1"/>
  <c r="N18" i="2"/>
  <c r="Q18" i="2" s="1"/>
  <c r="N13" i="2"/>
  <c r="N15" i="2"/>
  <c r="Q15" i="2" s="1"/>
  <c r="N14" i="2"/>
  <c r="Q14" i="2" s="1"/>
  <c r="H29" i="2"/>
  <c r="H35" i="2"/>
  <c r="L28" i="4"/>
  <c r="L30" i="4" s="1"/>
  <c r="Q13" i="2" l="1"/>
  <c r="C39" i="2"/>
  <c r="Q19" i="2"/>
  <c r="C34" i="2"/>
  <c r="E34" i="2"/>
  <c r="H30" i="2"/>
  <c r="K30" i="2" s="1"/>
  <c r="K32" i="2" s="1"/>
  <c r="K29" i="2"/>
  <c r="K31" i="2" s="1"/>
  <c r="H31" i="2"/>
  <c r="H32" i="2" s="1"/>
  <c r="H36" i="2"/>
  <c r="K35" i="2"/>
  <c r="K37" i="2" s="1"/>
  <c r="H37" i="2"/>
  <c r="H38" i="2" l="1"/>
  <c r="K36" i="2"/>
  <c r="K38" i="2" s="1"/>
</calcChain>
</file>

<file path=xl/sharedStrings.xml><?xml version="1.0" encoding="utf-8"?>
<sst xmlns="http://schemas.openxmlformats.org/spreadsheetml/2006/main" count="302" uniqueCount="84">
  <si>
    <t>Flakes and crumbles (15-09-20)</t>
  </si>
  <si>
    <t>Flakes</t>
  </si>
  <si>
    <t>Initial weght (mg)</t>
  </si>
  <si>
    <t>Flake 1</t>
  </si>
  <si>
    <t>Session</t>
  </si>
  <si>
    <t>Vol (mL)</t>
  </si>
  <si>
    <t>-</t>
  </si>
  <si>
    <t>Total</t>
  </si>
  <si>
    <t>NTO</t>
  </si>
  <si>
    <t>DNAN</t>
  </si>
  <si>
    <t>RDX</t>
  </si>
  <si>
    <t>Area</t>
  </si>
  <si>
    <t>Standards</t>
  </si>
  <si>
    <t>Conc (ppm)</t>
  </si>
  <si>
    <t>Area (AU)</t>
  </si>
  <si>
    <t>Time (min)</t>
  </si>
  <si>
    <t>lambda (nm)</t>
  </si>
  <si>
    <t>nd</t>
  </si>
  <si>
    <t>Mass (mg)</t>
  </si>
  <si>
    <t>Cummulative (mg)</t>
  </si>
  <si>
    <t>%</t>
  </si>
  <si>
    <t>Mass balance</t>
  </si>
  <si>
    <t xml:space="preserve">InitiL mass </t>
  </si>
  <si>
    <t>diss (mg)</t>
  </si>
  <si>
    <t>initial</t>
  </si>
  <si>
    <t>solid</t>
  </si>
  <si>
    <t>% diss</t>
  </si>
  <si>
    <t>% solid</t>
  </si>
  <si>
    <t>Gravimetry</t>
  </si>
  <si>
    <t>Dissolution rate (mg/min)</t>
  </si>
  <si>
    <t>Diss rate</t>
  </si>
  <si>
    <t>NTO 1</t>
  </si>
  <si>
    <t>NTO 2</t>
  </si>
  <si>
    <t>Average</t>
  </si>
  <si>
    <t>Error</t>
  </si>
  <si>
    <t xml:space="preserve">NTO </t>
  </si>
  <si>
    <t>Dissolved (%)</t>
  </si>
  <si>
    <t>Solid (%)</t>
  </si>
  <si>
    <t>R</t>
  </si>
  <si>
    <t>FLAKES</t>
  </si>
  <si>
    <t>Conc 2</t>
  </si>
  <si>
    <t>Area 2</t>
  </si>
  <si>
    <t>1st attemp</t>
  </si>
  <si>
    <t>2nd attemp</t>
  </si>
  <si>
    <t>STANDARDS</t>
  </si>
  <si>
    <t>MASS BALANCE</t>
  </si>
  <si>
    <t>15-50</t>
  </si>
  <si>
    <t>50-100</t>
  </si>
  <si>
    <t>Diss rate (mg/min)</t>
  </si>
  <si>
    <t>0-15</t>
  </si>
  <si>
    <t>1st attempt</t>
  </si>
  <si>
    <t>2nd attempt</t>
  </si>
  <si>
    <t>NTO3</t>
  </si>
  <si>
    <t>DNAN2</t>
  </si>
  <si>
    <t>RDX2</t>
  </si>
  <si>
    <t>Peak 1(?)</t>
  </si>
  <si>
    <t>Peak 2 (NTO)</t>
  </si>
  <si>
    <t>Area of peaks flakes 7-9 session 2</t>
  </si>
  <si>
    <t>Flake 7</t>
  </si>
  <si>
    <t>Session 11</t>
  </si>
  <si>
    <t>Session 12</t>
  </si>
  <si>
    <t>Session 13</t>
  </si>
  <si>
    <t>Session 14</t>
  </si>
  <si>
    <t>Session 15</t>
  </si>
  <si>
    <t>Flake 8</t>
  </si>
  <si>
    <t>Flake 9</t>
  </si>
  <si>
    <t>Both</t>
  </si>
  <si>
    <t>Dissolution rate of IMX (mg/min)</t>
  </si>
  <si>
    <t>Medium</t>
  </si>
  <si>
    <t>0-15 min</t>
  </si>
  <si>
    <t>15-50 min</t>
  </si>
  <si>
    <t>50-100 min</t>
  </si>
  <si>
    <t>0-50min</t>
  </si>
  <si>
    <t>0-50 min</t>
  </si>
  <si>
    <t>DI water</t>
  </si>
  <si>
    <t>Rain water</t>
  </si>
  <si>
    <t>Acid rain water</t>
  </si>
  <si>
    <t>Percentage dissolved  Distilled water</t>
  </si>
  <si>
    <t>Dissolved</t>
  </si>
  <si>
    <t>mg/min</t>
  </si>
  <si>
    <t>% dissolved</t>
  </si>
  <si>
    <t>Cum</t>
  </si>
  <si>
    <t>Diss rate (mg/L)</t>
  </si>
  <si>
    <t>Total comparison session 1-15, DI, neutral rain and acid rain 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</si>
</sst>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"/>
  </numFmts>
  <fonts count="1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8"/>
      <name val="Arial"/>
      <family val="2"/>
    </font>
    <font>
      <sz val="11"/>
      <color rgb="FF000000"/>
      <name val="Calibri"/>
      <family val="2"/>
    </font>
    <font>
      <sz val="10.5"/>
      <color rgb="FF000000"/>
      <name val="Calibri"/>
      <family val="2"/>
    </font>
    <font>
      <b/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/>
    <xf numFmtId="164" fontId="0" fillId="0" borderId="0" xfId="0" applyNumberFormat="1"/>
    <xf numFmtId="164" fontId="0" fillId="0" borderId="0" xfId="0" applyNumberFormat="1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2" fontId="0" fillId="0" borderId="0" xfId="0" applyNumberFormat="1"/>
    <xf numFmtId="0" fontId="0" fillId="0" borderId="5" xfId="0" applyBorder="1"/>
    <xf numFmtId="0" fontId="0" fillId="0" borderId="9" xfId="0" applyBorder="1"/>
    <xf numFmtId="2" fontId="0" fillId="0" borderId="5" xfId="0" applyNumberFormat="1" applyBorder="1"/>
    <xf numFmtId="2" fontId="0" fillId="0" borderId="0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" xfId="0" applyNumberFormat="1" applyBorder="1"/>
    <xf numFmtId="2" fontId="0" fillId="0" borderId="11" xfId="0" applyNumberForma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0" xfId="0" applyFont="1"/>
    <xf numFmtId="1" fontId="0" fillId="0" borderId="0" xfId="0" applyNumberFormat="1"/>
    <xf numFmtId="164" fontId="2" fillId="0" borderId="0" xfId="0" applyNumberFormat="1" applyFont="1"/>
    <xf numFmtId="165" fontId="0" fillId="0" borderId="0" xfId="0" applyNumberFormat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5" xfId="0" applyFill="1" applyBorder="1"/>
    <xf numFmtId="0" fontId="0" fillId="3" borderId="0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" xfId="0" applyFill="1" applyBorder="1"/>
    <xf numFmtId="0" fontId="0" fillId="3" borderId="11" xfId="0" applyFill="1" applyBorder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2" borderId="0" xfId="0" applyFill="1"/>
    <xf numFmtId="164" fontId="0" fillId="0" borderId="0" xfId="0" applyNumberFormat="1" applyFont="1"/>
    <xf numFmtId="164" fontId="0" fillId="0" borderId="10" xfId="0" applyNumberFormat="1" applyBorder="1"/>
    <xf numFmtId="164" fontId="0" fillId="0" borderId="1" xfId="0" applyNumberFormat="1" applyBorder="1"/>
    <xf numFmtId="164" fontId="0" fillId="0" borderId="11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0" fontId="0" fillId="0" borderId="10" xfId="0" applyBorder="1"/>
    <xf numFmtId="0" fontId="0" fillId="0" borderId="1" xfId="0" applyBorder="1"/>
    <xf numFmtId="164" fontId="0" fillId="0" borderId="5" xfId="0" applyNumberFormat="1" applyBorder="1"/>
    <xf numFmtId="164" fontId="0" fillId="0" borderId="9" xfId="0" applyNumberFormat="1" applyBorder="1"/>
    <xf numFmtId="164" fontId="0" fillId="0" borderId="6" xfId="0" applyNumberFormat="1" applyBorder="1"/>
    <xf numFmtId="164" fontId="0" fillId="0" borderId="8" xfId="0" applyNumberFormat="1" applyBorder="1"/>
    <xf numFmtId="0" fontId="0" fillId="0" borderId="11" xfId="0" applyBorder="1"/>
    <xf numFmtId="0" fontId="0" fillId="0" borderId="0" xfId="0" applyFill="1" applyBorder="1"/>
    <xf numFmtId="164" fontId="3" fillId="0" borderId="0" xfId="0" applyNumberFormat="1" applyFont="1"/>
    <xf numFmtId="0" fontId="3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0" fontId="0" fillId="3" borderId="12" xfId="0" applyFill="1" applyBorder="1"/>
    <xf numFmtId="0" fontId="2" fillId="3" borderId="15" xfId="0" applyFont="1" applyFill="1" applyBorder="1"/>
    <xf numFmtId="0" fontId="0" fillId="3" borderId="0" xfId="0" applyFont="1" applyFill="1" applyBorder="1" applyAlignment="1">
      <alignment horizontal="center"/>
    </xf>
    <xf numFmtId="0" fontId="0" fillId="3" borderId="16" xfId="0" applyFont="1" applyFill="1" applyBorder="1" applyAlignment="1">
      <alignment horizontal="center"/>
    </xf>
    <xf numFmtId="0" fontId="0" fillId="3" borderId="15" xfId="0" applyFill="1" applyBorder="1"/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13" xfId="0" applyFill="1" applyBorder="1"/>
    <xf numFmtId="0" fontId="0" fillId="3" borderId="14" xfId="0" applyFill="1" applyBorder="1"/>
    <xf numFmtId="165" fontId="0" fillId="3" borderId="13" xfId="0" applyNumberFormat="1" applyFill="1" applyBorder="1"/>
    <xf numFmtId="166" fontId="0" fillId="3" borderId="16" xfId="0" applyNumberFormat="1" applyFill="1" applyBorder="1"/>
    <xf numFmtId="166" fontId="0" fillId="3" borderId="19" xfId="0" applyNumberFormat="1" applyFill="1" applyBorder="1"/>
    <xf numFmtId="166" fontId="0" fillId="0" borderId="0" xfId="0" applyNumberFormat="1" applyFill="1" applyBorder="1"/>
    <xf numFmtId="164" fontId="0" fillId="0" borderId="7" xfId="0" applyNumberFormat="1" applyBorder="1"/>
    <xf numFmtId="0" fontId="0" fillId="0" borderId="1" xfId="0" applyFill="1" applyBorder="1"/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5" borderId="7" xfId="0" applyFill="1" applyBorder="1"/>
    <xf numFmtId="0" fontId="0" fillId="5" borderId="8" xfId="0" applyFill="1" applyBorder="1"/>
    <xf numFmtId="0" fontId="0" fillId="5" borderId="0" xfId="0" applyFill="1" applyBorder="1"/>
    <xf numFmtId="0" fontId="0" fillId="5" borderId="9" xfId="0" applyFill="1" applyBorder="1"/>
    <xf numFmtId="0" fontId="0" fillId="5" borderId="1" xfId="0" applyFill="1" applyBorder="1"/>
    <xf numFmtId="0" fontId="0" fillId="5" borderId="11" xfId="0" applyFill="1" applyBorder="1"/>
    <xf numFmtId="0" fontId="0" fillId="6" borderId="7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4" borderId="23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5" borderId="23" xfId="0" applyFill="1" applyBorder="1"/>
    <xf numFmtId="0" fontId="0" fillId="5" borderId="24" xfId="0" applyFill="1" applyBorder="1"/>
    <xf numFmtId="0" fontId="0" fillId="5" borderId="25" xfId="0" applyFill="1" applyBorder="1"/>
    <xf numFmtId="0" fontId="0" fillId="0" borderId="23" xfId="0" applyBorder="1"/>
    <xf numFmtId="0" fontId="0" fillId="0" borderId="5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164" fontId="4" fillId="0" borderId="0" xfId="0" applyNumberFormat="1" applyFont="1" applyAlignment="1">
      <alignment horizontal="right"/>
    </xf>
    <xf numFmtId="164" fontId="0" fillId="0" borderId="0" xfId="0" applyNumberFormat="1" applyFill="1"/>
    <xf numFmtId="164" fontId="0" fillId="0" borderId="9" xfId="0" applyNumberFormat="1" applyFill="1" applyBorder="1"/>
    <xf numFmtId="0" fontId="7" fillId="0" borderId="0" xfId="0" applyFont="1" applyAlignment="1">
      <alignment horizontal="center" wrapText="1" readingOrder="1"/>
    </xf>
    <xf numFmtId="0" fontId="6" fillId="0" borderId="31" xfId="0" applyFont="1" applyBorder="1" applyAlignment="1">
      <alignment wrapText="1"/>
    </xf>
    <xf numFmtId="0" fontId="7" fillId="0" borderId="34" xfId="0" applyFont="1" applyBorder="1" applyAlignment="1">
      <alignment horizontal="center" wrapText="1" readingOrder="1"/>
    </xf>
    <xf numFmtId="0" fontId="7" fillId="0" borderId="31" xfId="0" applyFont="1" applyBorder="1" applyAlignment="1">
      <alignment horizontal="center" wrapText="1" readingOrder="1"/>
    </xf>
    <xf numFmtId="0" fontId="7" fillId="0" borderId="37" xfId="0" applyFont="1" applyBorder="1" applyAlignment="1">
      <alignment horizontal="center" wrapText="1" readingOrder="1"/>
    </xf>
    <xf numFmtId="0" fontId="8" fillId="0" borderId="35" xfId="0" applyFont="1" applyFill="1" applyBorder="1" applyAlignment="1">
      <alignment horizontal="center" wrapText="1" readingOrder="1"/>
    </xf>
    <xf numFmtId="0" fontId="8" fillId="0" borderId="36" xfId="0" applyFont="1" applyFill="1" applyBorder="1" applyAlignment="1">
      <alignment horizontal="center" wrapText="1" readingOrder="1"/>
    </xf>
    <xf numFmtId="0" fontId="7" fillId="0" borderId="32" xfId="0" applyFont="1" applyFill="1" applyBorder="1" applyAlignment="1">
      <alignment horizontal="center" wrapText="1" readingOrder="1"/>
    </xf>
    <xf numFmtId="0" fontId="7" fillId="0" borderId="33" xfId="0" applyFont="1" applyFill="1" applyBorder="1" applyAlignment="1">
      <alignment horizontal="center" wrapText="1" readingOrder="1"/>
    </xf>
    <xf numFmtId="0" fontId="7" fillId="0" borderId="0" xfId="0" applyFont="1" applyFill="1" applyAlignment="1">
      <alignment horizontal="center" wrapText="1" readingOrder="1"/>
    </xf>
    <xf numFmtId="0" fontId="7" fillId="0" borderId="38" xfId="0" applyFont="1" applyFill="1" applyBorder="1" applyAlignment="1">
      <alignment horizontal="center" wrapText="1" readingOrder="1"/>
    </xf>
    <xf numFmtId="0" fontId="7" fillId="0" borderId="35" xfId="0" applyFont="1" applyFill="1" applyBorder="1" applyAlignment="1">
      <alignment horizontal="center" wrapText="1" readingOrder="1"/>
    </xf>
    <xf numFmtId="0" fontId="7" fillId="0" borderId="36" xfId="0" applyFont="1" applyFill="1" applyBorder="1" applyAlignment="1">
      <alignment horizontal="center" wrapText="1" readingOrder="1"/>
    </xf>
    <xf numFmtId="0" fontId="6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wrapText="1" readingOrder="1"/>
    </xf>
    <xf numFmtId="0" fontId="7" fillId="0" borderId="32" xfId="0" applyFont="1" applyBorder="1" applyAlignment="1">
      <alignment horizontal="center" wrapText="1" readingOrder="1"/>
    </xf>
    <xf numFmtId="0" fontId="9" fillId="0" borderId="33" xfId="0" applyFont="1" applyBorder="1" applyAlignment="1">
      <alignment horizontal="center" wrapText="1" readingOrder="1"/>
    </xf>
    <xf numFmtId="0" fontId="9" fillId="0" borderId="38" xfId="0" applyFont="1" applyBorder="1" applyAlignment="1">
      <alignment horizontal="center" wrapText="1" readingOrder="1"/>
    </xf>
    <xf numFmtId="0" fontId="9" fillId="0" borderId="27" xfId="0" applyFont="1" applyBorder="1" applyAlignment="1">
      <alignment horizontal="center" wrapText="1" readingOrder="1"/>
    </xf>
    <xf numFmtId="0" fontId="7" fillId="0" borderId="35" xfId="0" applyFont="1" applyBorder="1" applyAlignment="1">
      <alignment horizontal="center" wrapText="1" readingOrder="1"/>
    </xf>
    <xf numFmtId="0" fontId="9" fillId="0" borderId="36" xfId="0" applyFont="1" applyBorder="1" applyAlignment="1">
      <alignment horizontal="center" wrapText="1" readingOrder="1"/>
    </xf>
    <xf numFmtId="0" fontId="7" fillId="0" borderId="39" xfId="0" applyFont="1" applyFill="1" applyBorder="1" applyAlignment="1">
      <alignment horizontal="center" wrapText="1" readingOrder="1"/>
    </xf>
    <xf numFmtId="0" fontId="0" fillId="7" borderId="26" xfId="0" applyFill="1" applyBorder="1" applyAlignment="1">
      <alignment horizontal="center" vertical="center"/>
    </xf>
    <xf numFmtId="165" fontId="2" fillId="7" borderId="26" xfId="0" applyNumberFormat="1" applyFont="1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165" fontId="2" fillId="8" borderId="26" xfId="0" applyNumberFormat="1" applyFont="1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165" fontId="2" fillId="6" borderId="26" xfId="0" applyNumberFormat="1" applyFont="1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166" fontId="2" fillId="7" borderId="26" xfId="0" applyNumberFormat="1" applyFont="1" applyFill="1" applyBorder="1" applyAlignment="1">
      <alignment horizontal="center" vertical="center"/>
    </xf>
    <xf numFmtId="167" fontId="2" fillId="8" borderId="26" xfId="0" applyNumberFormat="1" applyFont="1" applyFill="1" applyBorder="1" applyAlignment="1">
      <alignment horizontal="center" vertical="center"/>
    </xf>
    <xf numFmtId="167" fontId="2" fillId="6" borderId="26" xfId="0" applyNumberFormat="1" applyFont="1" applyFill="1" applyBorder="1" applyAlignment="1">
      <alignment horizontal="center" vertical="center"/>
    </xf>
    <xf numFmtId="167" fontId="0" fillId="0" borderId="0" xfId="0" applyNumberFormat="1"/>
    <xf numFmtId="0" fontId="2" fillId="0" borderId="6" xfId="0" applyFont="1" applyBorder="1"/>
    <xf numFmtId="166" fontId="0" fillId="0" borderId="9" xfId="0" applyNumberFormat="1" applyFill="1" applyBorder="1"/>
    <xf numFmtId="0" fontId="2" fillId="0" borderId="5" xfId="0" applyFont="1" applyBorder="1"/>
    <xf numFmtId="165" fontId="2" fillId="0" borderId="0" xfId="0" applyNumberFormat="1" applyFont="1" applyBorder="1"/>
    <xf numFmtId="165" fontId="2" fillId="0" borderId="9" xfId="0" applyNumberFormat="1" applyFont="1" applyBorder="1"/>
    <xf numFmtId="0" fontId="2" fillId="0" borderId="10" xfId="0" applyFont="1" applyBorder="1"/>
    <xf numFmtId="165" fontId="2" fillId="0" borderId="1" xfId="0" applyNumberFormat="1" applyFont="1" applyBorder="1"/>
    <xf numFmtId="165" fontId="2" fillId="0" borderId="11" xfId="0" applyNumberFormat="1" applyFont="1" applyBorder="1"/>
    <xf numFmtId="0" fontId="0" fillId="6" borderId="6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7" fillId="0" borderId="28" xfId="0" applyFont="1" applyBorder="1" applyAlignment="1">
      <alignment horizontal="center" wrapText="1" readingOrder="1"/>
    </xf>
    <xf numFmtId="0" fontId="7" fillId="0" borderId="29" xfId="0" applyFont="1" applyBorder="1" applyAlignment="1">
      <alignment horizontal="center" wrapText="1" readingOrder="1"/>
    </xf>
    <xf numFmtId="0" fontId="7" fillId="0" borderId="30" xfId="0" applyFont="1" applyBorder="1" applyAlignment="1">
      <alignment horizontal="center" wrapText="1" readingOrder="1"/>
    </xf>
    <xf numFmtId="0" fontId="7" fillId="0" borderId="32" xfId="0" applyFont="1" applyFill="1" applyBorder="1" applyAlignment="1">
      <alignment horizontal="center" wrapText="1" readingOrder="1"/>
    </xf>
    <xf numFmtId="0" fontId="7" fillId="0" borderId="33" xfId="0" applyFont="1" applyFill="1" applyBorder="1" applyAlignment="1">
      <alignment horizontal="center" wrapText="1" readingOrder="1"/>
    </xf>
    <xf numFmtId="0" fontId="9" fillId="0" borderId="28" xfId="0" applyFont="1" applyBorder="1" applyAlignment="1">
      <alignment horizontal="center" wrapText="1" readingOrder="1"/>
    </xf>
    <xf numFmtId="0" fontId="9" fillId="0" borderId="29" xfId="0" applyFont="1" applyBorder="1" applyAlignment="1">
      <alignment horizontal="center" wrapText="1" readingOrder="1"/>
    </xf>
    <xf numFmtId="0" fontId="9" fillId="0" borderId="30" xfId="0" applyFont="1" applyBorder="1" applyAlignment="1">
      <alignment horizont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Sample7!$A$4:$A$8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Sample7!$N$4:$N$7</c:f>
              <c:numCache>
                <c:formatCode>0.00</c:formatCode>
                <c:ptCount val="4"/>
                <c:pt idx="0" formatCode="General">
                  <c:v>0</c:v>
                </c:pt>
                <c:pt idx="1">
                  <c:v>1.2392311101461737</c:v>
                </c:pt>
                <c:pt idx="2">
                  <c:v>2.0668682773469866</c:v>
                </c:pt>
                <c:pt idx="3">
                  <c:v>2.8039730680762918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6C-4018-9BF3-C4DC9E14ED2B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Sample7!$O$4:$O$14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4.3544943647579645E-2</c:v>
                </c:pt>
                <c:pt idx="2">
                  <c:v>7.6868953084176184E-2</c:v>
                </c:pt>
                <c:pt idx="3">
                  <c:v>0.1174391517326841</c:v>
                </c:pt>
                <c:pt idx="4">
                  <c:v>0.15079942233297661</c:v>
                </c:pt>
                <c:pt idx="5">
                  <c:v>0.18443769518827158</c:v>
                </c:pt>
                <c:pt idx="6">
                  <c:v>0.21958684986423194</c:v>
                </c:pt>
                <c:pt idx="7">
                  <c:v>0.25075936358820095</c:v>
                </c:pt>
                <c:pt idx="8">
                  <c:v>0.28279283820885792</c:v>
                </c:pt>
                <c:pt idx="9">
                  <c:v>0.31505318684370598</c:v>
                </c:pt>
                <c:pt idx="10">
                  <c:v>0.34658408173553679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6C-4018-9BF3-C4DC9E14ED2B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628280839895014"/>
                  <c:y val="8.4474701079031878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Sample7!$P$4:$P$14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8.0588096474253079E-3</c:v>
                </c:pt>
                <c:pt idx="2">
                  <c:v>1.1815830462075801E-2</c:v>
                </c:pt>
                <c:pt idx="3">
                  <c:v>1.979323799185035E-2</c:v>
                </c:pt>
                <c:pt idx="4">
                  <c:v>1.979323799185035E-2</c:v>
                </c:pt>
                <c:pt idx="5">
                  <c:v>3.9392363241610426E-2</c:v>
                </c:pt>
                <c:pt idx="6">
                  <c:v>5.6330265414326397E-2</c:v>
                </c:pt>
                <c:pt idx="7">
                  <c:v>7.9968188039835741E-2</c:v>
                </c:pt>
                <c:pt idx="8">
                  <c:v>0.10767809505829046</c:v>
                </c:pt>
                <c:pt idx="9">
                  <c:v>0.13175433677884235</c:v>
                </c:pt>
                <c:pt idx="10">
                  <c:v>0.14427648715407246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56C-4018-9BF3-C4DC9E14ED2B}"/>
            </c:ext>
          </c:extLst>
        </c:ser>
        <c:ser>
          <c:idx val="3"/>
          <c:order val="3"/>
          <c:tx>
            <c:v>NTO2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707611548556425"/>
                  <c:y val="-4.0958742756519803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Sample7!$A$7:$A$14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xVal>
          <c:yVal>
            <c:numRef>
              <c:f>Sample7!$N$7:$N$14</c:f>
              <c:numCache>
                <c:formatCode>0.00</c:formatCode>
                <c:ptCount val="8"/>
                <c:pt idx="0">
                  <c:v>2.8039730680762918</c:v>
                </c:pt>
                <c:pt idx="1">
                  <c:v>3.4070670663566016</c:v>
                </c:pt>
                <c:pt idx="2">
                  <c:v>3.9293583787930904</c:v>
                </c:pt>
                <c:pt idx="3">
                  <c:v>4.3807804994840938</c:v>
                </c:pt>
                <c:pt idx="4">
                  <c:v>4.7839468865707815</c:v>
                </c:pt>
                <c:pt idx="5">
                  <c:v>5.1588900864847966</c:v>
                </c:pt>
                <c:pt idx="6">
                  <c:v>5.5083078000781676</c:v>
                </c:pt>
                <c:pt idx="7">
                  <c:v>5.7463351097084345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56C-4018-9BF3-C4DC9E14E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</a:t>
                </a:r>
              </a:p>
            </c:rich>
          </c:tx>
          <c:layout>
            <c:manualLayout>
              <c:xMode val="edge"/>
              <c:yMode val="edge"/>
              <c:x val="0.48506124234470693"/>
              <c:y val="0.87163967200038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of IMX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Dissolved (%)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Sample9!$I$23:$K$23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Sample9!$I$29:$K$29</c:f>
              <c:numCache>
                <c:formatCode>0</c:formatCode>
                <c:ptCount val="3"/>
                <c:pt idx="0">
                  <c:v>26.417203213334894</c:v>
                </c:pt>
                <c:pt idx="1">
                  <c:v>3.2119834038399802</c:v>
                </c:pt>
                <c:pt idx="2">
                  <c:v>6.0136993844549727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41-46DD-A387-BBB7ADF78AAF}"/>
            </c:ext>
          </c:extLst>
        </c:ser>
        <c:ser>
          <c:idx val="1"/>
          <c:order val="1"/>
          <c:tx>
            <c:v>Remaining (%)</c:v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Sample9!$I$23:$K$23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Sample9!$I$30:$K$30</c:f>
              <c:numCache>
                <c:formatCode>0</c:formatCode>
                <c:ptCount val="3"/>
                <c:pt idx="0">
                  <c:v>73.582796786665114</c:v>
                </c:pt>
                <c:pt idx="1">
                  <c:v>96.78801659616002</c:v>
                </c:pt>
                <c:pt idx="2">
                  <c:v>93.986300615545019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41-46DD-A387-BBB7ADF78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287216"/>
        <c:axId val="1077289712"/>
      </c:barChart>
      <c:catAx>
        <c:axId val="107728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Compounds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9712"/>
        <c:crosses val="autoZero"/>
        <c:auto val="1"/>
        <c:lblAlgn val="ctr"/>
        <c:lblOffset val="100"/>
        <c:noMultiLvlLbl val="0"/>
      </c:catAx>
      <c:valAx>
        <c:axId val="1077289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7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10849826204157"/>
          <c:y val="7.5480514746873409E-2"/>
          <c:w val="0.8580987089451656"/>
          <c:h val="0.80831546377928754"/>
        </c:manualLayout>
      </c:layout>
      <c:scatterChart>
        <c:scatterStyle val="lineMarker"/>
        <c:varyColors val="0"/>
        <c:ser>
          <c:idx val="1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Sample9!$O$4:$O$14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2.6848007341587588E-2</c:v>
                </c:pt>
                <c:pt idx="2">
                  <c:v>5.2168452727209616E-2</c:v>
                </c:pt>
                <c:pt idx="3">
                  <c:v>7.8182936785972504E-2</c:v>
                </c:pt>
                <c:pt idx="4">
                  <c:v>0.12249371621081104</c:v>
                </c:pt>
                <c:pt idx="5">
                  <c:v>0.1583324373497231</c:v>
                </c:pt>
                <c:pt idx="6">
                  <c:v>0.1979417151602878</c:v>
                </c:pt>
                <c:pt idx="7">
                  <c:v>0.22316739803811769</c:v>
                </c:pt>
                <c:pt idx="8">
                  <c:v>0.24882821488029921</c:v>
                </c:pt>
                <c:pt idx="9">
                  <c:v>0.27375377619327212</c:v>
                </c:pt>
                <c:pt idx="10">
                  <c:v>0.30012772925480774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98-4833-A370-09412088A684}"/>
            </c:ext>
          </c:extLst>
        </c:ser>
        <c:ser>
          <c:idx val="2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628280839895014"/>
                  <c:y val="8.4474701079031878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Sample9!$P$4:$P$14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2.2778817199225938E-2</c:v>
                </c:pt>
                <c:pt idx="2">
                  <c:v>7.0046835323547454E-2</c:v>
                </c:pt>
                <c:pt idx="3">
                  <c:v>0.10544360692877708</c:v>
                </c:pt>
                <c:pt idx="4">
                  <c:v>0.13014695804030774</c:v>
                </c:pt>
                <c:pt idx="5">
                  <c:v>0.14738041251710954</c:v>
                </c:pt>
                <c:pt idx="6">
                  <c:v>0.16375476156762794</c:v>
                </c:pt>
                <c:pt idx="7">
                  <c:v>0.17349170717893048</c:v>
                </c:pt>
                <c:pt idx="8">
                  <c:v>0.23952134799641289</c:v>
                </c:pt>
                <c:pt idx="9">
                  <c:v>0.2590794591022797</c:v>
                </c:pt>
                <c:pt idx="10">
                  <c:v>0.26340003303912779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698-4833-A370-09412088A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</a:t>
                </a:r>
              </a:p>
            </c:rich>
          </c:tx>
          <c:layout>
            <c:manualLayout>
              <c:xMode val="edge"/>
              <c:yMode val="edge"/>
              <c:x val="0.48506124234470693"/>
              <c:y val="0.87163967200038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Sample9!$A$4:$A$19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Sample9!$Q$4:$Q$19</c:f>
              <c:numCache>
                <c:formatCode>General</c:formatCode>
                <c:ptCount val="16"/>
                <c:pt idx="0">
                  <c:v>0</c:v>
                </c:pt>
                <c:pt idx="1">
                  <c:v>2.1658065642169464E-2</c:v>
                </c:pt>
                <c:pt idx="2">
                  <c:v>3.9779255700356245E-2</c:v>
                </c:pt>
                <c:pt idx="3">
                  <c:v>5.7629798392260748E-2</c:v>
                </c:pt>
                <c:pt idx="4">
                  <c:v>7.4550045153117764E-2</c:v>
                </c:pt>
                <c:pt idx="5">
                  <c:v>8.6746581611144361E-2</c:v>
                </c:pt>
                <c:pt idx="6">
                  <c:v>9.9118178717438568E-2</c:v>
                </c:pt>
                <c:pt idx="7">
                  <c:v>0.10977125427031477</c:v>
                </c:pt>
                <c:pt idx="8">
                  <c:v>0.12102383452878232</c:v>
                </c:pt>
                <c:pt idx="9">
                  <c:v>0.13084807285019953</c:v>
                </c:pt>
                <c:pt idx="10">
                  <c:v>0.14001117703067495</c:v>
                </c:pt>
                <c:pt idx="11">
                  <c:v>0.1494566501085392</c:v>
                </c:pt>
                <c:pt idx="12">
                  <c:v>0.1656828193234291</c:v>
                </c:pt>
                <c:pt idx="13">
                  <c:v>0.18091831525227983</c:v>
                </c:pt>
                <c:pt idx="14">
                  <c:v>0.1970572553728015</c:v>
                </c:pt>
                <c:pt idx="15">
                  <c:v>0.2103961375700969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F0-4403-BCFE-13BD8B5F4B5E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Sample9!$A$4:$A$19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Sample9!$R$4:$R$19</c:f>
              <c:numCache>
                <c:formatCode>General</c:formatCode>
                <c:ptCount val="16"/>
                <c:pt idx="0">
                  <c:v>0</c:v>
                </c:pt>
                <c:pt idx="1">
                  <c:v>9.1945230621875301E-4</c:v>
                </c:pt>
                <c:pt idx="2">
                  <c:v>1.7865908468222471E-3</c:v>
                </c:pt>
                <c:pt idx="3">
                  <c:v>2.6774978351360446E-3</c:v>
                </c:pt>
                <c:pt idx="4">
                  <c:v>4.194990281192159E-3</c:v>
                </c:pt>
                <c:pt idx="5">
                  <c:v>5.4223437448535309E-3</c:v>
                </c:pt>
                <c:pt idx="6">
                  <c:v>6.7788258616536916E-3</c:v>
                </c:pt>
                <c:pt idx="7">
                  <c:v>7.6427191108944421E-3</c:v>
                </c:pt>
                <c:pt idx="8">
                  <c:v>8.5215142082294259E-3</c:v>
                </c:pt>
                <c:pt idx="9">
                  <c:v>9.3751293216874018E-3</c:v>
                </c:pt>
                <c:pt idx="10">
                  <c:v>1.0278346892287937E-2</c:v>
                </c:pt>
                <c:pt idx="11">
                  <c:v>1.1359355892192722E-2</c:v>
                </c:pt>
                <c:pt idx="12">
                  <c:v>1.2833216692464254E-2</c:v>
                </c:pt>
                <c:pt idx="13">
                  <c:v>1.4488257601801767E-2</c:v>
                </c:pt>
                <c:pt idx="14">
                  <c:v>1.5988901548630877E-2</c:v>
                </c:pt>
                <c:pt idx="15">
                  <c:v>1.7132204592501147E-2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F0-4403-BCFE-13BD8B5F4B5E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Sample9!$A$4:$A$19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Sample9!$S$4:$S$19</c:f>
              <c:numCache>
                <c:formatCode>General</c:formatCode>
                <c:ptCount val="16"/>
                <c:pt idx="0">
                  <c:v>0</c:v>
                </c:pt>
                <c:pt idx="1">
                  <c:v>7.8009647942554579E-4</c:v>
                </c:pt>
                <c:pt idx="2">
                  <c:v>2.3988642234091593E-3</c:v>
                </c:pt>
                <c:pt idx="3">
                  <c:v>3.6110824290677083E-3</c:v>
                </c:pt>
                <c:pt idx="4">
                  <c:v>4.4570876041201283E-3</c:v>
                </c:pt>
                <c:pt idx="5">
                  <c:v>5.0472744012708751E-3</c:v>
                </c:pt>
                <c:pt idx="6">
                  <c:v>5.6080397797132857E-3</c:v>
                </c:pt>
                <c:pt idx="7">
                  <c:v>5.9414968211962491E-3</c:v>
                </c:pt>
                <c:pt idx="8">
                  <c:v>8.202785890288113E-3</c:v>
                </c:pt>
                <c:pt idx="9">
                  <c:v>8.8725842158314961E-3</c:v>
                </c:pt>
                <c:pt idx="10">
                  <c:v>9.0205490766824582E-3</c:v>
                </c:pt>
                <c:pt idx="11">
                  <c:v>9.1949061399897308E-3</c:v>
                </c:pt>
                <c:pt idx="12">
                  <c:v>1.0312077637344085E-2</c:v>
                </c:pt>
                <c:pt idx="13">
                  <c:v>1.1769613369482521E-2</c:v>
                </c:pt>
                <c:pt idx="14">
                  <c:v>1.252291199121185E-2</c:v>
                </c:pt>
                <c:pt idx="15">
                  <c:v>1.2838653742082816E-2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F0-4403-BCFE-13BD8B5F4B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9123135"/>
        <c:axId val="729113151"/>
      </c:scatterChart>
      <c:valAx>
        <c:axId val="7291231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9113151"/>
        <c:crosses val="autoZero"/>
        <c:crossBetween val="midCat"/>
      </c:valAx>
      <c:valAx>
        <c:axId val="72911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91231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Individual dissolution rates - Flakes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 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'Average-15s'!$B$5:$B$7</c:f>
              <c:numCache>
                <c:formatCode>0.0000</c:formatCode>
                <c:ptCount val="3"/>
                <c:pt idx="0">
                  <c:v>0.18479112742859377</c:v>
                </c:pt>
                <c:pt idx="1">
                  <c:v>0.13264669013100916</c:v>
                </c:pt>
                <c:pt idx="2">
                  <c:v>0.11155018177722191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B1-4111-A0B3-1076BEB6D32E}"/>
            </c:ext>
          </c:extLst>
        </c:ser>
        <c:ser>
          <c:idx val="1"/>
          <c:order val="1"/>
          <c:tx>
            <c:v>NTO 2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'Average-15s'!$C$5:$C$7</c:f>
              <c:numCache>
                <c:formatCode>0.0000</c:formatCode>
                <c:ptCount val="3"/>
                <c:pt idx="0">
                  <c:v>8.3796427309987237E-2</c:v>
                </c:pt>
                <c:pt idx="1">
                  <c:v>6.5019714955444396E-2</c:v>
                </c:pt>
                <c:pt idx="2">
                  <c:v>6.7552435712368741E-2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B1-4111-A0B3-1076BEB6D32E}"/>
            </c:ext>
          </c:extLst>
        </c:ser>
        <c:ser>
          <c:idx val="2"/>
          <c:order val="2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'Average-15s'!$E$5:$E$7</c:f>
              <c:numCache>
                <c:formatCode>0.0000</c:formatCode>
                <c:ptCount val="3"/>
                <c:pt idx="0">
                  <c:v>6.8584597965064067E-3</c:v>
                </c:pt>
                <c:pt idx="1">
                  <c:v>4.7293170035334411E-3</c:v>
                </c:pt>
                <c:pt idx="2">
                  <c:v>6.2611962356251133E-3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B1-4111-A0B3-1076BEB6D32E}"/>
            </c:ext>
          </c:extLst>
        </c:ser>
        <c:ser>
          <c:idx val="3"/>
          <c:order val="3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'Average-15s'!$G$5:$G$7</c:f>
              <c:numCache>
                <c:formatCode>0.0000</c:formatCode>
                <c:ptCount val="3"/>
                <c:pt idx="0">
                  <c:v>3.0193423010965847E-3</c:v>
                </c:pt>
                <c:pt idx="1">
                  <c:v>1.7699677990076824E-3</c:v>
                </c:pt>
                <c:pt idx="2">
                  <c:v>5.3460550451892314E-3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B1-4111-A0B3-1076BEB6D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9812960"/>
        <c:axId val="119806720"/>
      </c:barChart>
      <c:catAx>
        <c:axId val="119812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Flake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06720"/>
        <c:crosses val="autoZero"/>
        <c:auto val="1"/>
        <c:lblAlgn val="ctr"/>
        <c:lblOffset val="100"/>
        <c:noMultiLvlLbl val="0"/>
      </c:catAx>
      <c:valAx>
        <c:axId val="11980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Dissolution rate (mg/min)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12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</a:t>
            </a:r>
            <a:r>
              <a:rPr lang="en-GB" baseline="0"/>
              <a:t> dissolved in acid rain 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Solid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'Average-15s'!$B$11:$D$11</c:f>
              <c:strCache>
                <c:ptCount val="3"/>
                <c:pt idx="0">
                  <c:v>NTO 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'Average-15s'!$B$22:$D$22</c:f>
              <c:numCache>
                <c:formatCode>0.0</c:formatCode>
                <c:ptCount val="3"/>
                <c:pt idx="0">
                  <c:v>61.908816491221906</c:v>
                </c:pt>
                <c:pt idx="1">
                  <c:v>95.106884774679727</c:v>
                </c:pt>
                <c:pt idx="2">
                  <c:v>94.133698150211373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51-4180-BB1F-BCC49B0AE0F7}"/>
            </c:ext>
          </c:extLst>
        </c:ser>
        <c:ser>
          <c:idx val="1"/>
          <c:order val="1"/>
          <c:tx>
            <c:v>Dissolved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'Average-15s'!$B$11:$D$11</c:f>
              <c:strCache>
                <c:ptCount val="3"/>
                <c:pt idx="0">
                  <c:v>NTO 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'Average-15s'!$B$15:$D$15</c:f>
              <c:numCache>
                <c:formatCode>0.0</c:formatCode>
                <c:ptCount val="3"/>
                <c:pt idx="0">
                  <c:v>38.091183508778094</c:v>
                </c:pt>
                <c:pt idx="1">
                  <c:v>4.8931152253202574</c:v>
                </c:pt>
                <c:pt idx="2">
                  <c:v>5.8663018497886474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51-4180-BB1F-BCC49B0AE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8269568"/>
        <c:axId val="128269984"/>
      </c:barChart>
      <c:catAx>
        <c:axId val="128269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Compound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269984"/>
        <c:crosses val="autoZero"/>
        <c:auto val="1"/>
        <c:lblAlgn val="ctr"/>
        <c:lblOffset val="100"/>
        <c:noMultiLvlLbl val="0"/>
      </c:catAx>
      <c:valAx>
        <c:axId val="128269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2695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'Diss rates comparison'!$A$6</c:f>
              <c:strCache>
                <c:ptCount val="1"/>
                <c:pt idx="0">
                  <c:v>DI water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'Diss rates comparison'!$B$5:$D$5</c:f>
              <c:strCache>
                <c:ptCount val="3"/>
                <c:pt idx="0">
                  <c:v>0-15 min</c:v>
                </c:pt>
                <c:pt idx="1">
                  <c:v>15-50 min</c:v>
                </c:pt>
                <c:pt idx="2">
                  <c:v>50-100 min</c:v>
                </c:pt>
              </c:strCache>
            </c:strRef>
          </c:cat>
          <c:val>
            <c:numRef>
              <c:f>'Diss rates comparison'!$B$6:$D$6</c:f>
              <c:numCache>
                <c:formatCode>General</c:formatCode>
                <c:ptCount val="3"/>
                <c:pt idx="0">
                  <c:v>0.26400000000000001</c:v>
                </c:pt>
                <c:pt idx="1">
                  <c:v>0.105</c:v>
                </c:pt>
                <c:pt idx="2">
                  <c:v>5.7000000000000002E-2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25-44CC-BF5F-56544AE67763}"/>
            </c:ext>
          </c:extLst>
        </c:ser>
        <c:ser>
          <c:idx val="1"/>
          <c:order val="1"/>
          <c:tx>
            <c:strRef>
              <c:f>'Diss rates comparison'!$A$7</c:f>
              <c:strCache>
                <c:ptCount val="1"/>
                <c:pt idx="0">
                  <c:v>Rain water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'Diss rates comparison'!$B$5:$D$5</c:f>
              <c:strCache>
                <c:ptCount val="3"/>
                <c:pt idx="0">
                  <c:v>0-15 min</c:v>
                </c:pt>
                <c:pt idx="1">
                  <c:v>15-50 min</c:v>
                </c:pt>
                <c:pt idx="2">
                  <c:v>50-100 min</c:v>
                </c:pt>
              </c:strCache>
            </c:strRef>
          </c:cat>
          <c:val>
            <c:numRef>
              <c:f>'Diss rates comparison'!$B$7:$D$7</c:f>
              <c:numCache>
                <c:formatCode>General</c:formatCode>
                <c:ptCount val="3"/>
                <c:pt idx="0">
                  <c:v>0.17399999999999999</c:v>
                </c:pt>
                <c:pt idx="1">
                  <c:v>7.1999999999999995E-2</c:v>
                </c:pt>
                <c:pt idx="2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25-44CC-BF5F-56544AE67763}"/>
            </c:ext>
          </c:extLst>
        </c:ser>
        <c:ser>
          <c:idx val="2"/>
          <c:order val="2"/>
          <c:tx>
            <c:strRef>
              <c:f>'Diss rates comparison'!$A$8</c:f>
              <c:strCache>
                <c:ptCount val="1"/>
                <c:pt idx="0">
                  <c:v>Acid rain water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'Diss rates comparison'!$B$5:$D$5</c:f>
              <c:strCache>
                <c:ptCount val="3"/>
                <c:pt idx="0">
                  <c:v>0-15 min</c:v>
                </c:pt>
                <c:pt idx="1">
                  <c:v>15-50 min</c:v>
                </c:pt>
                <c:pt idx="2">
                  <c:v>50-100 min</c:v>
                </c:pt>
              </c:strCache>
            </c:strRef>
          </c:cat>
          <c:val>
            <c:numRef>
              <c:f>'Diss rates comparison'!$B$8:$D$8</c:f>
              <c:numCache>
                <c:formatCode>General</c:formatCode>
                <c:ptCount val="3"/>
                <c:pt idx="0">
                  <c:v>0.14299999999999999</c:v>
                </c:pt>
                <c:pt idx="1">
                  <c:v>7.1999999999999995E-2</c:v>
                </c:pt>
                <c:pt idx="2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25-44CC-BF5F-56544AE67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0445120"/>
        <c:axId val="1520445952"/>
      </c:barChart>
      <c:catAx>
        <c:axId val="1520445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445952"/>
        <c:crosses val="autoZero"/>
        <c:auto val="1"/>
        <c:lblAlgn val="ctr"/>
        <c:lblOffset val="100"/>
        <c:noMultiLvlLbl val="0"/>
      </c:catAx>
      <c:valAx>
        <c:axId val="15204459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Dissolution rate (mg/min)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445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201618547681548"/>
          <c:y val="0.21354111986001745"/>
          <c:w val="0.31930074365704286"/>
          <c:h val="0.161458880139982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'Diss rates comparison'!$A$6</c:f>
              <c:strCache>
                <c:ptCount val="1"/>
                <c:pt idx="0">
                  <c:v>DI water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'Diss rates comparison'!$E$5:$F$5</c:f>
              <c:strCache>
                <c:ptCount val="2"/>
                <c:pt idx="0">
                  <c:v>0-50min</c:v>
                </c:pt>
                <c:pt idx="1">
                  <c:v>50-100 min</c:v>
                </c:pt>
              </c:strCache>
            </c:strRef>
          </c:cat>
          <c:val>
            <c:numRef>
              <c:f>'Diss rates comparison'!$E$6:$F$6</c:f>
              <c:numCache>
                <c:formatCode>General</c:formatCode>
                <c:ptCount val="2"/>
                <c:pt idx="0">
                  <c:v>5.6000000000000001E-2</c:v>
                </c:pt>
                <c:pt idx="1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361-A77A-64353925AC58}"/>
            </c:ext>
          </c:extLst>
        </c:ser>
        <c:ser>
          <c:idx val="1"/>
          <c:order val="1"/>
          <c:tx>
            <c:strRef>
              <c:f>'Diss rates comparison'!$A$7</c:f>
              <c:strCache>
                <c:ptCount val="1"/>
                <c:pt idx="0">
                  <c:v>Rain water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'Diss rates comparison'!$E$5:$F$5</c:f>
              <c:strCache>
                <c:ptCount val="2"/>
                <c:pt idx="0">
                  <c:v>0-50min</c:v>
                </c:pt>
                <c:pt idx="1">
                  <c:v>50-100 min</c:v>
                </c:pt>
              </c:strCache>
            </c:strRef>
          </c:cat>
          <c:val>
            <c:numRef>
              <c:f>'Diss rates comparison'!$E$7:$F$7</c:f>
              <c:numCache>
                <c:formatCode>General</c:formatCode>
                <c:ptCount val="2"/>
                <c:pt idx="0">
                  <c:v>1.7000000000000001E-2</c:v>
                </c:pt>
                <c:pt idx="1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361-A77A-64353925AC58}"/>
            </c:ext>
          </c:extLst>
        </c:ser>
        <c:ser>
          <c:idx val="2"/>
          <c:order val="2"/>
          <c:tx>
            <c:strRef>
              <c:f>'Diss rates comparison'!$A$8</c:f>
              <c:strCache>
                <c:ptCount val="1"/>
                <c:pt idx="0">
                  <c:v>Acid rain water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'Diss rates comparison'!$E$5:$F$5</c:f>
              <c:strCache>
                <c:ptCount val="2"/>
                <c:pt idx="0">
                  <c:v>0-50min</c:v>
                </c:pt>
                <c:pt idx="1">
                  <c:v>50-100 min</c:v>
                </c:pt>
              </c:strCache>
            </c:strRef>
          </c:cat>
          <c:val>
            <c:numRef>
              <c:f>'Diss rates comparison'!$E$8:$F$8</c:f>
              <c:numCache>
                <c:formatCode>General</c:formatCode>
                <c:ptCount val="2"/>
                <c:pt idx="0">
                  <c:v>6.0000000000000001E-3</c:v>
                </c:pt>
                <c:pt idx="1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99-4361-A77A-64353925A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0445120"/>
        <c:axId val="1520445952"/>
      </c:barChart>
      <c:catAx>
        <c:axId val="1520445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445952"/>
        <c:crosses val="autoZero"/>
        <c:auto val="1"/>
        <c:lblAlgn val="ctr"/>
        <c:lblOffset val="100"/>
        <c:noMultiLvlLbl val="0"/>
      </c:catAx>
      <c:valAx>
        <c:axId val="15204459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Dissolution rate (mg/min)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445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423840769903774"/>
          <c:y val="0.15798556430446195"/>
          <c:w val="0.31930074365704286"/>
          <c:h val="0.161458880139982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Dissolved percentage of IHE compounds in 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380314960629923"/>
          <c:y val="5.0925925925925923E-2"/>
          <c:w val="0.85286351706036745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'Diss rates comparison'!$R$5:$T$5</c:f>
                <c:numCache>
                  <c:formatCode>General</c:formatCode>
                  <c:ptCount val="3"/>
                  <c:pt idx="0">
                    <c:v>3.2</c:v>
                  </c:pt>
                  <c:pt idx="1">
                    <c:v>2.9</c:v>
                  </c:pt>
                  <c:pt idx="2">
                    <c:v>2.6</c:v>
                  </c:pt>
                </c:numCache>
              </c:numRef>
            </c:plus>
            <c:minus>
              <c:numRef>
                <c:f>'Diss rates comparison'!$R$5:$T$5</c:f>
                <c:numCache>
                  <c:formatCode>General</c:formatCode>
                  <c:ptCount val="3"/>
                  <c:pt idx="0">
                    <c:v>3.2</c:v>
                  </c:pt>
                  <c:pt idx="1">
                    <c:v>2.9</c:v>
                  </c:pt>
                  <c:pt idx="2">
                    <c:v>2.6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'Diss rates comparison'!$K$5:$K$7</c:f>
              <c:strCache>
                <c:ptCount val="3"/>
                <c:pt idx="0">
                  <c:v>DI water</c:v>
                </c:pt>
                <c:pt idx="1">
                  <c:v>Rain water</c:v>
                </c:pt>
                <c:pt idx="2">
                  <c:v>Acid rain water</c:v>
                </c:pt>
              </c:strCache>
            </c:strRef>
          </c:cat>
          <c:val>
            <c:numRef>
              <c:f>'Diss rates comparison'!$L$5:$N$5</c:f>
              <c:numCache>
                <c:formatCode>General</c:formatCode>
                <c:ptCount val="3"/>
                <c:pt idx="0">
                  <c:v>37.6</c:v>
                </c:pt>
                <c:pt idx="1">
                  <c:v>27.5</c:v>
                </c:pt>
                <c:pt idx="2">
                  <c:v>26.2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5-4EFA-9F3A-E900123D89B6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'Diss rates comparison'!$R$6:$T$6</c:f>
                <c:numCache>
                  <c:formatCode>General</c:formatCode>
                  <c:ptCount val="3"/>
                  <c:pt idx="0">
                    <c:v>7.4</c:v>
                  </c:pt>
                  <c:pt idx="1">
                    <c:v>1.8</c:v>
                  </c:pt>
                  <c:pt idx="2">
                    <c:v>5.4</c:v>
                  </c:pt>
                </c:numCache>
              </c:numRef>
            </c:plus>
            <c:minus>
              <c:numRef>
                <c:f>'Diss rates comparison'!$R$6:$T$6</c:f>
                <c:numCache>
                  <c:formatCode>General</c:formatCode>
                  <c:ptCount val="3"/>
                  <c:pt idx="0">
                    <c:v>7.4</c:v>
                  </c:pt>
                  <c:pt idx="1">
                    <c:v>1.8</c:v>
                  </c:pt>
                  <c:pt idx="2">
                    <c:v>5.4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'Diss rates comparison'!$K$5:$K$7</c:f>
              <c:strCache>
                <c:ptCount val="3"/>
                <c:pt idx="0">
                  <c:v>DI water</c:v>
                </c:pt>
                <c:pt idx="1">
                  <c:v>Rain water</c:v>
                </c:pt>
                <c:pt idx="2">
                  <c:v>Acid rain water</c:v>
                </c:pt>
              </c:strCache>
            </c:strRef>
          </c:cat>
          <c:val>
            <c:numRef>
              <c:f>'Diss rates comparison'!$L$6:$N$6</c:f>
              <c:numCache>
                <c:formatCode>General</c:formatCode>
                <c:ptCount val="3"/>
                <c:pt idx="0">
                  <c:v>37.299999999999997</c:v>
                </c:pt>
                <c:pt idx="1">
                  <c:v>15.1</c:v>
                </c:pt>
                <c:pt idx="2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45-4EFA-9F3A-E900123D89B6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'Diss rates comparison'!$R$7:$T$7</c:f>
                <c:numCache>
                  <c:formatCode>General</c:formatCode>
                  <c:ptCount val="3"/>
                  <c:pt idx="0">
                    <c:v>1.3</c:v>
                  </c:pt>
                  <c:pt idx="1">
                    <c:v>0.3</c:v>
                  </c:pt>
                  <c:pt idx="2">
                    <c:v>1.9</c:v>
                  </c:pt>
                </c:numCache>
              </c:numRef>
            </c:plus>
            <c:minus>
              <c:numRef>
                <c:f>'Diss rates comparison'!$R$7:$T$7</c:f>
                <c:numCache>
                  <c:formatCode>General</c:formatCode>
                  <c:ptCount val="3"/>
                  <c:pt idx="0">
                    <c:v>1.3</c:v>
                  </c:pt>
                  <c:pt idx="1">
                    <c:v>0.3</c:v>
                  </c:pt>
                  <c:pt idx="2">
                    <c:v>1.9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'Diss rates comparison'!$K$5:$K$7</c:f>
              <c:strCache>
                <c:ptCount val="3"/>
                <c:pt idx="0">
                  <c:v>DI water</c:v>
                </c:pt>
                <c:pt idx="1">
                  <c:v>Rain water</c:v>
                </c:pt>
                <c:pt idx="2">
                  <c:v>Acid rain water</c:v>
                </c:pt>
              </c:strCache>
            </c:strRef>
          </c:cat>
          <c:val>
            <c:numRef>
              <c:f>'Diss rates comparison'!$L$7:$N$7</c:f>
              <c:numCache>
                <c:formatCode>General</c:formatCode>
                <c:ptCount val="3"/>
                <c:pt idx="0">
                  <c:v>38.1</c:v>
                </c:pt>
                <c:pt idx="1">
                  <c:v>4.9000000000000004</c:v>
                </c:pt>
                <c:pt idx="2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45-4EFA-9F3A-E900123D89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3705295"/>
        <c:axId val="1343701551"/>
      </c:barChart>
      <c:catAx>
        <c:axId val="1343705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701551"/>
        <c:crosses val="autoZero"/>
        <c:auto val="1"/>
        <c:lblAlgn val="ctr"/>
        <c:lblOffset val="100"/>
        <c:noMultiLvlLbl val="0"/>
      </c:catAx>
      <c:valAx>
        <c:axId val="1343701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dissolved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705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207895888013996"/>
          <c:y val="0.2022561242344707"/>
          <c:w val="0.10625437445319336"/>
          <c:h val="0.234376640419947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200"/>
              <a:t>Dissolved percentage of IHE compounds in water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670198935413448E-2"/>
          <c:y val="0.19844836811128946"/>
          <c:w val="0.89106188829200084"/>
          <c:h val="0.67274806941267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'Diss rates comparison'!$K$6</c:f>
              <c:strCache>
                <c:ptCount val="1"/>
                <c:pt idx="0">
                  <c:v>Rain water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'Diss rates comparison'!$R$6:$T$6</c:f>
                <c:numCache>
                  <c:formatCode>General</c:formatCode>
                  <c:ptCount val="3"/>
                  <c:pt idx="0">
                    <c:v>7.4</c:v>
                  </c:pt>
                  <c:pt idx="1">
                    <c:v>1.8</c:v>
                  </c:pt>
                  <c:pt idx="2">
                    <c:v>5.4</c:v>
                  </c:pt>
                </c:numCache>
              </c:numRef>
            </c:plus>
            <c:minus>
              <c:numRef>
                <c:f>'Diss rates comparison'!$R$6:$T$6</c:f>
                <c:numCache>
                  <c:formatCode>General</c:formatCode>
                  <c:ptCount val="3"/>
                  <c:pt idx="0">
                    <c:v>7.4</c:v>
                  </c:pt>
                  <c:pt idx="1">
                    <c:v>1.8</c:v>
                  </c:pt>
                  <c:pt idx="2">
                    <c:v>5.4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'Diss rates comparison'!$L$4:$N$4</c:f>
              <c:strCache>
                <c:ptCount val="3"/>
                <c:pt idx="0">
                  <c:v>NTO 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'Diss rates comparison'!$L$6:$N$6</c:f>
              <c:numCache>
                <c:formatCode>General</c:formatCode>
                <c:ptCount val="3"/>
                <c:pt idx="0">
                  <c:v>37.299999999999997</c:v>
                </c:pt>
                <c:pt idx="1">
                  <c:v>15.1</c:v>
                </c:pt>
                <c:pt idx="2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09-4C72-B8ED-32FC54437BEB}"/>
            </c:ext>
          </c:extLst>
        </c:ser>
        <c:ser>
          <c:idx val="1"/>
          <c:order val="1"/>
          <c:tx>
            <c:strRef>
              <c:f>'Diss rates comparison'!$K$7</c:f>
              <c:strCache>
                <c:ptCount val="1"/>
                <c:pt idx="0">
                  <c:v>Acid rain water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'Diss rates comparison'!$R$7:$T$7</c:f>
                <c:numCache>
                  <c:formatCode>General</c:formatCode>
                  <c:ptCount val="3"/>
                  <c:pt idx="0">
                    <c:v>1.3</c:v>
                  </c:pt>
                  <c:pt idx="1">
                    <c:v>0.3</c:v>
                  </c:pt>
                  <c:pt idx="2">
                    <c:v>1.9</c:v>
                  </c:pt>
                </c:numCache>
              </c:numRef>
            </c:plus>
            <c:minus>
              <c:numRef>
                <c:f>'Diss rates comparison'!$R$7:$T$7</c:f>
                <c:numCache>
                  <c:formatCode>General</c:formatCode>
                  <c:ptCount val="3"/>
                  <c:pt idx="0">
                    <c:v>1.3</c:v>
                  </c:pt>
                  <c:pt idx="1">
                    <c:v>0.3</c:v>
                  </c:pt>
                  <c:pt idx="2">
                    <c:v>1.9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'Diss rates comparison'!$L$4:$N$4</c:f>
              <c:strCache>
                <c:ptCount val="3"/>
                <c:pt idx="0">
                  <c:v>NTO 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'Diss rates comparison'!$L$7:$N$7</c:f>
              <c:numCache>
                <c:formatCode>General</c:formatCode>
                <c:ptCount val="3"/>
                <c:pt idx="0">
                  <c:v>38.1</c:v>
                </c:pt>
                <c:pt idx="1">
                  <c:v>4.9000000000000004</c:v>
                </c:pt>
                <c:pt idx="2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09-4C72-B8ED-32FC54437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6878064"/>
        <c:axId val="456866000"/>
      </c:barChart>
      <c:catAx>
        <c:axId val="45687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866000"/>
        <c:crosses val="autoZero"/>
        <c:auto val="1"/>
        <c:lblAlgn val="ctr"/>
        <c:lblOffset val="100"/>
        <c:noMultiLvlLbl val="0"/>
      </c:catAx>
      <c:valAx>
        <c:axId val="45686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878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3485932249123069"/>
          <c:y val="0.21415132097251885"/>
          <c:w val="0.42872347732234406"/>
          <c:h val="9.02895565020664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9512029746281714E-2"/>
                  <c:y val="-6.2328561202576953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1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Sample7!$B$4:$B$8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</c:numCache>
            </c:numRef>
          </c:xVal>
          <c:yVal>
            <c:numRef>
              <c:f>Sample7!$N$4:$N$7</c:f>
              <c:numCache>
                <c:formatCode>0.00</c:formatCode>
                <c:ptCount val="4"/>
                <c:pt idx="0" formatCode="General">
                  <c:v>0</c:v>
                </c:pt>
                <c:pt idx="1">
                  <c:v>1.2392311101461737</c:v>
                </c:pt>
                <c:pt idx="2">
                  <c:v>2.0668682773469866</c:v>
                </c:pt>
                <c:pt idx="3">
                  <c:v>2.8039730680762918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23-4656-BA40-E8C1705B7057}"/>
            </c:ext>
          </c:extLst>
        </c:ser>
        <c:ser>
          <c:idx val="1"/>
          <c:order val="1"/>
          <c:tx>
            <c:v>DNAN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Sample7!$B$4:$B$14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Sample7!$O$4:$O$14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4.3544943647579645E-2</c:v>
                </c:pt>
                <c:pt idx="2">
                  <c:v>7.6868953084176184E-2</c:v>
                </c:pt>
                <c:pt idx="3">
                  <c:v>0.1174391517326841</c:v>
                </c:pt>
                <c:pt idx="4">
                  <c:v>0.15079942233297661</c:v>
                </c:pt>
                <c:pt idx="5">
                  <c:v>0.18443769518827158</c:v>
                </c:pt>
                <c:pt idx="6">
                  <c:v>0.21958684986423194</c:v>
                </c:pt>
                <c:pt idx="7">
                  <c:v>0.25075936358820095</c:v>
                </c:pt>
                <c:pt idx="8">
                  <c:v>0.28279283820885792</c:v>
                </c:pt>
                <c:pt idx="9">
                  <c:v>0.31505318684370598</c:v>
                </c:pt>
                <c:pt idx="10">
                  <c:v>0.34658408173553679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23-4656-BA40-E8C1705B7057}"/>
            </c:ext>
          </c:extLst>
        </c:ser>
        <c:ser>
          <c:idx val="2"/>
          <c:order val="2"/>
          <c:tx>
            <c:v>RDX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628280839895014"/>
                  <c:y val="8.4474701079031878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Sample7!$B$4:$B$14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Sample7!$P$4:$P$14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8.0588096474253079E-3</c:v>
                </c:pt>
                <c:pt idx="2">
                  <c:v>1.1815830462075801E-2</c:v>
                </c:pt>
                <c:pt idx="3">
                  <c:v>1.979323799185035E-2</c:v>
                </c:pt>
                <c:pt idx="4">
                  <c:v>1.979323799185035E-2</c:v>
                </c:pt>
                <c:pt idx="5">
                  <c:v>3.9392363241610426E-2</c:v>
                </c:pt>
                <c:pt idx="6">
                  <c:v>5.6330265414326397E-2</c:v>
                </c:pt>
                <c:pt idx="7">
                  <c:v>7.9968188039835741E-2</c:v>
                </c:pt>
                <c:pt idx="8">
                  <c:v>0.10767809505829046</c:v>
                </c:pt>
                <c:pt idx="9">
                  <c:v>0.13175433677884235</c:v>
                </c:pt>
                <c:pt idx="10">
                  <c:v>0.14427648715407246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23-4656-BA40-E8C1705B7057}"/>
            </c:ext>
          </c:extLst>
        </c:ser>
        <c:ser>
          <c:idx val="3"/>
          <c:order val="3"/>
          <c:tx>
            <c:v>NTO2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7076115485564307E-2"/>
                  <c:y val="-2.7681818181818203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Sample7!$B$7:$B$14</c:f>
              <c:numCache>
                <c:formatCode>General</c:formatCode>
                <c:ptCount val="8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</c:numCache>
            </c:numRef>
          </c:xVal>
          <c:yVal>
            <c:numRef>
              <c:f>Sample7!$N$7:$N$14</c:f>
              <c:numCache>
                <c:formatCode>0.00</c:formatCode>
                <c:ptCount val="8"/>
                <c:pt idx="0">
                  <c:v>2.8039730680762918</c:v>
                </c:pt>
                <c:pt idx="1">
                  <c:v>3.4070670663566016</c:v>
                </c:pt>
                <c:pt idx="2">
                  <c:v>3.9293583787930904</c:v>
                </c:pt>
                <c:pt idx="3">
                  <c:v>4.3807804994840938</c:v>
                </c:pt>
                <c:pt idx="4">
                  <c:v>4.7839468865707815</c:v>
                </c:pt>
                <c:pt idx="5">
                  <c:v>5.1588900864847966</c:v>
                </c:pt>
                <c:pt idx="6">
                  <c:v>5.5083078000781676</c:v>
                </c:pt>
                <c:pt idx="7">
                  <c:v>5.7463351097084345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C23-4656-BA40-E8C1705B7057}"/>
            </c:ext>
          </c:extLst>
        </c:ser>
        <c:ser>
          <c:idx val="4"/>
          <c:order val="4"/>
          <c:tx>
            <c:v>RDX2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 w="9525">
                <a:solidFill>
                  <a:schemeClr val="accent3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4184399531747964E-2"/>
                  <c:y val="8.479132597056385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Sample7!$P$14:$P$19</c:f>
              <c:numCache>
                <c:formatCode>0.00</c:formatCode>
                <c:ptCount val="6"/>
                <c:pt idx="0">
                  <c:v>0.14427648715407246</c:v>
                </c:pt>
                <c:pt idx="1">
                  <c:v>0.16544937024378661</c:v>
                </c:pt>
                <c:pt idx="2">
                  <c:v>0.21448594196242665</c:v>
                </c:pt>
                <c:pt idx="3">
                  <c:v>0.25421063883248746</c:v>
                </c:pt>
                <c:pt idx="4">
                  <c:v>0.28707081257699307</c:v>
                </c:pt>
                <c:pt idx="5">
                  <c:v>0.30229214646409375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3E2-42DA-AC40-49FB8658A40F}"/>
            </c:ext>
          </c:extLst>
        </c:ser>
        <c:ser>
          <c:idx val="5"/>
          <c:order val="5"/>
          <c:tx>
            <c:v>DNAN2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1422602669927652E-2"/>
                  <c:y val="-7.753561907748829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Sample7!$O$14:$O$19</c:f>
              <c:numCache>
                <c:formatCode>0.00</c:formatCode>
                <c:ptCount val="6"/>
                <c:pt idx="0">
                  <c:v>0.34658408173553679</c:v>
                </c:pt>
                <c:pt idx="1">
                  <c:v>0.41265200840045374</c:v>
                </c:pt>
                <c:pt idx="2">
                  <c:v>0.48288988247954789</c:v>
                </c:pt>
                <c:pt idx="3">
                  <c:v>0.54150786665226835</c:v>
                </c:pt>
                <c:pt idx="4">
                  <c:v>0.60908235825789347</c:v>
                </c:pt>
                <c:pt idx="5">
                  <c:v>0.67698682645315189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3E2-42DA-AC40-49FB8658A40F}"/>
            </c:ext>
          </c:extLst>
        </c:ser>
        <c:ser>
          <c:idx val="6"/>
          <c:order val="6"/>
          <c:tx>
            <c:v>NTO3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9536920240428785E-2"/>
                  <c:y val="-7.4326821837406749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Sample7!$B$14:$B$19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Sample7!$N$14:$N$19</c:f>
              <c:numCache>
                <c:formatCode>0.00</c:formatCode>
                <c:ptCount val="6"/>
                <c:pt idx="0">
                  <c:v>5.7463351097084345</c:v>
                </c:pt>
                <c:pt idx="1">
                  <c:v>6.2417854301311264</c:v>
                </c:pt>
                <c:pt idx="2">
                  <c:v>6.9237506015139143</c:v>
                </c:pt>
                <c:pt idx="3">
                  <c:v>7.4579608234712351</c:v>
                </c:pt>
                <c:pt idx="4">
                  <c:v>7.9865151140989221</c:v>
                </c:pt>
                <c:pt idx="5">
                  <c:v>8.5227274356419542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3E2-42DA-AC40-49FB8658A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of IMX compounds (15 sessions)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Dissolved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/>
              </a:solidFill>
            </a:ln>
            <a:effectLst/>
          </c:spPr>
          <c:invertIfNegative val="0"/>
          <c:cat>
            <c:strRef>
              <c:f>Sample7!$H$25:$J$25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Sample7!$H$37:$J$37</c:f>
              <c:numCache>
                <c:formatCode>0.0</c:formatCode>
                <c:ptCount val="3"/>
                <c:pt idx="0">
                  <c:v>36.630108890883889</c:v>
                </c:pt>
                <c:pt idx="1">
                  <c:v>4.8190975687154891</c:v>
                </c:pt>
                <c:pt idx="2">
                  <c:v>4.5906172583765184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81-486E-9B4C-AF36FDBE1F90}"/>
            </c:ext>
          </c:extLst>
        </c:ser>
        <c:ser>
          <c:idx val="1"/>
          <c:order val="1"/>
          <c:tx>
            <c:v>Solid</c:v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Sample7!$H$25:$J$25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Sample7!$H$38:$J$38</c:f>
              <c:numCache>
                <c:formatCode>0</c:formatCode>
                <c:ptCount val="3"/>
                <c:pt idx="0">
                  <c:v>63.369891109116111</c:v>
                </c:pt>
                <c:pt idx="1">
                  <c:v>95.180902431284508</c:v>
                </c:pt>
                <c:pt idx="2">
                  <c:v>95.409382741623489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81-486E-9B4C-AF36FDBE1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287216"/>
        <c:axId val="1077289712"/>
      </c:barChart>
      <c:catAx>
        <c:axId val="107728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Compounds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9712"/>
        <c:crosses val="autoZero"/>
        <c:auto val="1"/>
        <c:lblAlgn val="ctr"/>
        <c:lblOffset val="100"/>
        <c:noMultiLvlLbl val="0"/>
      </c:catAx>
      <c:valAx>
        <c:axId val="1077289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7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of IMX compounds (10 sessions)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Dissolved</c:v>
          </c:tx>
          <c:spPr>
            <a:solidFill>
              <a:schemeClr val="accent2">
                <a:lumMod val="75000"/>
              </a:schemeClr>
            </a:solidFill>
            <a:ln>
              <a:solidFill>
                <a:schemeClr val="accent2">
                  <a:lumMod val="75000"/>
                </a:schemeClr>
              </a:solidFill>
            </a:ln>
            <a:effectLst/>
          </c:spPr>
          <c:invertIfNegative val="0"/>
          <c:cat>
            <c:strRef>
              <c:f>Sample7!$H$25:$J$25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Sample7!$H$31:$J$31</c:f>
              <c:numCache>
                <c:formatCode>0.0</c:formatCode>
                <c:ptCount val="3"/>
                <c:pt idx="0">
                  <c:v>24.697361540845122</c:v>
                </c:pt>
                <c:pt idx="1">
                  <c:v>2.4671418118987529</c:v>
                </c:pt>
                <c:pt idx="2">
                  <c:v>2.1909868967968484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8-4788-915E-66005351375B}"/>
            </c:ext>
          </c:extLst>
        </c:ser>
        <c:ser>
          <c:idx val="1"/>
          <c:order val="1"/>
          <c:tx>
            <c:v>Solid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Sample7!$H$25:$J$25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Sample7!$H$32:$J$32</c:f>
              <c:numCache>
                <c:formatCode>0.0</c:formatCode>
                <c:ptCount val="3"/>
                <c:pt idx="0">
                  <c:v>75.302638459154878</c:v>
                </c:pt>
                <c:pt idx="1">
                  <c:v>97.532858188101244</c:v>
                </c:pt>
                <c:pt idx="2">
                  <c:v>97.809013103203156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8-4788-915E-660053513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287216"/>
        <c:axId val="1077289712"/>
      </c:barChart>
      <c:catAx>
        <c:axId val="107728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Compounds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9712"/>
        <c:crosses val="autoZero"/>
        <c:auto val="1"/>
        <c:lblAlgn val="ctr"/>
        <c:lblOffset val="100"/>
        <c:noMultiLvlLbl val="0"/>
      </c:catAx>
      <c:valAx>
        <c:axId val="1077289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7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Sample8!$A$4:$A$8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Sample8!$N$4:$N$7</c:f>
              <c:numCache>
                <c:formatCode>0.00</c:formatCode>
                <c:ptCount val="4"/>
                <c:pt idx="0" formatCode="General">
                  <c:v>0</c:v>
                </c:pt>
                <c:pt idx="1">
                  <c:v>0.75819408639099517</c:v>
                </c:pt>
                <c:pt idx="2">
                  <c:v>1.4859980978269367</c:v>
                </c:pt>
                <c:pt idx="3">
                  <c:v>1.9681768317048387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86-4C8C-9F40-FA1728CDA137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Sample8!$O$4:$O$14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1.9667329965420279E-2</c:v>
                </c:pt>
                <c:pt idx="2">
                  <c:v>4.3815089317114628E-2</c:v>
                </c:pt>
                <c:pt idx="3">
                  <c:v>6.2853288092409823E-2</c:v>
                </c:pt>
                <c:pt idx="4">
                  <c:v>8.0706834649757669E-2</c:v>
                </c:pt>
                <c:pt idx="5">
                  <c:v>0.10503408676174707</c:v>
                </c:pt>
                <c:pt idx="6">
                  <c:v>0.12966750396587612</c:v>
                </c:pt>
                <c:pt idx="7">
                  <c:v>0.15527997258979637</c:v>
                </c:pt>
                <c:pt idx="8">
                  <c:v>0.17900686070152616</c:v>
                </c:pt>
                <c:pt idx="9">
                  <c:v>0.20468629160773827</c:v>
                </c:pt>
                <c:pt idx="10">
                  <c:v>0.24433183058199895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86-4C8C-9F40-FA1728CDA137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742869641294839"/>
                  <c:y val="0.1555554353782700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Sample8!$P$4:$P$14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1.6804527933795881E-2</c:v>
                </c:pt>
                <c:pt idx="2">
                  <c:v>2.9388669152467704E-2</c:v>
                </c:pt>
                <c:pt idx="3">
                  <c:v>2.9388669152467704E-2</c:v>
                </c:pt>
                <c:pt idx="4">
                  <c:v>4.6002215194852189E-2</c:v>
                </c:pt>
                <c:pt idx="5">
                  <c:v>5.4246997372602697E-2</c:v>
                </c:pt>
                <c:pt idx="6">
                  <c:v>7.224938877613632E-2</c:v>
                </c:pt>
                <c:pt idx="7">
                  <c:v>8.2956898097890225E-2</c:v>
                </c:pt>
                <c:pt idx="8">
                  <c:v>8.2956898097890225E-2</c:v>
                </c:pt>
                <c:pt idx="9">
                  <c:v>8.2956898097890225E-2</c:v>
                </c:pt>
                <c:pt idx="10">
                  <c:v>8.2956898097890225E-2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86-4C8C-9F40-FA1728CDA137}"/>
            </c:ext>
          </c:extLst>
        </c:ser>
        <c:ser>
          <c:idx val="3"/>
          <c:order val="3"/>
          <c:tx>
            <c:v>NTO2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707611548556425"/>
                  <c:y val="-4.0958742756519803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Sample8!$A$7:$A$14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xVal>
          <c:yVal>
            <c:numRef>
              <c:f>Sample8!$N$7:$N$14</c:f>
              <c:numCache>
                <c:formatCode>0.00</c:formatCode>
                <c:ptCount val="8"/>
                <c:pt idx="0">
                  <c:v>1.9681768317048387</c:v>
                </c:pt>
                <c:pt idx="1">
                  <c:v>2.3926465851012275</c:v>
                </c:pt>
                <c:pt idx="2">
                  <c:v>2.7536135898303762</c:v>
                </c:pt>
                <c:pt idx="3">
                  <c:v>3.0370390209255063</c:v>
                </c:pt>
                <c:pt idx="4">
                  <c:v>3.4186956714375052</c:v>
                </c:pt>
                <c:pt idx="5">
                  <c:v>3.7025140787461899</c:v>
                </c:pt>
                <c:pt idx="6">
                  <c:v>4.0088722771984688</c:v>
                </c:pt>
                <c:pt idx="7">
                  <c:v>4.2537187893535533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86-4C8C-9F40-FA1728CDA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</a:t>
                </a:r>
              </a:p>
            </c:rich>
          </c:tx>
          <c:layout>
            <c:manualLayout>
              <c:xMode val="edge"/>
              <c:yMode val="edge"/>
              <c:x val="0.48506124234470693"/>
              <c:y val="0.87163967200038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9512029746281714E-2"/>
                  <c:y val="-6.2328561202576953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1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Sample8!$B$4:$B$8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</c:numCache>
            </c:numRef>
          </c:xVal>
          <c:yVal>
            <c:numRef>
              <c:f>Sample8!$N$4:$N$7</c:f>
              <c:numCache>
                <c:formatCode>0.00</c:formatCode>
                <c:ptCount val="4"/>
                <c:pt idx="0" formatCode="General">
                  <c:v>0</c:v>
                </c:pt>
                <c:pt idx="1">
                  <c:v>0.75819408639099517</c:v>
                </c:pt>
                <c:pt idx="2">
                  <c:v>1.4859980978269367</c:v>
                </c:pt>
                <c:pt idx="3">
                  <c:v>1.9681768317048387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1B-4310-9776-E8673E92276D}"/>
            </c:ext>
          </c:extLst>
        </c:ser>
        <c:ser>
          <c:idx val="1"/>
          <c:order val="1"/>
          <c:tx>
            <c:v>DNAN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Sample8!$B$4:$B$14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Sample8!$O$4:$O$14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1.9667329965420279E-2</c:v>
                </c:pt>
                <c:pt idx="2">
                  <c:v>4.3815089317114628E-2</c:v>
                </c:pt>
                <c:pt idx="3">
                  <c:v>6.2853288092409823E-2</c:v>
                </c:pt>
                <c:pt idx="4">
                  <c:v>8.0706834649757669E-2</c:v>
                </c:pt>
                <c:pt idx="5">
                  <c:v>0.10503408676174707</c:v>
                </c:pt>
                <c:pt idx="6">
                  <c:v>0.12966750396587612</c:v>
                </c:pt>
                <c:pt idx="7">
                  <c:v>0.15527997258979637</c:v>
                </c:pt>
                <c:pt idx="8">
                  <c:v>0.17900686070152616</c:v>
                </c:pt>
                <c:pt idx="9">
                  <c:v>0.20468629160773827</c:v>
                </c:pt>
                <c:pt idx="10">
                  <c:v>0.24433183058199895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1B-4310-9776-E8673E92276D}"/>
            </c:ext>
          </c:extLst>
        </c:ser>
        <c:ser>
          <c:idx val="2"/>
          <c:order val="2"/>
          <c:tx>
            <c:v>RDX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2795485101780367E-3"/>
                  <c:y val="0.12539752372572435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Sample8!$B$4:$B$14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Sample8!$P$4:$P$14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1.6804527933795881E-2</c:v>
                </c:pt>
                <c:pt idx="2">
                  <c:v>2.9388669152467704E-2</c:v>
                </c:pt>
                <c:pt idx="3">
                  <c:v>2.9388669152467704E-2</c:v>
                </c:pt>
                <c:pt idx="4">
                  <c:v>4.6002215194852189E-2</c:v>
                </c:pt>
                <c:pt idx="5">
                  <c:v>5.4246997372602697E-2</c:v>
                </c:pt>
                <c:pt idx="6">
                  <c:v>7.224938877613632E-2</c:v>
                </c:pt>
                <c:pt idx="7">
                  <c:v>8.2956898097890225E-2</c:v>
                </c:pt>
                <c:pt idx="8">
                  <c:v>8.2956898097890225E-2</c:v>
                </c:pt>
                <c:pt idx="9">
                  <c:v>8.2956898097890225E-2</c:v>
                </c:pt>
                <c:pt idx="10">
                  <c:v>8.2956898097890225E-2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A1B-4310-9776-E8673E92276D}"/>
            </c:ext>
          </c:extLst>
        </c:ser>
        <c:ser>
          <c:idx val="3"/>
          <c:order val="3"/>
          <c:tx>
            <c:v>NTO2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7076115485564307E-2"/>
                  <c:y val="-2.7681818181818203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Sample8!$B$7:$B$14</c:f>
              <c:numCache>
                <c:formatCode>General</c:formatCode>
                <c:ptCount val="8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</c:numCache>
            </c:numRef>
          </c:xVal>
          <c:yVal>
            <c:numRef>
              <c:f>Sample8!$N$7:$N$14</c:f>
              <c:numCache>
                <c:formatCode>0.00</c:formatCode>
                <c:ptCount val="8"/>
                <c:pt idx="0">
                  <c:v>1.9681768317048387</c:v>
                </c:pt>
                <c:pt idx="1">
                  <c:v>2.3926465851012275</c:v>
                </c:pt>
                <c:pt idx="2">
                  <c:v>2.7536135898303762</c:v>
                </c:pt>
                <c:pt idx="3">
                  <c:v>3.0370390209255063</c:v>
                </c:pt>
                <c:pt idx="4">
                  <c:v>3.4186956714375052</c:v>
                </c:pt>
                <c:pt idx="5">
                  <c:v>3.7025140787461899</c:v>
                </c:pt>
                <c:pt idx="6">
                  <c:v>4.0088722771984688</c:v>
                </c:pt>
                <c:pt idx="7">
                  <c:v>4.2537187893535533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A1B-4310-9776-E8673E92276D}"/>
            </c:ext>
          </c:extLst>
        </c:ser>
        <c:ser>
          <c:idx val="4"/>
          <c:order val="4"/>
          <c:tx>
            <c:v>NTO3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538600790452365"/>
                  <c:y val="2.728936134715890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Sample8!$N$14:$N$19</c:f>
              <c:numCache>
                <c:formatCode>0.00</c:formatCode>
                <c:ptCount val="6"/>
                <c:pt idx="0">
                  <c:v>4.2537187893535533</c:v>
                </c:pt>
                <c:pt idx="1">
                  <c:v>4.4318023342793307</c:v>
                </c:pt>
                <c:pt idx="2">
                  <c:v>5.1891976071196222</c:v>
                </c:pt>
                <c:pt idx="3">
                  <c:v>5.1891976071196222</c:v>
                </c:pt>
                <c:pt idx="4">
                  <c:v>5.6128786644405038</c:v>
                </c:pt>
                <c:pt idx="5">
                  <c:v>6.0334230929337034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17-4F5E-ADBE-85A50AE89D5B}"/>
            </c:ext>
          </c:extLst>
        </c:ser>
        <c:ser>
          <c:idx val="5"/>
          <c:order val="5"/>
          <c:tx>
            <c:v>DNAN2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197343778122574"/>
                  <c:y val="-8.243931365401982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Sample8!$B$14:$B$19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Sample8!$O$14:$O$19</c:f>
              <c:numCache>
                <c:formatCode>0.00</c:formatCode>
                <c:ptCount val="6"/>
                <c:pt idx="0">
                  <c:v>0.24433183058199895</c:v>
                </c:pt>
                <c:pt idx="1">
                  <c:v>0.26660165579631562</c:v>
                </c:pt>
                <c:pt idx="2">
                  <c:v>0.34517647568773435</c:v>
                </c:pt>
                <c:pt idx="3">
                  <c:v>0.34517647568773435</c:v>
                </c:pt>
                <c:pt idx="4">
                  <c:v>0.39361868022266644</c:v>
                </c:pt>
                <c:pt idx="5">
                  <c:v>0.4326176805205128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17-4F5E-ADBE-85A50AE89D5B}"/>
            </c:ext>
          </c:extLst>
        </c:ser>
        <c:ser>
          <c:idx val="6"/>
          <c:order val="6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Sample8!$B$14:$B$19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Sample8!$P$14:$P$19</c:f>
              <c:numCache>
                <c:formatCode>0.00</c:formatCode>
                <c:ptCount val="6"/>
                <c:pt idx="0">
                  <c:v>8.2956898097890225E-2</c:v>
                </c:pt>
                <c:pt idx="1">
                  <c:v>9.4533376829762997E-2</c:v>
                </c:pt>
                <c:pt idx="2">
                  <c:v>0.15891066544638294</c:v>
                </c:pt>
                <c:pt idx="3">
                  <c:v>0.15891066544638294</c:v>
                </c:pt>
                <c:pt idx="4">
                  <c:v>0.18872657241346838</c:v>
                </c:pt>
                <c:pt idx="5">
                  <c:v>0.20021336083203958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17-4F5E-ADBE-85A50AE89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of IMX compounds (10 sessions)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Dissolved (%)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Sample8!$H$24:$J$24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Sample8!$H$30:$J$30</c:f>
              <c:numCache>
                <c:formatCode>0</c:formatCode>
                <c:ptCount val="3"/>
                <c:pt idx="0">
                  <c:v>26.752948360714171</c:v>
                </c:pt>
                <c:pt idx="1">
                  <c:v>2.545123235229156</c:v>
                </c:pt>
                <c:pt idx="2">
                  <c:v>1.8434866243975607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C-4FC9-924A-BF5896BDD6BE}"/>
            </c:ext>
          </c:extLst>
        </c:ser>
        <c:ser>
          <c:idx val="1"/>
          <c:order val="1"/>
          <c:tx>
            <c:v>Remaining (%)</c:v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Sample8!$H$24:$J$24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Sample8!$H$31:$J$31</c:f>
              <c:numCache>
                <c:formatCode>0</c:formatCode>
                <c:ptCount val="3"/>
                <c:pt idx="0">
                  <c:v>73.247051639285814</c:v>
                </c:pt>
                <c:pt idx="1">
                  <c:v>97.454876764770844</c:v>
                </c:pt>
                <c:pt idx="2">
                  <c:v>98.15651337560243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4C-4FC9-924A-BF5896BDD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7287216"/>
        <c:axId val="1077289712"/>
      </c:barChart>
      <c:catAx>
        <c:axId val="1077287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Compounds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9712"/>
        <c:crosses val="autoZero"/>
        <c:auto val="1"/>
        <c:lblAlgn val="ctr"/>
        <c:lblOffset val="100"/>
        <c:noMultiLvlLbl val="0"/>
      </c:catAx>
      <c:valAx>
        <c:axId val="1077289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287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Sample9!$A$4:$A$8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Sample9!$N$4:$N$7</c:f>
              <c:numCache>
                <c:formatCode>0.00</c:formatCode>
                <c:ptCount val="4"/>
                <c:pt idx="0" formatCode="General">
                  <c:v>0</c:v>
                </c:pt>
                <c:pt idx="1">
                  <c:v>0.63241551675134833</c:v>
                </c:pt>
                <c:pt idx="2">
                  <c:v>1.1615542664504024</c:v>
                </c:pt>
                <c:pt idx="3">
                  <c:v>1.6827901130540137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4E-4DC2-B1D5-C2F4A5AF337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Sample9!$O$4:$O$14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2.6848007341587588E-2</c:v>
                </c:pt>
                <c:pt idx="2">
                  <c:v>5.2168452727209616E-2</c:v>
                </c:pt>
                <c:pt idx="3">
                  <c:v>7.8182936785972504E-2</c:v>
                </c:pt>
                <c:pt idx="4">
                  <c:v>0.12249371621081104</c:v>
                </c:pt>
                <c:pt idx="5">
                  <c:v>0.1583324373497231</c:v>
                </c:pt>
                <c:pt idx="6">
                  <c:v>0.1979417151602878</c:v>
                </c:pt>
                <c:pt idx="7">
                  <c:v>0.22316739803811769</c:v>
                </c:pt>
                <c:pt idx="8">
                  <c:v>0.24882821488029921</c:v>
                </c:pt>
                <c:pt idx="9">
                  <c:v>0.27375377619327212</c:v>
                </c:pt>
                <c:pt idx="10">
                  <c:v>0.30012772925480774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4E-4DC2-B1D5-C2F4A5AF3374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628280839895014"/>
                  <c:y val="8.4474701079031878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Sample9!$A$4:$A$14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Sample9!$P$4:$P$14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2.2778817199225938E-2</c:v>
                </c:pt>
                <c:pt idx="2">
                  <c:v>7.0046835323547454E-2</c:v>
                </c:pt>
                <c:pt idx="3">
                  <c:v>0.10544360692877708</c:v>
                </c:pt>
                <c:pt idx="4">
                  <c:v>0.13014695804030774</c:v>
                </c:pt>
                <c:pt idx="5">
                  <c:v>0.14738041251710954</c:v>
                </c:pt>
                <c:pt idx="6">
                  <c:v>0.16375476156762794</c:v>
                </c:pt>
                <c:pt idx="7">
                  <c:v>0.17349170717893048</c:v>
                </c:pt>
                <c:pt idx="8">
                  <c:v>0.23952134799641289</c:v>
                </c:pt>
                <c:pt idx="9">
                  <c:v>0.2590794591022797</c:v>
                </c:pt>
                <c:pt idx="10">
                  <c:v>0.26340003303912779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64E-4DC2-B1D5-C2F4A5AF3374}"/>
            </c:ext>
          </c:extLst>
        </c:ser>
        <c:ser>
          <c:idx val="3"/>
          <c:order val="3"/>
          <c:tx>
            <c:v>NTO2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707611548556425"/>
                  <c:y val="-4.0958742756519803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Sample9!$A$7:$A$14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xVal>
          <c:yVal>
            <c:numRef>
              <c:f>Sample9!$N$7:$N$14</c:f>
              <c:numCache>
                <c:formatCode>0.00</c:formatCode>
                <c:ptCount val="8"/>
                <c:pt idx="0">
                  <c:v>1.6827901130540137</c:v>
                </c:pt>
                <c:pt idx="1">
                  <c:v>2.1768613184710386</c:v>
                </c:pt>
                <c:pt idx="2">
                  <c:v>2.5330001830454152</c:v>
                </c:pt>
                <c:pt idx="3">
                  <c:v>2.8942508185492062</c:v>
                </c:pt>
                <c:pt idx="4">
                  <c:v>3.2053206246931913</c:v>
                </c:pt>
                <c:pt idx="5">
                  <c:v>3.5338959682404436</c:v>
                </c:pt>
                <c:pt idx="6">
                  <c:v>3.8207637272258261</c:v>
                </c:pt>
                <c:pt idx="7">
                  <c:v>4.0883263692957081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4E-4DC2-B1D5-C2F4A5AF3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</a:t>
                </a:r>
              </a:p>
            </c:rich>
          </c:tx>
          <c:layout>
            <c:manualLayout>
              <c:xMode val="edge"/>
              <c:yMode val="edge"/>
              <c:x val="0.48506124234470693"/>
              <c:y val="0.871639672000381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Dissolution rate of IMX-104 compounds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9512029746281714E-2"/>
                  <c:y val="-6.2328561202576953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1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Sample9!$B$4:$B$8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</c:numCache>
            </c:numRef>
          </c:xVal>
          <c:yVal>
            <c:numRef>
              <c:f>Sample9!$N$4:$N$7</c:f>
              <c:numCache>
                <c:formatCode>0.00</c:formatCode>
                <c:ptCount val="4"/>
                <c:pt idx="0" formatCode="General">
                  <c:v>0</c:v>
                </c:pt>
                <c:pt idx="1">
                  <c:v>0.63241551675134833</c:v>
                </c:pt>
                <c:pt idx="2">
                  <c:v>1.1615542664504024</c:v>
                </c:pt>
                <c:pt idx="3">
                  <c:v>1.6827901130540137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D9-4BB9-B68B-7FA11247070D}"/>
            </c:ext>
          </c:extLst>
        </c:ser>
        <c:ser>
          <c:idx val="1"/>
          <c:order val="1"/>
          <c:tx>
            <c:v>DNAN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239391951006124"/>
                  <c:y val="-0.10452354913969084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Sample9!$B$4:$B$14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Sample9!$O$4:$O$14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2.6848007341587588E-2</c:v>
                </c:pt>
                <c:pt idx="2">
                  <c:v>5.2168452727209616E-2</c:v>
                </c:pt>
                <c:pt idx="3">
                  <c:v>7.8182936785972504E-2</c:v>
                </c:pt>
                <c:pt idx="4">
                  <c:v>0.12249371621081104</c:v>
                </c:pt>
                <c:pt idx="5">
                  <c:v>0.1583324373497231</c:v>
                </c:pt>
                <c:pt idx="6">
                  <c:v>0.1979417151602878</c:v>
                </c:pt>
                <c:pt idx="7">
                  <c:v>0.22316739803811769</c:v>
                </c:pt>
                <c:pt idx="8">
                  <c:v>0.24882821488029921</c:v>
                </c:pt>
                <c:pt idx="9">
                  <c:v>0.27375377619327212</c:v>
                </c:pt>
                <c:pt idx="10">
                  <c:v>0.30012772925480774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D9-4BB9-B68B-7FA11247070D}"/>
            </c:ext>
          </c:extLst>
        </c:ser>
        <c:ser>
          <c:idx val="2"/>
          <c:order val="2"/>
          <c:tx>
            <c:v>RDX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628280839895014"/>
                  <c:y val="8.4474701079031878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Sample9!$B$4:$B$14</c:f>
              <c:numCache>
                <c:formatCode>General</c:formatCode>
                <c:ptCount val="1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</c:numCache>
            </c:numRef>
          </c:xVal>
          <c:yVal>
            <c:numRef>
              <c:f>Sample9!$P$4:$P$14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2.2778817199225938E-2</c:v>
                </c:pt>
                <c:pt idx="2">
                  <c:v>7.0046835323547454E-2</c:v>
                </c:pt>
                <c:pt idx="3">
                  <c:v>0.10544360692877708</c:v>
                </c:pt>
                <c:pt idx="4">
                  <c:v>0.13014695804030774</c:v>
                </c:pt>
                <c:pt idx="5">
                  <c:v>0.14738041251710954</c:v>
                </c:pt>
                <c:pt idx="6">
                  <c:v>0.16375476156762794</c:v>
                </c:pt>
                <c:pt idx="7">
                  <c:v>0.17349170717893048</c:v>
                </c:pt>
                <c:pt idx="8">
                  <c:v>0.23952134799641289</c:v>
                </c:pt>
                <c:pt idx="9">
                  <c:v>0.2590794591022797</c:v>
                </c:pt>
                <c:pt idx="10">
                  <c:v>0.26340003303912779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7D9-4BB9-B68B-7FA11247070D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9.0520559930008751E-2"/>
                  <c:y val="-5.9888891971020118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Sample9!$B$7:$B$14</c:f>
              <c:numCache>
                <c:formatCode>General</c:formatCode>
                <c:ptCount val="8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</c:numCache>
            </c:numRef>
          </c:xVal>
          <c:yVal>
            <c:numRef>
              <c:f>Sample9!$N$7:$N$14</c:f>
              <c:numCache>
                <c:formatCode>0.00</c:formatCode>
                <c:ptCount val="8"/>
                <c:pt idx="0">
                  <c:v>1.6827901130540137</c:v>
                </c:pt>
                <c:pt idx="1">
                  <c:v>2.1768613184710386</c:v>
                </c:pt>
                <c:pt idx="2">
                  <c:v>2.5330001830454152</c:v>
                </c:pt>
                <c:pt idx="3">
                  <c:v>2.8942508185492062</c:v>
                </c:pt>
                <c:pt idx="4">
                  <c:v>3.2053206246931913</c:v>
                </c:pt>
                <c:pt idx="5">
                  <c:v>3.5338959682404436</c:v>
                </c:pt>
                <c:pt idx="6">
                  <c:v>3.8207637272258261</c:v>
                </c:pt>
                <c:pt idx="7">
                  <c:v>4.0883263692957081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7D9-4BB9-B68B-7FA11247070D}"/>
            </c:ext>
          </c:extLst>
        </c:ser>
        <c:ser>
          <c:idx val="4"/>
          <c:order val="4"/>
          <c:tx>
            <c:v>NTO3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Sample9!$B$14:$B$19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Sample9!$N$14:$N$19</c:f>
              <c:numCache>
                <c:formatCode>0.00</c:formatCode>
                <c:ptCount val="6"/>
                <c:pt idx="0">
                  <c:v>4.0883263692957081</c:v>
                </c:pt>
                <c:pt idx="1">
                  <c:v>4.3641341831693445</c:v>
                </c:pt>
                <c:pt idx="2">
                  <c:v>4.8379383242441296</c:v>
                </c:pt>
                <c:pt idx="3">
                  <c:v>5.2828148053665709</c:v>
                </c:pt>
                <c:pt idx="4">
                  <c:v>5.7540718568858038</c:v>
                </c:pt>
                <c:pt idx="5">
                  <c:v>6.1435672170468294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41-46D1-8CCF-EAA066418014}"/>
            </c:ext>
          </c:extLst>
        </c:ser>
        <c:ser>
          <c:idx val="5"/>
          <c:order val="5"/>
          <c:tx>
            <c:v>DNAN2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Sample9!$B$14:$B$19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Sample9!$O$14:$O$19</c:f>
              <c:numCache>
                <c:formatCode>0.00</c:formatCode>
                <c:ptCount val="6"/>
                <c:pt idx="0">
                  <c:v>0.30012772925480774</c:v>
                </c:pt>
                <c:pt idx="1">
                  <c:v>0.33169319205202746</c:v>
                </c:pt>
                <c:pt idx="2">
                  <c:v>0.3747299274199562</c:v>
                </c:pt>
                <c:pt idx="3">
                  <c:v>0.42305712197261158</c:v>
                </c:pt>
                <c:pt idx="4">
                  <c:v>0.46687592522002164</c:v>
                </c:pt>
                <c:pt idx="5">
                  <c:v>0.50026037410103352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41-46D1-8CCF-EAA066418014}"/>
            </c:ext>
          </c:extLst>
        </c:ser>
        <c:ser>
          <c:idx val="6"/>
          <c:order val="6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Sample9!$B$14:$B$19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Sample9!$P$14:$P$19</c:f>
              <c:numCache>
                <c:formatCode>0.00</c:formatCode>
                <c:ptCount val="6"/>
                <c:pt idx="0">
                  <c:v>0.26340003303912779</c:v>
                </c:pt>
                <c:pt idx="1">
                  <c:v>0.26849125928770012</c:v>
                </c:pt>
                <c:pt idx="2">
                  <c:v>0.30111266701044725</c:v>
                </c:pt>
                <c:pt idx="3">
                  <c:v>0.34367271038888958</c:v>
                </c:pt>
                <c:pt idx="4">
                  <c:v>0.36566903014338603</c:v>
                </c:pt>
                <c:pt idx="5">
                  <c:v>0.37488868926881819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441-46D1-8CCF-EAA066418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05536"/>
        <c:axId val="990605952"/>
      </c:scatterChart>
      <c:valAx>
        <c:axId val="99060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952"/>
        <c:crosses val="autoZero"/>
        <c:crossBetween val="midCat"/>
      </c:valAx>
      <c:valAx>
        <c:axId val="99060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060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10885</xdr:colOff>
      <xdr:row>1</xdr:row>
      <xdr:rowOff>27214</xdr:rowOff>
    </xdr:from>
    <xdr:to>
      <xdr:col>32</xdr:col>
      <xdr:colOff>500743</xdr:colOff>
      <xdr:row>7</xdr:row>
      <xdr:rowOff>95794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4205856" y="255814"/>
          <a:ext cx="5366658" cy="11789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aseline="0"/>
        </a:p>
      </xdr:txBody>
    </xdr:sp>
    <xdr:clientData/>
  </xdr:twoCellAnchor>
  <xdr:twoCellAnchor>
    <xdr:from>
      <xdr:col>21</xdr:col>
      <xdr:colOff>478973</xdr:colOff>
      <xdr:row>13</xdr:row>
      <xdr:rowOff>82186</xdr:rowOff>
    </xdr:from>
    <xdr:to>
      <xdr:col>32</xdr:col>
      <xdr:colOff>99061</xdr:colOff>
      <xdr:row>38</xdr:row>
      <xdr:rowOff>54427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616492</xdr:colOff>
      <xdr:row>28</xdr:row>
      <xdr:rowOff>119743</xdr:rowOff>
    </xdr:from>
    <xdr:to>
      <xdr:col>22</xdr:col>
      <xdr:colOff>348342</xdr:colOff>
      <xdr:row>47</xdr:row>
      <xdr:rowOff>153006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73478</xdr:colOff>
      <xdr:row>24</xdr:row>
      <xdr:rowOff>49667</xdr:rowOff>
    </xdr:from>
    <xdr:to>
      <xdr:col>31</xdr:col>
      <xdr:colOff>387803</xdr:colOff>
      <xdr:row>39</xdr:row>
      <xdr:rowOff>89128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65314</xdr:colOff>
      <xdr:row>8</xdr:row>
      <xdr:rowOff>43543</xdr:rowOff>
    </xdr:from>
    <xdr:to>
      <xdr:col>31</xdr:col>
      <xdr:colOff>379639</xdr:colOff>
      <xdr:row>23</xdr:row>
      <xdr:rowOff>83004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77290</xdr:colOff>
      <xdr:row>2</xdr:row>
      <xdr:rowOff>38099</xdr:rowOff>
    </xdr:from>
    <xdr:to>
      <xdr:col>34</xdr:col>
      <xdr:colOff>326572</xdr:colOff>
      <xdr:row>8</xdr:row>
      <xdr:rowOff>106679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4272261" y="451756"/>
          <a:ext cx="6345282" cy="11789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Observations:</a:t>
          </a:r>
        </a:p>
      </xdr:txBody>
    </xdr:sp>
    <xdr:clientData/>
  </xdr:twoCellAnchor>
  <xdr:twoCellAnchor>
    <xdr:from>
      <xdr:col>25</xdr:col>
      <xdr:colOff>327660</xdr:colOff>
      <xdr:row>27</xdr:row>
      <xdr:rowOff>158387</xdr:rowOff>
    </xdr:from>
    <xdr:to>
      <xdr:col>33</xdr:col>
      <xdr:colOff>22860</xdr:colOff>
      <xdr:row>42</xdr:row>
      <xdr:rowOff>123553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398779</xdr:colOff>
      <xdr:row>21</xdr:row>
      <xdr:rowOff>76805</xdr:rowOff>
    </xdr:from>
    <xdr:to>
      <xdr:col>20</xdr:col>
      <xdr:colOff>163285</xdr:colOff>
      <xdr:row>39</xdr:row>
      <xdr:rowOff>54429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263978</xdr:colOff>
      <xdr:row>9</xdr:row>
      <xdr:rowOff>180296</xdr:rowOff>
    </xdr:from>
    <xdr:to>
      <xdr:col>31</xdr:col>
      <xdr:colOff>567417</xdr:colOff>
      <xdr:row>25</xdr:row>
      <xdr:rowOff>23814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55518</xdr:colOff>
      <xdr:row>32</xdr:row>
      <xdr:rowOff>92528</xdr:rowOff>
    </xdr:from>
    <xdr:to>
      <xdr:col>32</xdr:col>
      <xdr:colOff>304800</xdr:colOff>
      <xdr:row>38</xdr:row>
      <xdr:rowOff>161108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13031289" y="6057899"/>
          <a:ext cx="6345282" cy="11789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Observations:</a:t>
          </a:r>
        </a:p>
      </xdr:txBody>
    </xdr:sp>
    <xdr:clientData/>
  </xdr:twoCellAnchor>
  <xdr:twoCellAnchor>
    <xdr:from>
      <xdr:col>26</xdr:col>
      <xdr:colOff>153488</xdr:colOff>
      <xdr:row>15</xdr:row>
      <xdr:rowOff>147501</xdr:rowOff>
    </xdr:from>
    <xdr:to>
      <xdr:col>33</xdr:col>
      <xdr:colOff>458288</xdr:colOff>
      <xdr:row>30</xdr:row>
      <xdr:rowOff>145324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39551</xdr:colOff>
      <xdr:row>20</xdr:row>
      <xdr:rowOff>33262</xdr:rowOff>
    </xdr:from>
    <xdr:to>
      <xdr:col>21</xdr:col>
      <xdr:colOff>511628</xdr:colOff>
      <xdr:row>38</xdr:row>
      <xdr:rowOff>119743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590550</xdr:colOff>
      <xdr:row>16</xdr:row>
      <xdr:rowOff>119743</xdr:rowOff>
    </xdr:from>
    <xdr:to>
      <xdr:col>30</xdr:col>
      <xdr:colOff>284389</xdr:colOff>
      <xdr:row>31</xdr:row>
      <xdr:rowOff>32657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424543</xdr:colOff>
      <xdr:row>0</xdr:row>
      <xdr:rowOff>141514</xdr:rowOff>
    </xdr:from>
    <xdr:to>
      <xdr:col>33</xdr:col>
      <xdr:colOff>163286</xdr:colOff>
      <xdr:row>15</xdr:row>
      <xdr:rowOff>43543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489857</xdr:colOff>
      <xdr:row>1</xdr:row>
      <xdr:rowOff>76200</xdr:rowOff>
    </xdr:from>
    <xdr:to>
      <xdr:col>27</xdr:col>
      <xdr:colOff>185057</xdr:colOff>
      <xdr:row>16</xdr:row>
      <xdr:rowOff>43543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BE37932-AE95-4DBD-8E1B-8205170CA2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413385</xdr:colOff>
      <xdr:row>15</xdr:row>
      <xdr:rowOff>3810</xdr:rowOff>
    </xdr:from>
    <xdr:to>
      <xdr:col>23</xdr:col>
      <xdr:colOff>451485</xdr:colOff>
      <xdr:row>28</xdr:row>
      <xdr:rowOff>81915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228600</xdr:colOff>
      <xdr:row>15</xdr:row>
      <xdr:rowOff>26670</xdr:rowOff>
    </xdr:from>
    <xdr:to>
      <xdr:col>16</xdr:col>
      <xdr:colOff>342900</xdr:colOff>
      <xdr:row>27</xdr:row>
      <xdr:rowOff>135255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83820</xdr:rowOff>
    </xdr:from>
    <xdr:to>
      <xdr:col>4</xdr:col>
      <xdr:colOff>278130</xdr:colOff>
      <xdr:row>22</xdr:row>
      <xdr:rowOff>41910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342900</xdr:colOff>
      <xdr:row>9</xdr:row>
      <xdr:rowOff>121920</xdr:rowOff>
    </xdr:from>
    <xdr:to>
      <xdr:col>8</xdr:col>
      <xdr:colOff>487680</xdr:colOff>
      <xdr:row>22</xdr:row>
      <xdr:rowOff>53340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281940</xdr:colOff>
      <xdr:row>7</xdr:row>
      <xdr:rowOff>361950</xdr:rowOff>
    </xdr:from>
    <xdr:to>
      <xdr:col>16</xdr:col>
      <xdr:colOff>586740</xdr:colOff>
      <xdr:row>22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476718E-83AD-4D40-8EC4-494C0EB7C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243840</xdr:colOff>
      <xdr:row>7</xdr:row>
      <xdr:rowOff>358140</xdr:rowOff>
    </xdr:from>
    <xdr:to>
      <xdr:col>24</xdr:col>
      <xdr:colOff>53340</xdr:colOff>
      <xdr:row>20</xdr:row>
      <xdr:rowOff>163830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555C534-C9E2-40C6-A554-32F4BB928F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lakes%201,%202%20and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&amp;C"/>
      <sheetName val="Flake 1"/>
      <sheetName val="Flake 2"/>
      <sheetName val="Flake 3"/>
      <sheetName val="Averages-10s"/>
      <sheetName val="Average-15s"/>
      <sheetName val="Polynomial"/>
      <sheetName val="F&amp;C comp"/>
      <sheetName val="Sheet1"/>
      <sheetName val="Sheet2"/>
      <sheetName val="GS"/>
      <sheetName val="Time"/>
    </sheetNames>
    <sheetDataSet>
      <sheetData sheetId="0"/>
      <sheetData sheetId="1"/>
      <sheetData sheetId="2"/>
      <sheetData sheetId="3"/>
      <sheetData sheetId="4">
        <row r="11">
          <cell r="B11" t="str">
            <v xml:space="preserve">NTO </v>
          </cell>
          <cell r="C11" t="str">
            <v>DNAN</v>
          </cell>
          <cell r="D11" t="str">
            <v>RDX</v>
          </cell>
        </row>
        <row r="15">
          <cell r="B15">
            <v>27.314654599350519</v>
          </cell>
          <cell r="C15">
            <v>17.207395713446818</v>
          </cell>
          <cell r="D15">
            <v>17.107891264409286</v>
          </cell>
        </row>
        <row r="22">
          <cell r="B22">
            <v>72.685345400649496</v>
          </cell>
          <cell r="C22">
            <v>82.792604286553185</v>
          </cell>
          <cell r="D22">
            <v>82.892108735590725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workbookViewId="0">
      <selection activeCell="A14" sqref="A14:B22"/>
    </sheetView>
  </sheetViews>
  <sheetFormatPr defaultRowHeight="14.4" x14ac:dyDescent="0.3"/>
  <cols>
    <col min="2" max="2" width="17.6640625" customWidth="1"/>
    <col min="4" max="4" width="12" customWidth="1"/>
    <col min="7" max="7" width="10.109375" customWidth="1"/>
    <col min="9" max="9" width="12" customWidth="1"/>
  </cols>
  <sheetData>
    <row r="1" spans="1:10" x14ac:dyDescent="0.3">
      <c r="A1" t="s">
        <v>0</v>
      </c>
    </row>
    <row r="3" spans="1:10" x14ac:dyDescent="0.3">
      <c r="A3" s="21" t="s">
        <v>1</v>
      </c>
      <c r="B3" s="21" t="s">
        <v>2</v>
      </c>
      <c r="C3" s="21"/>
      <c r="D3" s="21"/>
      <c r="H3" t="s">
        <v>57</v>
      </c>
    </row>
    <row r="4" spans="1:10" x14ac:dyDescent="0.3">
      <c r="A4" s="34">
        <v>1</v>
      </c>
      <c r="B4" s="34">
        <v>57.5</v>
      </c>
      <c r="C4" s="35"/>
      <c r="D4" s="35"/>
    </row>
    <row r="5" spans="1:10" x14ac:dyDescent="0.3">
      <c r="A5" s="34">
        <v>2</v>
      </c>
      <c r="B5" s="34">
        <v>34.299999999999997</v>
      </c>
      <c r="C5" s="34"/>
      <c r="D5" s="35"/>
      <c r="H5" t="s">
        <v>55</v>
      </c>
      <c r="I5" s="101" t="s">
        <v>56</v>
      </c>
      <c r="J5" t="s">
        <v>66</v>
      </c>
    </row>
    <row r="6" spans="1:10" x14ac:dyDescent="0.3">
      <c r="A6" s="34">
        <v>3</v>
      </c>
      <c r="B6" s="34">
        <v>64.400000000000006</v>
      </c>
      <c r="C6" s="34"/>
      <c r="D6" s="35"/>
      <c r="F6" s="151" t="s">
        <v>58</v>
      </c>
      <c r="G6" s="92" t="s">
        <v>59</v>
      </c>
      <c r="H6" s="86">
        <v>2382</v>
      </c>
      <c r="I6" s="92">
        <v>9257</v>
      </c>
      <c r="J6" s="87">
        <f>H6+I6</f>
        <v>11639</v>
      </c>
    </row>
    <row r="7" spans="1:10" x14ac:dyDescent="0.3">
      <c r="A7" s="34">
        <v>4</v>
      </c>
      <c r="B7" s="34">
        <v>28.8</v>
      </c>
      <c r="C7" s="34"/>
      <c r="D7" s="34"/>
      <c r="F7" s="152"/>
      <c r="G7" s="93" t="s">
        <v>60</v>
      </c>
      <c r="H7" s="88">
        <v>3280</v>
      </c>
      <c r="I7" s="93">
        <v>10345</v>
      </c>
      <c r="J7" s="89">
        <f t="shared" ref="J7:J20" si="0">H7+I7</f>
        <v>13625</v>
      </c>
    </row>
    <row r="8" spans="1:10" x14ac:dyDescent="0.3">
      <c r="A8" s="34">
        <v>5</v>
      </c>
      <c r="B8" s="34">
        <v>47.7</v>
      </c>
      <c r="C8" s="34"/>
      <c r="D8" s="34"/>
      <c r="F8" s="152"/>
      <c r="G8" s="93" t="s">
        <v>61</v>
      </c>
      <c r="H8" s="88">
        <v>2790</v>
      </c>
      <c r="I8" s="93">
        <v>7883</v>
      </c>
      <c r="J8" s="89">
        <f t="shared" si="0"/>
        <v>10673</v>
      </c>
    </row>
    <row r="9" spans="1:10" x14ac:dyDescent="0.3">
      <c r="A9" s="1">
        <v>6</v>
      </c>
      <c r="B9" s="34">
        <v>34.299999999999997</v>
      </c>
      <c r="F9" s="152"/>
      <c r="G9" s="93" t="s">
        <v>62</v>
      </c>
      <c r="H9" s="88">
        <v>2830</v>
      </c>
      <c r="I9" s="93">
        <v>7730</v>
      </c>
      <c r="J9" s="89">
        <f t="shared" si="0"/>
        <v>10560</v>
      </c>
    </row>
    <row r="10" spans="1:10" x14ac:dyDescent="0.3">
      <c r="A10" s="34">
        <v>7</v>
      </c>
      <c r="B10" s="34">
        <v>43.7</v>
      </c>
      <c r="F10" s="153"/>
      <c r="G10" s="94" t="s">
        <v>63</v>
      </c>
      <c r="H10" s="90">
        <v>3142</v>
      </c>
      <c r="I10" s="94">
        <v>7571</v>
      </c>
      <c r="J10" s="91">
        <f t="shared" si="0"/>
        <v>10713</v>
      </c>
    </row>
    <row r="11" spans="1:10" x14ac:dyDescent="0.3">
      <c r="A11" s="34">
        <v>8</v>
      </c>
      <c r="B11" s="34">
        <v>29.6</v>
      </c>
      <c r="F11" s="154" t="s">
        <v>64</v>
      </c>
      <c r="G11" s="95" t="s">
        <v>59</v>
      </c>
      <c r="H11" s="74">
        <v>2882</v>
      </c>
      <c r="I11" s="95">
        <v>4830</v>
      </c>
      <c r="J11" s="75">
        <f t="shared" si="0"/>
        <v>7712</v>
      </c>
    </row>
    <row r="12" spans="1:10" x14ac:dyDescent="0.3">
      <c r="A12" s="34">
        <v>9</v>
      </c>
      <c r="B12" s="35">
        <v>29</v>
      </c>
      <c r="F12" s="155"/>
      <c r="G12" s="96" t="s">
        <v>60</v>
      </c>
      <c r="H12" s="76">
        <v>2515</v>
      </c>
      <c r="I12" s="96">
        <v>5461</v>
      </c>
      <c r="J12" s="77">
        <f t="shared" si="0"/>
        <v>7976</v>
      </c>
    </row>
    <row r="13" spans="1:10" x14ac:dyDescent="0.3">
      <c r="F13" s="155"/>
      <c r="G13" s="96" t="s">
        <v>61</v>
      </c>
      <c r="H13" s="76">
        <v>3120</v>
      </c>
      <c r="I13" s="96">
        <v>5556</v>
      </c>
      <c r="J13" s="77">
        <f t="shared" si="0"/>
        <v>8676</v>
      </c>
    </row>
    <row r="14" spans="1:10" x14ac:dyDescent="0.3">
      <c r="A14" s="1"/>
      <c r="F14" s="155"/>
      <c r="G14" s="96" t="s">
        <v>62</v>
      </c>
      <c r="H14" s="76">
        <v>3156</v>
      </c>
      <c r="I14" s="96">
        <v>6159</v>
      </c>
      <c r="J14" s="77">
        <f t="shared" si="0"/>
        <v>9315</v>
      </c>
    </row>
    <row r="15" spans="1:10" x14ac:dyDescent="0.3">
      <c r="A15" s="1"/>
      <c r="B15" s="1"/>
      <c r="F15" s="156"/>
      <c r="G15" s="97" t="s">
        <v>63</v>
      </c>
      <c r="H15" s="78">
        <v>3211</v>
      </c>
      <c r="I15" s="97">
        <v>5918</v>
      </c>
      <c r="J15" s="79">
        <f t="shared" si="0"/>
        <v>9129</v>
      </c>
    </row>
    <row r="16" spans="1:10" x14ac:dyDescent="0.3">
      <c r="A16" s="1"/>
      <c r="B16" s="1"/>
      <c r="F16" s="157" t="s">
        <v>65</v>
      </c>
      <c r="G16" s="98" t="s">
        <v>59</v>
      </c>
      <c r="H16" s="80">
        <v>3376</v>
      </c>
      <c r="I16" s="98">
        <v>8568</v>
      </c>
      <c r="J16" s="81">
        <f t="shared" si="0"/>
        <v>11944</v>
      </c>
    </row>
    <row r="17" spans="1:10" x14ac:dyDescent="0.3">
      <c r="A17" s="1"/>
      <c r="B17" s="1"/>
      <c r="F17" s="158"/>
      <c r="G17" s="99" t="s">
        <v>60</v>
      </c>
      <c r="H17" s="82">
        <v>3592</v>
      </c>
      <c r="I17" s="99">
        <v>6825</v>
      </c>
      <c r="J17" s="83">
        <f t="shared" si="0"/>
        <v>10417</v>
      </c>
    </row>
    <row r="18" spans="1:10" x14ac:dyDescent="0.3">
      <c r="A18" s="1"/>
      <c r="B18" s="1"/>
      <c r="F18" s="158"/>
      <c r="G18" s="99" t="s">
        <v>61</v>
      </c>
      <c r="H18" s="82">
        <v>0</v>
      </c>
      <c r="I18" s="99">
        <v>9781</v>
      </c>
      <c r="J18" s="83">
        <f t="shared" si="0"/>
        <v>9781</v>
      </c>
    </row>
    <row r="19" spans="1:10" x14ac:dyDescent="0.3">
      <c r="A19" s="1"/>
      <c r="B19" s="1"/>
      <c r="F19" s="158"/>
      <c r="G19" s="99" t="s">
        <v>62</v>
      </c>
      <c r="H19" s="82">
        <v>0</v>
      </c>
      <c r="I19" s="99">
        <v>10361</v>
      </c>
      <c r="J19" s="83">
        <f t="shared" si="0"/>
        <v>10361</v>
      </c>
    </row>
    <row r="20" spans="1:10" x14ac:dyDescent="0.3">
      <c r="A20" s="1"/>
      <c r="B20" s="1"/>
      <c r="F20" s="159"/>
      <c r="G20" s="100" t="s">
        <v>63</v>
      </c>
      <c r="H20" s="84">
        <v>3482</v>
      </c>
      <c r="I20" s="100">
        <v>4973</v>
      </c>
      <c r="J20" s="85">
        <f t="shared" si="0"/>
        <v>8455</v>
      </c>
    </row>
    <row r="21" spans="1:10" x14ac:dyDescent="0.3">
      <c r="B21" s="1"/>
    </row>
  </sheetData>
  <mergeCells count="3">
    <mergeCell ref="F6:F10"/>
    <mergeCell ref="F11:F15"/>
    <mergeCell ref="F16:F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41"/>
  <sheetViews>
    <sheetView topLeftCell="A2" zoomScale="70" zoomScaleNormal="70" workbookViewId="0">
      <selection activeCell="A37" sqref="A37:E41"/>
    </sheetView>
  </sheetViews>
  <sheetFormatPr defaultRowHeight="14.4" x14ac:dyDescent="0.3"/>
  <cols>
    <col min="1" max="1" width="11.33203125" customWidth="1"/>
    <col min="2" max="2" width="8.109375" customWidth="1"/>
    <col min="11" max="11" width="9.5546875" bestFit="1" customWidth="1"/>
    <col min="12" max="13" width="9" bestFit="1" customWidth="1"/>
  </cols>
  <sheetData>
    <row r="1" spans="1:19" ht="18" x14ac:dyDescent="0.35">
      <c r="A1" s="2" t="s">
        <v>3</v>
      </c>
      <c r="B1" s="2"/>
    </row>
    <row r="2" spans="1:19" x14ac:dyDescent="0.3">
      <c r="E2" s="18"/>
      <c r="F2" s="19" t="s">
        <v>11</v>
      </c>
      <c r="G2" s="20"/>
      <c r="H2" s="160" t="s">
        <v>13</v>
      </c>
      <c r="I2" s="161"/>
      <c r="J2" s="162"/>
      <c r="K2" s="160" t="s">
        <v>18</v>
      </c>
      <c r="L2" s="161"/>
      <c r="M2" s="162"/>
      <c r="N2" t="s">
        <v>19</v>
      </c>
    </row>
    <row r="3" spans="1:19" x14ac:dyDescent="0.3">
      <c r="A3" t="s">
        <v>4</v>
      </c>
      <c r="B3" t="s">
        <v>15</v>
      </c>
      <c r="C3" t="s">
        <v>5</v>
      </c>
      <c r="D3" t="s">
        <v>81</v>
      </c>
      <c r="E3" s="18" t="s">
        <v>8</v>
      </c>
      <c r="F3" s="19" t="s">
        <v>9</v>
      </c>
      <c r="G3" s="20" t="s">
        <v>10</v>
      </c>
      <c r="H3" s="18" t="s">
        <v>8</v>
      </c>
      <c r="I3" s="19" t="s">
        <v>9</v>
      </c>
      <c r="J3" s="20" t="s">
        <v>10</v>
      </c>
      <c r="K3" s="18" t="s">
        <v>8</v>
      </c>
      <c r="L3" s="19" t="s">
        <v>9</v>
      </c>
      <c r="M3" s="20" t="s">
        <v>10</v>
      </c>
      <c r="N3" s="19" t="s">
        <v>8</v>
      </c>
      <c r="O3" s="19" t="s">
        <v>9</v>
      </c>
      <c r="P3" s="20" t="s">
        <v>10</v>
      </c>
    </row>
    <row r="4" spans="1:19" x14ac:dyDescent="0.3">
      <c r="A4" s="18">
        <v>0</v>
      </c>
      <c r="B4" s="19">
        <v>0</v>
      </c>
      <c r="C4" s="19">
        <v>0</v>
      </c>
      <c r="D4" s="5">
        <v>0</v>
      </c>
      <c r="E4" s="19" t="s">
        <v>17</v>
      </c>
      <c r="F4" s="19" t="s">
        <v>17</v>
      </c>
      <c r="G4" s="20" t="s">
        <v>17</v>
      </c>
      <c r="H4" s="18"/>
      <c r="I4" s="19"/>
      <c r="J4" s="20"/>
      <c r="K4" s="18"/>
      <c r="L4" s="19"/>
      <c r="M4" s="20"/>
      <c r="N4" s="19">
        <v>0</v>
      </c>
      <c r="O4" s="19">
        <v>0</v>
      </c>
      <c r="P4" s="20">
        <v>0</v>
      </c>
      <c r="Q4" s="5">
        <f>N4/$H$24</f>
        <v>0</v>
      </c>
      <c r="R4" s="5">
        <f t="shared" ref="R4:S19" si="0">O4/$H$24</f>
        <v>0</v>
      </c>
      <c r="S4" s="5">
        <f t="shared" si="0"/>
        <v>0</v>
      </c>
    </row>
    <row r="5" spans="1:19" x14ac:dyDescent="0.3">
      <c r="A5" s="10">
        <v>1</v>
      </c>
      <c r="B5" s="5">
        <v>5</v>
      </c>
      <c r="C5" s="5">
        <v>198</v>
      </c>
      <c r="D5" s="5">
        <f>D4+C5/1000</f>
        <v>0.19800000000000001</v>
      </c>
      <c r="E5" s="5">
        <v>48767</v>
      </c>
      <c r="F5" s="51">
        <v>3639</v>
      </c>
      <c r="G5" s="11">
        <v>260</v>
      </c>
      <c r="H5" s="46">
        <f>E5*$B$25/$B$26</f>
        <v>6.2587429805362307</v>
      </c>
      <c r="I5" s="4">
        <f>F5*$C$25/$C$26</f>
        <v>0.21992395781605881</v>
      </c>
      <c r="J5" s="47">
        <f>G5*$E$25/$E$26</f>
        <v>4.0701058825380346E-2</v>
      </c>
      <c r="K5" s="12">
        <f>H5*C5/1000</f>
        <v>1.2392311101461737</v>
      </c>
      <c r="L5" s="13">
        <f>I5*C5/1000</f>
        <v>4.3544943647579645E-2</v>
      </c>
      <c r="M5" s="14">
        <f>J5*C5/1000</f>
        <v>8.0588096474253079E-3</v>
      </c>
      <c r="N5" s="13">
        <f>K5+K4</f>
        <v>1.2392311101461737</v>
      </c>
      <c r="O5" s="13">
        <f>L5+L4</f>
        <v>4.3544943647579645E-2</v>
      </c>
      <c r="P5" s="14">
        <f>M5+M4</f>
        <v>8.0588096474253079E-3</v>
      </c>
      <c r="Q5" s="5">
        <f t="shared" ref="Q5:Q19" si="1">N5/$H$24</f>
        <v>2.8228499092167968E-2</v>
      </c>
      <c r="R5" s="5">
        <f t="shared" si="0"/>
        <v>9.9191215598131311E-4</v>
      </c>
      <c r="S5" s="5">
        <f t="shared" si="0"/>
        <v>1.8357197374545121E-4</v>
      </c>
    </row>
    <row r="6" spans="1:19" x14ac:dyDescent="0.3">
      <c r="A6" s="10">
        <v>2</v>
      </c>
      <c r="B6" s="5">
        <v>10</v>
      </c>
      <c r="C6" s="5">
        <v>200</v>
      </c>
      <c r="D6" s="5">
        <f t="shared" ref="D6:D19" si="2">D5+C6/1000</f>
        <v>0.39800000000000002</v>
      </c>
      <c r="E6" s="5">
        <v>32244</v>
      </c>
      <c r="F6" s="51">
        <v>2757</v>
      </c>
      <c r="G6" s="11">
        <v>120</v>
      </c>
      <c r="H6" s="46">
        <f t="shared" ref="H6:H14" si="3">E6*$B$25/$B$26</f>
        <v>4.1381858360040651</v>
      </c>
      <c r="I6" s="4">
        <f t="shared" ref="I6:I14" si="4">F6*$C$25/$C$26</f>
        <v>0.16662004718298273</v>
      </c>
      <c r="J6" s="47">
        <f t="shared" ref="J6:J14" si="5">G6*$E$25/$E$26</f>
        <v>1.8785104073252467E-2</v>
      </c>
      <c r="K6" s="12">
        <f t="shared" ref="K6:K19" si="6">H6*C6/1000</f>
        <v>0.82763716720081304</v>
      </c>
      <c r="L6" s="13">
        <f t="shared" ref="L6:L19" si="7">I6*C6/1000</f>
        <v>3.3324009436596545E-2</v>
      </c>
      <c r="M6" s="14">
        <f t="shared" ref="M6:M19" si="8">J6*C6/1000</f>
        <v>3.7570208146504936E-3</v>
      </c>
      <c r="N6" s="13">
        <f>SUM(K5:K6)</f>
        <v>2.0668682773469866</v>
      </c>
      <c r="O6" s="13">
        <f>SUM(L5:L6)</f>
        <v>7.6868953084176184E-2</v>
      </c>
      <c r="P6" s="14">
        <f>SUM(M5:M6)</f>
        <v>1.1815830462075801E-2</v>
      </c>
      <c r="Q6" s="5">
        <f t="shared" si="1"/>
        <v>4.7081281944122706E-2</v>
      </c>
      <c r="R6" s="5">
        <f t="shared" si="0"/>
        <v>1.7510012092067468E-3</v>
      </c>
      <c r="S6" s="5">
        <f t="shared" si="0"/>
        <v>2.6915331348692029E-4</v>
      </c>
    </row>
    <row r="7" spans="1:19" x14ac:dyDescent="0.3">
      <c r="A7" s="10">
        <v>3</v>
      </c>
      <c r="B7" s="5">
        <v>15</v>
      </c>
      <c r="C7" s="5">
        <v>196</v>
      </c>
      <c r="D7" s="5">
        <f t="shared" si="2"/>
        <v>0.59400000000000008</v>
      </c>
      <c r="E7" s="5">
        <v>29303</v>
      </c>
      <c r="F7" s="51">
        <v>3425</v>
      </c>
      <c r="G7" s="11">
        <v>260</v>
      </c>
      <c r="H7" s="46">
        <f t="shared" si="3"/>
        <v>3.7607387282107405</v>
      </c>
      <c r="I7" s="4">
        <f t="shared" si="4"/>
        <v>0.2069908094311628</v>
      </c>
      <c r="J7" s="47">
        <f t="shared" si="5"/>
        <v>4.0701058825380346E-2</v>
      </c>
      <c r="K7" s="12">
        <f t="shared" si="6"/>
        <v>0.73710479072930513</v>
      </c>
      <c r="L7" s="13">
        <f t="shared" si="7"/>
        <v>4.0570198648507909E-2</v>
      </c>
      <c r="M7" s="14">
        <f t="shared" si="8"/>
        <v>7.9774075297745477E-3</v>
      </c>
      <c r="N7" s="13">
        <f>SUM(K5:K7)</f>
        <v>2.8039730680762918</v>
      </c>
      <c r="O7" s="13">
        <f t="shared" ref="O7:P7" si="9">SUM(L5:L7)</f>
        <v>0.1174391517326841</v>
      </c>
      <c r="P7" s="14">
        <f t="shared" si="9"/>
        <v>1.979323799185035E-2</v>
      </c>
      <c r="Q7" s="5">
        <f t="shared" si="1"/>
        <v>6.3871823874175213E-2</v>
      </c>
      <c r="R7" s="5">
        <f t="shared" si="0"/>
        <v>2.6751515201066992E-3</v>
      </c>
      <c r="S7" s="5">
        <f t="shared" si="0"/>
        <v>4.5087102487130639E-4</v>
      </c>
    </row>
    <row r="8" spans="1:19" x14ac:dyDescent="0.3">
      <c r="A8" s="10">
        <v>4</v>
      </c>
      <c r="B8" s="5">
        <v>20</v>
      </c>
      <c r="C8" s="51">
        <v>200</v>
      </c>
      <c r="D8" s="5">
        <f t="shared" si="2"/>
        <v>0.79400000000000004</v>
      </c>
      <c r="E8" s="5">
        <v>23496</v>
      </c>
      <c r="F8" s="51">
        <v>2760</v>
      </c>
      <c r="G8" s="11">
        <v>0</v>
      </c>
      <c r="H8" s="46">
        <f t="shared" si="3"/>
        <v>3.0154699914015479</v>
      </c>
      <c r="I8" s="4">
        <f t="shared" si="4"/>
        <v>0.16680135300146257</v>
      </c>
      <c r="J8" s="47">
        <f t="shared" si="5"/>
        <v>0</v>
      </c>
      <c r="K8" s="12">
        <f t="shared" si="6"/>
        <v>0.60309399828030963</v>
      </c>
      <c r="L8" s="13">
        <f t="shared" si="7"/>
        <v>3.3360270600292515E-2</v>
      </c>
      <c r="M8" s="14">
        <f t="shared" si="8"/>
        <v>0</v>
      </c>
      <c r="N8" s="13">
        <f>SUM(K4:K8)</f>
        <v>3.4070670663566016</v>
      </c>
      <c r="O8" s="13">
        <f t="shared" ref="O8:P8" si="10">SUM(L4:L8)</f>
        <v>0.15079942233297661</v>
      </c>
      <c r="P8" s="14">
        <f t="shared" si="10"/>
        <v>1.979323799185035E-2</v>
      </c>
      <c r="Q8" s="5">
        <f t="shared" si="1"/>
        <v>7.7609728163020544E-2</v>
      </c>
      <c r="R8" s="5">
        <f t="shared" si="0"/>
        <v>3.4350665679493534E-3</v>
      </c>
      <c r="S8" s="5">
        <f t="shared" si="0"/>
        <v>4.5087102487130639E-4</v>
      </c>
    </row>
    <row r="9" spans="1:19" x14ac:dyDescent="0.3">
      <c r="A9" s="10">
        <v>5</v>
      </c>
      <c r="B9" s="5">
        <v>25</v>
      </c>
      <c r="C9" s="51">
        <v>200</v>
      </c>
      <c r="D9" s="5">
        <f t="shared" si="2"/>
        <v>0.99399999999999999</v>
      </c>
      <c r="E9" s="5">
        <v>20348</v>
      </c>
      <c r="F9" s="51">
        <v>2783</v>
      </c>
      <c r="G9" s="11">
        <v>626</v>
      </c>
      <c r="H9" s="46">
        <f t="shared" si="3"/>
        <v>2.6114565621824437</v>
      </c>
      <c r="I9" s="4">
        <f t="shared" si="4"/>
        <v>0.16819136427647477</v>
      </c>
      <c r="J9" s="47">
        <f t="shared" si="5"/>
        <v>9.7995626248800358E-2</v>
      </c>
      <c r="K9" s="12">
        <f t="shared" si="6"/>
        <v>0.52229131243648874</v>
      </c>
      <c r="L9" s="13">
        <f t="shared" si="7"/>
        <v>3.3638272855294957E-2</v>
      </c>
      <c r="M9" s="14">
        <f t="shared" si="8"/>
        <v>1.9599125249760072E-2</v>
      </c>
      <c r="N9" s="13">
        <f>SUM(K4:K9)</f>
        <v>3.9293583787930904</v>
      </c>
      <c r="O9" s="13">
        <f t="shared" ref="O9:P9" si="11">SUM(L4:L9)</f>
        <v>0.18443769518827158</v>
      </c>
      <c r="P9" s="14">
        <f t="shared" si="11"/>
        <v>3.9392363241610426E-2</v>
      </c>
      <c r="Q9" s="5">
        <f t="shared" si="1"/>
        <v>8.9507024573874494E-2</v>
      </c>
      <c r="R9" s="5">
        <f t="shared" si="0"/>
        <v>4.201314241190697E-3</v>
      </c>
      <c r="S9" s="5">
        <f t="shared" si="0"/>
        <v>8.9732034718930363E-4</v>
      </c>
    </row>
    <row r="10" spans="1:19" x14ac:dyDescent="0.3">
      <c r="A10" s="10">
        <v>6</v>
      </c>
      <c r="B10" s="5">
        <v>30</v>
      </c>
      <c r="C10" s="51">
        <v>200</v>
      </c>
      <c r="D10" s="5">
        <f t="shared" si="2"/>
        <v>1.194</v>
      </c>
      <c r="E10" s="5">
        <v>17587</v>
      </c>
      <c r="F10" s="51">
        <v>2908</v>
      </c>
      <c r="G10" s="11">
        <v>541</v>
      </c>
      <c r="H10" s="46">
        <f t="shared" si="3"/>
        <v>2.2571106034550148</v>
      </c>
      <c r="I10" s="4">
        <f t="shared" si="4"/>
        <v>0.17574577337980188</v>
      </c>
      <c r="J10" s="47">
        <f t="shared" si="5"/>
        <v>8.468951086357987E-2</v>
      </c>
      <c r="K10" s="12">
        <f t="shared" si="6"/>
        <v>0.45142212069100301</v>
      </c>
      <c r="L10" s="13">
        <f t="shared" si="7"/>
        <v>3.5149154675960373E-2</v>
      </c>
      <c r="M10" s="14">
        <f t="shared" si="8"/>
        <v>1.6937902172715971E-2</v>
      </c>
      <c r="N10" s="13">
        <f>SUM(K4:K10)</f>
        <v>4.3807804994840938</v>
      </c>
      <c r="O10" s="13">
        <f t="shared" ref="O10:P10" si="12">SUM(L4:L10)</f>
        <v>0.21958684986423194</v>
      </c>
      <c r="P10" s="14">
        <f t="shared" si="12"/>
        <v>5.6330265414326397E-2</v>
      </c>
      <c r="Q10" s="5">
        <f t="shared" si="1"/>
        <v>9.9789988598726509E-2</v>
      </c>
      <c r="R10" s="5">
        <f t="shared" si="0"/>
        <v>5.001978356816217E-3</v>
      </c>
      <c r="S10" s="5">
        <f t="shared" si="0"/>
        <v>1.2831495538570934E-3</v>
      </c>
    </row>
    <row r="11" spans="1:19" x14ac:dyDescent="0.3">
      <c r="A11" s="10">
        <v>7</v>
      </c>
      <c r="B11" s="5">
        <v>35</v>
      </c>
      <c r="C11" s="51">
        <v>200</v>
      </c>
      <c r="D11" s="5">
        <f t="shared" si="2"/>
        <v>1.3939999999999999</v>
      </c>
      <c r="E11" s="5">
        <v>15707</v>
      </c>
      <c r="F11" s="51">
        <v>2579</v>
      </c>
      <c r="G11" s="11">
        <v>755</v>
      </c>
      <c r="H11" s="46">
        <f t="shared" si="3"/>
        <v>2.0158319354334404</v>
      </c>
      <c r="I11" s="4">
        <f t="shared" si="4"/>
        <v>0.15586256861984493</v>
      </c>
      <c r="J11" s="47">
        <f t="shared" si="5"/>
        <v>0.11818961312754675</v>
      </c>
      <c r="K11" s="12">
        <f t="shared" si="6"/>
        <v>0.40316638708668806</v>
      </c>
      <c r="L11" s="13">
        <f t="shared" si="7"/>
        <v>3.1172513723968988E-2</v>
      </c>
      <c r="M11" s="14">
        <f t="shared" si="8"/>
        <v>2.3637922625509351E-2</v>
      </c>
      <c r="N11" s="13">
        <f>SUM(K4:K11)</f>
        <v>4.7839468865707815</v>
      </c>
      <c r="O11" s="13">
        <f t="shared" ref="O11:P11" si="13">SUM(L4:L11)</f>
        <v>0.25075936358820095</v>
      </c>
      <c r="P11" s="14">
        <f t="shared" si="13"/>
        <v>7.9968188039835741E-2</v>
      </c>
      <c r="Q11" s="5">
        <f t="shared" si="1"/>
        <v>0.10897373317928888</v>
      </c>
      <c r="R11" s="5">
        <f t="shared" si="0"/>
        <v>5.7120583960865818E-3</v>
      </c>
      <c r="S11" s="5">
        <f t="shared" si="0"/>
        <v>1.8215988163971695E-3</v>
      </c>
    </row>
    <row r="12" spans="1:19" x14ac:dyDescent="0.3">
      <c r="A12" s="10">
        <v>8</v>
      </c>
      <c r="B12" s="5">
        <v>40</v>
      </c>
      <c r="C12" s="51">
        <v>198</v>
      </c>
      <c r="D12" s="5">
        <f t="shared" si="2"/>
        <v>1.5919999999999999</v>
      </c>
      <c r="E12" s="5">
        <v>14755</v>
      </c>
      <c r="F12" s="51">
        <v>2677</v>
      </c>
      <c r="G12" s="11">
        <v>894</v>
      </c>
      <c r="H12" s="46">
        <f t="shared" si="3"/>
        <v>1.8936525248182601</v>
      </c>
      <c r="I12" s="4">
        <f t="shared" si="4"/>
        <v>0.16178522535685338</v>
      </c>
      <c r="J12" s="47">
        <f t="shared" si="5"/>
        <v>0.13994902534573087</v>
      </c>
      <c r="K12" s="12">
        <f t="shared" si="6"/>
        <v>0.37494319991401553</v>
      </c>
      <c r="L12" s="13">
        <f t="shared" si="7"/>
        <v>3.203347462065697E-2</v>
      </c>
      <c r="M12" s="14">
        <f t="shared" si="8"/>
        <v>2.7709907018454712E-2</v>
      </c>
      <c r="N12" s="13">
        <f>SUM(K4:K12)</f>
        <v>5.1588900864847966</v>
      </c>
      <c r="O12" s="13">
        <f t="shared" ref="O12:P12" si="14">SUM(L4:L12)</f>
        <v>0.28279283820885792</v>
      </c>
      <c r="P12" s="14">
        <f t="shared" si="14"/>
        <v>0.10767809505829046</v>
      </c>
      <c r="Q12" s="5">
        <f t="shared" si="1"/>
        <v>0.11751458055774025</v>
      </c>
      <c r="R12" s="5">
        <f t="shared" si="0"/>
        <v>6.4417503008851462E-3</v>
      </c>
      <c r="S12" s="5">
        <f t="shared" si="0"/>
        <v>2.4528039876603749E-3</v>
      </c>
    </row>
    <row r="13" spans="1:19" x14ac:dyDescent="0.3">
      <c r="A13" s="10">
        <v>9</v>
      </c>
      <c r="B13" s="5">
        <v>45</v>
      </c>
      <c r="C13" s="51">
        <v>200</v>
      </c>
      <c r="D13" s="5">
        <f t="shared" si="2"/>
        <v>1.7919999999999998</v>
      </c>
      <c r="E13" s="5">
        <v>13613</v>
      </c>
      <c r="F13" s="51">
        <v>2669</v>
      </c>
      <c r="G13" s="11">
        <v>769</v>
      </c>
      <c r="H13" s="46">
        <f t="shared" si="3"/>
        <v>1.7470885679668571</v>
      </c>
      <c r="I13" s="4">
        <f t="shared" si="4"/>
        <v>0.16130174317424043</v>
      </c>
      <c r="J13" s="47">
        <f t="shared" si="5"/>
        <v>0.12038120860275954</v>
      </c>
      <c r="K13" s="12">
        <f t="shared" si="6"/>
        <v>0.34941771359337137</v>
      </c>
      <c r="L13" s="13">
        <f t="shared" si="7"/>
        <v>3.2260348634848085E-2</v>
      </c>
      <c r="M13" s="14">
        <f t="shared" si="8"/>
        <v>2.4076241720551908E-2</v>
      </c>
      <c r="N13" s="13">
        <f>SUM(K4:K13)</f>
        <v>5.5083078000781676</v>
      </c>
      <c r="O13" s="13">
        <f t="shared" ref="O13:P13" si="15">SUM(L4:L13)</f>
        <v>0.31505318684370598</v>
      </c>
      <c r="P13" s="14">
        <f t="shared" si="15"/>
        <v>0.13175433677884235</v>
      </c>
      <c r="Q13" s="5">
        <f t="shared" si="1"/>
        <v>0.12547398177854596</v>
      </c>
      <c r="R13" s="5">
        <f t="shared" si="0"/>
        <v>7.1766101786721178E-3</v>
      </c>
      <c r="S13" s="5">
        <f t="shared" si="0"/>
        <v>3.0012377398369555E-3</v>
      </c>
    </row>
    <row r="14" spans="1:19" x14ac:dyDescent="0.3">
      <c r="A14" s="44">
        <v>10</v>
      </c>
      <c r="B14" s="45">
        <v>50</v>
      </c>
      <c r="C14" s="45">
        <v>198</v>
      </c>
      <c r="D14" s="5">
        <f t="shared" si="2"/>
        <v>1.9899999999999998</v>
      </c>
      <c r="E14" s="45">
        <v>9367</v>
      </c>
      <c r="F14" s="45">
        <v>2635</v>
      </c>
      <c r="G14" s="50">
        <v>404</v>
      </c>
      <c r="H14" s="38">
        <f t="shared" si="3"/>
        <v>1.2021581294457906</v>
      </c>
      <c r="I14" s="39">
        <f t="shared" si="4"/>
        <v>0.15924694389813546</v>
      </c>
      <c r="J14" s="40">
        <f t="shared" si="5"/>
        <v>6.3243183713283302E-2</v>
      </c>
      <c r="K14" s="15">
        <f>H14*C14/1000</f>
        <v>0.23802730963026653</v>
      </c>
      <c r="L14" s="16">
        <f t="shared" si="7"/>
        <v>3.1530894891830821E-2</v>
      </c>
      <c r="M14" s="17">
        <f t="shared" si="8"/>
        <v>1.2522150375230095E-2</v>
      </c>
      <c r="N14" s="16">
        <f>SUM(K4:K14)</f>
        <v>5.7463351097084345</v>
      </c>
      <c r="O14" s="16">
        <f t="shared" ref="O14" si="16">SUM(L4:L14)</f>
        <v>0.34658408173553679</v>
      </c>
      <c r="P14" s="17">
        <f>SUM(M4:M14)</f>
        <v>0.14427648715407246</v>
      </c>
      <c r="Q14" s="45">
        <f t="shared" si="1"/>
        <v>0.13089601616647914</v>
      </c>
      <c r="R14" s="45">
        <f t="shared" si="0"/>
        <v>7.8948537980760083E-3</v>
      </c>
      <c r="S14" s="45">
        <f t="shared" si="0"/>
        <v>3.2864803451952726E-3</v>
      </c>
    </row>
    <row r="15" spans="1:19" x14ac:dyDescent="0.3">
      <c r="A15" s="10">
        <v>11</v>
      </c>
      <c r="B15" s="5">
        <v>60</v>
      </c>
      <c r="C15" s="5">
        <v>365</v>
      </c>
      <c r="D15" s="5">
        <f t="shared" si="2"/>
        <v>2.3549999999999995</v>
      </c>
      <c r="E15" s="5">
        <v>11639</v>
      </c>
      <c r="F15" s="5">
        <v>3069</v>
      </c>
      <c r="G15" s="5">
        <v>758</v>
      </c>
      <c r="H15" s="46">
        <f>E15*$B$27/$B$28</f>
        <v>1.3573981381443603</v>
      </c>
      <c r="I15" s="4">
        <f>F15*$C$27/$C$28</f>
        <v>0.18100801826004642</v>
      </c>
      <c r="J15" s="47">
        <f>G15*$E$27/$E$28</f>
        <v>5.8007898875929192E-2</v>
      </c>
      <c r="K15" s="13">
        <f t="shared" si="6"/>
        <v>0.49545032042269149</v>
      </c>
      <c r="L15" s="13">
        <f t="shared" si="7"/>
        <v>6.606792666491694E-2</v>
      </c>
      <c r="M15" s="14">
        <f t="shared" si="8"/>
        <v>2.1172883089714156E-2</v>
      </c>
      <c r="N15" s="13">
        <f>SUM(K4:K15)</f>
        <v>6.2417854301311264</v>
      </c>
      <c r="O15" s="13">
        <f t="shared" ref="O15:P15" si="17">SUM(L4:L15)</f>
        <v>0.41265200840045374</v>
      </c>
      <c r="P15" s="14">
        <f t="shared" si="17"/>
        <v>0.16544937024378661</v>
      </c>
      <c r="Q15">
        <f t="shared" si="1"/>
        <v>0.14218190045856779</v>
      </c>
      <c r="R15">
        <f t="shared" si="0"/>
        <v>9.3998179590080583E-3</v>
      </c>
      <c r="S15">
        <f t="shared" si="0"/>
        <v>3.7687783654621098E-3</v>
      </c>
    </row>
    <row r="16" spans="1:19" x14ac:dyDescent="0.3">
      <c r="A16" s="10">
        <v>12</v>
      </c>
      <c r="B16" s="5">
        <v>70</v>
      </c>
      <c r="C16" s="51">
        <v>390</v>
      </c>
      <c r="D16" s="5">
        <f t="shared" si="2"/>
        <v>2.7449999999999997</v>
      </c>
      <c r="E16" s="5">
        <v>13625</v>
      </c>
      <c r="F16" s="51">
        <v>2980</v>
      </c>
      <c r="G16" s="51">
        <v>1643</v>
      </c>
      <c r="H16" s="48">
        <f t="shared" ref="H16:H19" si="18">E16*$B$25/$B$26</f>
        <v>1.7486286445712502</v>
      </c>
      <c r="I16" s="72">
        <f t="shared" ref="I16:I19" si="19">F16*$C$25/$C$26</f>
        <v>0.18009711302331829</v>
      </c>
      <c r="J16" s="49">
        <f t="shared" ref="J16:J19" si="20">G16*$E$27/$E$28</f>
        <v>0.12573479927856418</v>
      </c>
      <c r="K16" s="13">
        <f t="shared" si="6"/>
        <v>0.68196517138278767</v>
      </c>
      <c r="L16" s="13">
        <f t="shared" si="7"/>
        <v>7.023787407909414E-2</v>
      </c>
      <c r="M16" s="14">
        <f t="shared" si="8"/>
        <v>4.903657171864003E-2</v>
      </c>
      <c r="N16" s="13">
        <f>SUM(K4:K16)</f>
        <v>6.9237506015139143</v>
      </c>
      <c r="O16" s="13">
        <f>SUM(L4:L16)</f>
        <v>0.48288988247954789</v>
      </c>
      <c r="P16" s="14">
        <f t="shared" ref="P16" si="21">SUM(M4:M16)</f>
        <v>0.21448594196242665</v>
      </c>
      <c r="Q16">
        <f t="shared" si="1"/>
        <v>0.15771641461307323</v>
      </c>
      <c r="R16">
        <f t="shared" si="0"/>
        <v>1.0999769532563734E-2</v>
      </c>
      <c r="S16">
        <f t="shared" si="0"/>
        <v>4.885784554952771E-3</v>
      </c>
    </row>
    <row r="17" spans="1:19" x14ac:dyDescent="0.3">
      <c r="A17" s="10">
        <v>13</v>
      </c>
      <c r="B17" s="5">
        <v>80</v>
      </c>
      <c r="C17" s="51">
        <v>390</v>
      </c>
      <c r="D17" s="5">
        <f t="shared" si="2"/>
        <v>3.1349999999999998</v>
      </c>
      <c r="E17" s="5">
        <v>10673</v>
      </c>
      <c r="F17" s="51">
        <v>2487</v>
      </c>
      <c r="G17" s="51">
        <v>1331</v>
      </c>
      <c r="H17" s="48">
        <f t="shared" si="18"/>
        <v>1.3697697998905654</v>
      </c>
      <c r="I17" s="72">
        <f t="shared" si="19"/>
        <v>0.15030252351979617</v>
      </c>
      <c r="J17" s="49">
        <f t="shared" si="20"/>
        <v>0.10185819710271998</v>
      </c>
      <c r="K17" s="13">
        <f t="shared" si="6"/>
        <v>0.53421022195732049</v>
      </c>
      <c r="L17" s="13">
        <f t="shared" si="7"/>
        <v>5.8617984172720503E-2</v>
      </c>
      <c r="M17" s="14">
        <f t="shared" si="8"/>
        <v>3.9724696870060798E-2</v>
      </c>
      <c r="N17" s="13">
        <f>SUM(K4:K17)</f>
        <v>7.4579608234712351</v>
      </c>
      <c r="O17" s="13">
        <f t="shared" ref="O17:P17" si="22">SUM(L4:L17)</f>
        <v>0.54150786665226835</v>
      </c>
      <c r="P17" s="14">
        <f t="shared" si="22"/>
        <v>0.25421063883248746</v>
      </c>
      <c r="Q17">
        <f t="shared" si="1"/>
        <v>0.16988521237975479</v>
      </c>
      <c r="R17">
        <f t="shared" si="0"/>
        <v>1.233503113103117E-2</v>
      </c>
      <c r="S17">
        <f t="shared" si="0"/>
        <v>5.7906751442480062E-3</v>
      </c>
    </row>
    <row r="18" spans="1:19" x14ac:dyDescent="0.3">
      <c r="A18" s="10">
        <v>14</v>
      </c>
      <c r="B18" s="5">
        <v>90</v>
      </c>
      <c r="C18" s="51">
        <v>390</v>
      </c>
      <c r="D18" s="5">
        <f t="shared" si="2"/>
        <v>3.5249999999999999</v>
      </c>
      <c r="E18" s="5">
        <v>10560</v>
      </c>
      <c r="F18" s="51">
        <v>2867</v>
      </c>
      <c r="G18" s="51">
        <v>1101</v>
      </c>
      <c r="H18" s="48">
        <f t="shared" si="18"/>
        <v>1.3552674118658643</v>
      </c>
      <c r="I18" s="72">
        <f t="shared" si="19"/>
        <v>0.17326792719391057</v>
      </c>
      <c r="J18" s="49">
        <f t="shared" si="20"/>
        <v>8.4256855755142523E-2</v>
      </c>
      <c r="K18" s="13">
        <f t="shared" si="6"/>
        <v>0.52855429062768711</v>
      </c>
      <c r="L18" s="13">
        <f t="shared" si="7"/>
        <v>6.7574491605625134E-2</v>
      </c>
      <c r="M18" s="14">
        <f t="shared" si="8"/>
        <v>3.2860173744505589E-2</v>
      </c>
      <c r="N18" s="13">
        <f>SUM(K4:K18)</f>
        <v>7.9865151140989221</v>
      </c>
      <c r="O18" s="13">
        <f t="shared" ref="O18" si="23">SUM(L4:L18)</f>
        <v>0.60908235825789347</v>
      </c>
      <c r="P18" s="14">
        <f>SUM(M4:M18)</f>
        <v>0.28707081257699307</v>
      </c>
      <c r="Q18">
        <f t="shared" si="1"/>
        <v>0.18192517344188888</v>
      </c>
      <c r="R18">
        <f t="shared" si="0"/>
        <v>1.3874313399952015E-2</v>
      </c>
      <c r="S18">
        <f t="shared" si="0"/>
        <v>6.5391984641684072E-3</v>
      </c>
    </row>
    <row r="19" spans="1:19" x14ac:dyDescent="0.3">
      <c r="A19" s="44">
        <v>15</v>
      </c>
      <c r="B19" s="45">
        <v>100</v>
      </c>
      <c r="C19" s="45">
        <v>390</v>
      </c>
      <c r="D19" s="5">
        <f t="shared" si="2"/>
        <v>3.915</v>
      </c>
      <c r="E19" s="45">
        <v>10713</v>
      </c>
      <c r="F19" s="45">
        <v>2881</v>
      </c>
      <c r="G19" s="45">
        <v>510</v>
      </c>
      <c r="H19" s="48">
        <f t="shared" si="18"/>
        <v>1.3749033885718753</v>
      </c>
      <c r="I19" s="72">
        <f t="shared" si="19"/>
        <v>0.17411402101348322</v>
      </c>
      <c r="J19" s="49">
        <f t="shared" si="20"/>
        <v>3.9029061248976107E-2</v>
      </c>
      <c r="K19" s="16">
        <f t="shared" si="6"/>
        <v>0.53621232154303144</v>
      </c>
      <c r="L19" s="16">
        <f t="shared" si="7"/>
        <v>6.7904468195258458E-2</v>
      </c>
      <c r="M19" s="17">
        <f t="shared" si="8"/>
        <v>1.5221333887100683E-2</v>
      </c>
      <c r="N19" s="16">
        <f>SUM(K4:K19)</f>
        <v>8.5227274356419542</v>
      </c>
      <c r="O19" s="16">
        <f t="shared" ref="O19:P19" si="24">SUM(L4:L19)</f>
        <v>0.67698682645315189</v>
      </c>
      <c r="P19" s="17">
        <f t="shared" si="24"/>
        <v>0.30229214646409375</v>
      </c>
      <c r="Q19">
        <f t="shared" si="1"/>
        <v>0.19413957712168461</v>
      </c>
      <c r="R19">
        <f t="shared" si="0"/>
        <v>1.5421112219889566E-2</v>
      </c>
      <c r="S19">
        <f t="shared" si="0"/>
        <v>6.885925887564778E-3</v>
      </c>
    </row>
    <row r="20" spans="1:19" x14ac:dyDescent="0.3">
      <c r="K20" s="38">
        <f>SUM(K5:K19)</f>
        <v>8.5227274356419542</v>
      </c>
      <c r="L20" s="39">
        <f t="shared" ref="L20:M20" si="25">SUM(L5:L19)</f>
        <v>0.67698682645315189</v>
      </c>
      <c r="M20" s="40">
        <f t="shared" si="25"/>
        <v>0.30229214646409375</v>
      </c>
    </row>
    <row r="23" spans="1:19" x14ac:dyDescent="0.3">
      <c r="A23" s="21" t="s">
        <v>44</v>
      </c>
      <c r="G23" s="21" t="s">
        <v>45</v>
      </c>
      <c r="H23" s="21"/>
    </row>
    <row r="24" spans="1:19" x14ac:dyDescent="0.3">
      <c r="A24" s="21"/>
      <c r="B24" t="s">
        <v>8</v>
      </c>
      <c r="C24" t="s">
        <v>9</v>
      </c>
      <c r="E24" t="s">
        <v>10</v>
      </c>
      <c r="G24" t="s">
        <v>22</v>
      </c>
      <c r="H24" s="34">
        <v>43.9</v>
      </c>
      <c r="K24" t="s">
        <v>7</v>
      </c>
    </row>
    <row r="25" spans="1:19" x14ac:dyDescent="0.3">
      <c r="A25" t="s">
        <v>13</v>
      </c>
      <c r="B25" s="4">
        <v>39.404400000000003</v>
      </c>
      <c r="C25" s="4">
        <v>40.04</v>
      </c>
      <c r="D25" s="4"/>
      <c r="E25" s="5">
        <v>39.799999999999997</v>
      </c>
      <c r="H25" t="s">
        <v>8</v>
      </c>
      <c r="I25" t="s">
        <v>9</v>
      </c>
      <c r="J25" t="s">
        <v>10</v>
      </c>
    </row>
    <row r="26" spans="1:19" x14ac:dyDescent="0.3">
      <c r="A26" t="s">
        <v>14</v>
      </c>
      <c r="B26">
        <v>307032</v>
      </c>
      <c r="C26">
        <v>662527</v>
      </c>
      <c r="E26">
        <v>254244</v>
      </c>
      <c r="G26" t="s">
        <v>20</v>
      </c>
      <c r="H26">
        <v>53</v>
      </c>
      <c r="I26">
        <v>32</v>
      </c>
      <c r="J26">
        <v>15</v>
      </c>
      <c r="K26" s="3">
        <f>SUM(H26:J26)</f>
        <v>100</v>
      </c>
    </row>
    <row r="27" spans="1:19" x14ac:dyDescent="0.3">
      <c r="A27" t="s">
        <v>40</v>
      </c>
      <c r="B27">
        <v>39.4</v>
      </c>
      <c r="C27">
        <v>40</v>
      </c>
      <c r="E27">
        <v>39.799999999999997</v>
      </c>
      <c r="G27" t="s">
        <v>24</v>
      </c>
      <c r="H27" s="3">
        <f>H24*H26/100</f>
        <v>23.266999999999999</v>
      </c>
      <c r="I27" s="3">
        <f>H24*I26/100</f>
        <v>14.048</v>
      </c>
      <c r="J27" s="3">
        <f>H24*J26/100</f>
        <v>6.585</v>
      </c>
      <c r="K27" s="3">
        <f>SUM(H27:J27)</f>
        <v>43.9</v>
      </c>
    </row>
    <row r="28" spans="1:19" x14ac:dyDescent="0.3">
      <c r="A28" t="s">
        <v>41</v>
      </c>
      <c r="B28">
        <v>337835</v>
      </c>
      <c r="C28">
        <v>678202</v>
      </c>
      <c r="E28">
        <v>520074</v>
      </c>
      <c r="G28" s="21" t="s">
        <v>42</v>
      </c>
      <c r="K28" s="3"/>
    </row>
    <row r="29" spans="1:19" x14ac:dyDescent="0.3">
      <c r="A29" t="s">
        <v>15</v>
      </c>
      <c r="B29">
        <v>1.109</v>
      </c>
      <c r="C29">
        <v>4.9669999999999996</v>
      </c>
      <c r="E29">
        <v>3.161</v>
      </c>
      <c r="G29" t="s">
        <v>23</v>
      </c>
      <c r="H29" s="3">
        <f>SUM(K4:K14)</f>
        <v>5.7463351097084345</v>
      </c>
      <c r="I29" s="3">
        <f>SUM(L4:L14)</f>
        <v>0.34658408173553679</v>
      </c>
      <c r="J29" s="3">
        <f>SUM(M4:M14)</f>
        <v>0.14427648715407246</v>
      </c>
      <c r="K29" s="3">
        <f t="shared" ref="K29:K30" si="26">SUM(H29:J29)</f>
        <v>6.2371956785980434</v>
      </c>
    </row>
    <row r="30" spans="1:19" x14ac:dyDescent="0.3">
      <c r="A30" t="s">
        <v>16</v>
      </c>
      <c r="B30">
        <v>315</v>
      </c>
      <c r="C30">
        <v>296</v>
      </c>
      <c r="E30">
        <v>235</v>
      </c>
      <c r="G30" t="s">
        <v>25</v>
      </c>
      <c r="H30" s="3">
        <f>H27-H29</f>
        <v>17.520664890291563</v>
      </c>
      <c r="I30" s="3">
        <f>I27-I29</f>
        <v>13.701415918264463</v>
      </c>
      <c r="J30" s="3">
        <f>J27-J29</f>
        <v>6.4407235128459277</v>
      </c>
      <c r="K30" s="52">
        <f t="shared" si="26"/>
        <v>37.66280432140195</v>
      </c>
    </row>
    <row r="31" spans="1:19" ht="15" thickBot="1" x14ac:dyDescent="0.35">
      <c r="G31" t="s">
        <v>26</v>
      </c>
      <c r="H31" s="3">
        <f>100*H29/H27</f>
        <v>24.697361540845122</v>
      </c>
      <c r="I31" s="3">
        <f t="shared" ref="I31:J31" si="27">100*I29/I27</f>
        <v>2.4671418118987529</v>
      </c>
      <c r="J31" s="3">
        <f t="shared" si="27"/>
        <v>2.1909868967968484</v>
      </c>
      <c r="K31" s="3">
        <f>K29*100/K27</f>
        <v>14.207735030975043</v>
      </c>
    </row>
    <row r="32" spans="1:19" x14ac:dyDescent="0.3">
      <c r="A32" s="57"/>
      <c r="B32" s="163" t="s">
        <v>15</v>
      </c>
      <c r="C32" s="164"/>
      <c r="D32" s="164"/>
      <c r="E32" s="165"/>
      <c r="G32" t="s">
        <v>27</v>
      </c>
      <c r="H32" s="3">
        <f>100-H31</f>
        <v>75.302638459154878</v>
      </c>
      <c r="I32" s="3">
        <f t="shared" ref="I32:J32" si="28">100-I31</f>
        <v>97.532858188101244</v>
      </c>
      <c r="J32" s="3">
        <f t="shared" si="28"/>
        <v>97.809013103203156</v>
      </c>
      <c r="K32" s="3">
        <f>K30*100/K27</f>
        <v>85.792264969024941</v>
      </c>
    </row>
    <row r="33" spans="1:11" x14ac:dyDescent="0.3">
      <c r="A33" s="58" t="s">
        <v>48</v>
      </c>
      <c r="B33" s="59" t="s">
        <v>49</v>
      </c>
      <c r="C33" s="59" t="s">
        <v>46</v>
      </c>
      <c r="D33" s="59"/>
      <c r="E33" s="60" t="s">
        <v>47</v>
      </c>
      <c r="G33" t="s">
        <v>28</v>
      </c>
      <c r="K33" s="53">
        <v>39.4</v>
      </c>
    </row>
    <row r="34" spans="1:11" x14ac:dyDescent="0.3">
      <c r="A34" s="61" t="s">
        <v>8</v>
      </c>
      <c r="B34" s="29">
        <f>SLOPE(N4:N7,B4:B7)</f>
        <v>0.18479112742859377</v>
      </c>
      <c r="C34" s="29">
        <f>SLOPE(N7:N14,B7:B14)</f>
        <v>8.3796427309987237E-2</v>
      </c>
      <c r="D34" s="29"/>
      <c r="E34" s="62">
        <f>SLOPE(N14:N19,B14:B19)</f>
        <v>5.6143888295795162E-2</v>
      </c>
      <c r="G34" s="21" t="s">
        <v>43</v>
      </c>
    </row>
    <row r="35" spans="1:11" x14ac:dyDescent="0.3">
      <c r="A35" s="61" t="s">
        <v>9</v>
      </c>
      <c r="B35" s="29">
        <f>SLOPE(O4:O14,B4:B14)</f>
        <v>6.8584597965064067E-3</v>
      </c>
      <c r="C35" s="29"/>
      <c r="D35" s="29"/>
      <c r="E35" s="62">
        <f>SLOPE(O14:O19,B14:B19)</f>
        <v>6.5712078780946143E-3</v>
      </c>
      <c r="G35" t="s">
        <v>23</v>
      </c>
      <c r="H35" s="9">
        <f>SUM(K5:K19)</f>
        <v>8.5227274356419542</v>
      </c>
      <c r="I35" s="9">
        <f t="shared" ref="I35:J35" si="29">SUM(L5:L19)</f>
        <v>0.67698682645315189</v>
      </c>
      <c r="J35" s="9">
        <f t="shared" si="29"/>
        <v>0.30229214646409375</v>
      </c>
      <c r="K35" s="37">
        <f>SUM(H35:J35)</f>
        <v>9.5020064085592004</v>
      </c>
    </row>
    <row r="36" spans="1:11" ht="15" thickBot="1" x14ac:dyDescent="0.35">
      <c r="A36" s="63" t="s">
        <v>10</v>
      </c>
      <c r="B36" s="64">
        <f>SLOPE(P4:P14,B4:B14)</f>
        <v>3.0193423010965847E-3</v>
      </c>
      <c r="C36" s="64"/>
      <c r="D36" s="64"/>
      <c r="E36" s="65">
        <f>SLOPE(P14:P19,B14:B19)</f>
        <v>3.4133352011993909E-3</v>
      </c>
      <c r="G36" t="s">
        <v>25</v>
      </c>
      <c r="H36" s="3">
        <f>H27-H35</f>
        <v>14.744272564358045</v>
      </c>
      <c r="I36" s="3">
        <f t="shared" ref="I36:J36" si="30">I27-I35</f>
        <v>13.371013173546848</v>
      </c>
      <c r="J36" s="3">
        <f t="shared" si="30"/>
        <v>6.2827078535359062</v>
      </c>
      <c r="K36" s="54">
        <f>SUM(H36:J36)</f>
        <v>34.397993591440795</v>
      </c>
    </row>
    <row r="37" spans="1:11" x14ac:dyDescent="0.3">
      <c r="A37" s="57"/>
      <c r="B37" s="163" t="s">
        <v>15</v>
      </c>
      <c r="C37" s="164"/>
      <c r="D37" s="164"/>
      <c r="E37" s="165"/>
      <c r="G37" t="s">
        <v>26</v>
      </c>
      <c r="H37" s="3">
        <f>100*H35/H27</f>
        <v>36.630108890883889</v>
      </c>
      <c r="I37" s="3">
        <f t="shared" ref="I37:J37" si="31">100*I35/I27</f>
        <v>4.8190975687154891</v>
      </c>
      <c r="J37" s="3">
        <f t="shared" si="31"/>
        <v>4.5906172583765184</v>
      </c>
      <c r="K37" s="37">
        <f>K35*100/K27</f>
        <v>21.644661522913896</v>
      </c>
    </row>
    <row r="38" spans="1:11" x14ac:dyDescent="0.3">
      <c r="A38" s="58" t="s">
        <v>82</v>
      </c>
      <c r="B38" s="59" t="s">
        <v>49</v>
      </c>
      <c r="C38" s="59" t="s">
        <v>46</v>
      </c>
      <c r="D38" s="59"/>
      <c r="E38" s="60" t="s">
        <v>47</v>
      </c>
      <c r="G38" t="s">
        <v>27</v>
      </c>
      <c r="H38" s="22">
        <f>H36*100/H27</f>
        <v>63.369891109116111</v>
      </c>
      <c r="I38" s="22">
        <f t="shared" ref="I38:J38" si="32">I36*100/I27</f>
        <v>95.180902431284508</v>
      </c>
      <c r="J38" s="22">
        <f t="shared" si="32"/>
        <v>95.409382741623489</v>
      </c>
      <c r="K38" s="3">
        <f>K36*100/K27</f>
        <v>78.355338477086093</v>
      </c>
    </row>
    <row r="39" spans="1:11" x14ac:dyDescent="0.3">
      <c r="A39" s="61" t="s">
        <v>8</v>
      </c>
      <c r="B39" s="29">
        <f>SLOPE(N4:N7,D4:D7)</f>
        <v>4.6624551652256061</v>
      </c>
      <c r="C39" s="29">
        <f>SLOPE(N12:N19,B12:B19)</f>
        <v>5.6023867263491497E-2</v>
      </c>
      <c r="D39" s="29"/>
      <c r="E39" s="62">
        <f>SLOPE(N14:N19,D14:D19)</f>
        <v>1.4527590119152956</v>
      </c>
      <c r="G39" t="s">
        <v>28</v>
      </c>
      <c r="H39" s="22"/>
      <c r="I39" s="22"/>
      <c r="J39" s="22"/>
      <c r="K39" s="106">
        <v>35.700000000000003</v>
      </c>
    </row>
    <row r="40" spans="1:11" x14ac:dyDescent="0.3">
      <c r="A40" s="61" t="s">
        <v>9</v>
      </c>
      <c r="B40" s="29">
        <f>SLOPE(O4:O14,C4:C14)</f>
        <v>1.0032113395798293E-3</v>
      </c>
      <c r="C40" s="29"/>
      <c r="D40" s="29"/>
      <c r="E40" s="62">
        <f>SLOPE(O14:O19,D14:D19)</f>
        <v>0.17002317517018731</v>
      </c>
    </row>
    <row r="41" spans="1:11" ht="15" thickBot="1" x14ac:dyDescent="0.35">
      <c r="A41" s="63" t="s">
        <v>10</v>
      </c>
      <c r="B41" s="64">
        <f>SLOPE(P4:P14,C4:C14)</f>
        <v>3.1137579700884626E-4</v>
      </c>
      <c r="C41" s="64"/>
      <c r="D41" s="64"/>
      <c r="E41" s="65">
        <f>SLOPE(P14:P19,D14:D19)</f>
        <v>8.8335983740542509E-2</v>
      </c>
    </row>
  </sheetData>
  <mergeCells count="4">
    <mergeCell ref="H2:J2"/>
    <mergeCell ref="K2:M2"/>
    <mergeCell ref="B32:E32"/>
    <mergeCell ref="B37:E3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41"/>
  <sheetViews>
    <sheetView topLeftCell="A2" zoomScale="70" zoomScaleNormal="70" workbookViewId="0">
      <selection activeCell="A37" sqref="A37:E40"/>
    </sheetView>
  </sheetViews>
  <sheetFormatPr defaultRowHeight="14.4" x14ac:dyDescent="0.3"/>
  <cols>
    <col min="1" max="1" width="11.33203125" customWidth="1"/>
    <col min="2" max="2" width="8.109375" customWidth="1"/>
    <col min="8" max="8" width="9.109375" customWidth="1"/>
    <col min="9" max="9" width="9.33203125" customWidth="1"/>
    <col min="10" max="10" width="7.33203125" customWidth="1"/>
    <col min="11" max="11" width="9.5546875" bestFit="1" customWidth="1"/>
    <col min="12" max="13" width="9" bestFit="1" customWidth="1"/>
  </cols>
  <sheetData>
    <row r="1" spans="1:19" ht="18" x14ac:dyDescent="0.35">
      <c r="A1" s="2" t="s">
        <v>3</v>
      </c>
      <c r="B1" s="2"/>
    </row>
    <row r="2" spans="1:19" x14ac:dyDescent="0.3">
      <c r="E2" s="18"/>
      <c r="F2" s="19" t="s">
        <v>11</v>
      </c>
      <c r="G2" s="20"/>
      <c r="H2" s="160" t="s">
        <v>13</v>
      </c>
      <c r="I2" s="161"/>
      <c r="J2" s="161"/>
      <c r="K2" s="160" t="s">
        <v>18</v>
      </c>
      <c r="L2" s="161"/>
      <c r="M2" s="162"/>
      <c r="N2" t="s">
        <v>19</v>
      </c>
      <c r="Q2" t="s">
        <v>80</v>
      </c>
    </row>
    <row r="3" spans="1:19" x14ac:dyDescent="0.3">
      <c r="A3" t="s">
        <v>4</v>
      </c>
      <c r="B3" t="s">
        <v>15</v>
      </c>
      <c r="C3" t="s">
        <v>5</v>
      </c>
      <c r="D3" t="s">
        <v>81</v>
      </c>
      <c r="E3" s="18" t="s">
        <v>8</v>
      </c>
      <c r="F3" s="19" t="s">
        <v>9</v>
      </c>
      <c r="G3" s="19" t="s">
        <v>10</v>
      </c>
      <c r="H3" s="19" t="s">
        <v>8</v>
      </c>
      <c r="I3" s="19" t="s">
        <v>9</v>
      </c>
      <c r="J3" s="19" t="s">
        <v>10</v>
      </c>
      <c r="K3" s="18" t="s">
        <v>8</v>
      </c>
      <c r="L3" s="19" t="s">
        <v>9</v>
      </c>
      <c r="M3" s="20" t="s">
        <v>10</v>
      </c>
      <c r="N3" s="18" t="s">
        <v>8</v>
      </c>
      <c r="O3" s="19" t="s">
        <v>9</v>
      </c>
      <c r="P3" s="20" t="s">
        <v>10</v>
      </c>
      <c r="Q3" t="s">
        <v>8</v>
      </c>
      <c r="R3" t="s">
        <v>9</v>
      </c>
      <c r="S3" t="s">
        <v>10</v>
      </c>
    </row>
    <row r="4" spans="1:19" x14ac:dyDescent="0.3">
      <c r="A4" s="18">
        <v>0</v>
      </c>
      <c r="B4" s="19">
        <v>0</v>
      </c>
      <c r="C4" s="19" t="s">
        <v>6</v>
      </c>
      <c r="D4" s="19">
        <v>0</v>
      </c>
      <c r="E4" s="19" t="s">
        <v>17</v>
      </c>
      <c r="F4" s="19" t="s">
        <v>17</v>
      </c>
      <c r="G4" s="19" t="s">
        <v>17</v>
      </c>
      <c r="H4" s="19"/>
      <c r="I4" s="19"/>
      <c r="J4" s="19"/>
      <c r="K4" s="18"/>
      <c r="L4" s="19"/>
      <c r="M4" s="20"/>
      <c r="N4" s="19">
        <v>0</v>
      </c>
      <c r="O4" s="19">
        <v>0</v>
      </c>
      <c r="P4" s="20">
        <v>0</v>
      </c>
      <c r="Q4">
        <f>N4/$H$23</f>
        <v>0</v>
      </c>
      <c r="R4">
        <f t="shared" ref="R4:S19" si="0">O4/$H$23</f>
        <v>0</v>
      </c>
      <c r="S4">
        <f t="shared" si="0"/>
        <v>0</v>
      </c>
    </row>
    <row r="5" spans="1:19" x14ac:dyDescent="0.3">
      <c r="A5" s="10">
        <v>1</v>
      </c>
      <c r="B5" s="5">
        <v>5</v>
      </c>
      <c r="C5" s="5">
        <v>188</v>
      </c>
      <c r="D5" s="5">
        <f>D4+C5/1000</f>
        <v>0.188</v>
      </c>
      <c r="E5" s="51">
        <v>31424</v>
      </c>
      <c r="F5" s="51">
        <v>1731</v>
      </c>
      <c r="G5" s="51">
        <v>571</v>
      </c>
      <c r="H5" s="4">
        <f t="shared" ref="H5:H14" si="1">E5*$B$23/$B$24</f>
        <v>4.0329472680372085</v>
      </c>
      <c r="I5" s="13">
        <f>F5*$C$23/$C$24</f>
        <v>0.10461345726287383</v>
      </c>
      <c r="J5" s="4">
        <f t="shared" ref="J5:J14" si="2">G5*$E$23/$E$24</f>
        <v>8.9385786881892984E-2</v>
      </c>
      <c r="K5" s="12">
        <f>H5*C5/1000</f>
        <v>0.75819408639099517</v>
      </c>
      <c r="L5" s="13">
        <f>I5*C5/1000</f>
        <v>1.9667329965420279E-2</v>
      </c>
      <c r="M5" s="14">
        <f>J5*C5/1000</f>
        <v>1.6804527933795881E-2</v>
      </c>
      <c r="N5" s="13">
        <f>K5+K4</f>
        <v>0.75819408639099517</v>
      </c>
      <c r="O5" s="13">
        <f>L5+L4</f>
        <v>1.9667329965420279E-2</v>
      </c>
      <c r="P5" s="14">
        <f>M5+M4</f>
        <v>1.6804527933795881E-2</v>
      </c>
      <c r="Q5">
        <f t="shared" ref="Q5:Q19" si="3">N5/$H$23</f>
        <v>2.5273136213033173E-2</v>
      </c>
      <c r="R5">
        <f t="shared" si="0"/>
        <v>6.5557766551400931E-4</v>
      </c>
      <c r="S5">
        <f t="shared" si="0"/>
        <v>5.6015093112652932E-4</v>
      </c>
    </row>
    <row r="6" spans="1:19" x14ac:dyDescent="0.3">
      <c r="A6" s="10">
        <v>2</v>
      </c>
      <c r="B6" s="5">
        <v>10</v>
      </c>
      <c r="C6" s="5">
        <v>198</v>
      </c>
      <c r="D6" s="5">
        <f t="shared" ref="D6:D19" si="4">D5+C6/1000</f>
        <v>0.38600000000000001</v>
      </c>
      <c r="E6" s="51">
        <v>28641</v>
      </c>
      <c r="F6" s="51">
        <v>2018</v>
      </c>
      <c r="G6" s="51">
        <v>406</v>
      </c>
      <c r="H6" s="4">
        <f t="shared" si="1"/>
        <v>3.675777835535059</v>
      </c>
      <c r="I6" s="13">
        <f t="shared" ref="I6:I14" si="5">F6*$C$23/$C$24</f>
        <v>0.12195838056411286</v>
      </c>
      <c r="J6" s="4">
        <f t="shared" si="2"/>
        <v>6.3556268781170835E-2</v>
      </c>
      <c r="K6" s="12">
        <f t="shared" ref="K6:K12" si="6">H6*C6/1000</f>
        <v>0.72780401143594164</v>
      </c>
      <c r="L6" s="13">
        <f t="shared" ref="L6:L11" si="7">I6*C6/1000</f>
        <v>2.4147759351694349E-2</v>
      </c>
      <c r="M6" s="14">
        <f t="shared" ref="M6:M11" si="8">J6*C6/1000</f>
        <v>1.2584141218671826E-2</v>
      </c>
      <c r="N6" s="13">
        <f>SUM(K5:K6)</f>
        <v>1.4859980978269367</v>
      </c>
      <c r="O6" s="13">
        <f>SUM(L5:L6)</f>
        <v>4.3815089317114628E-2</v>
      </c>
      <c r="P6" s="14">
        <f>SUM(M5:M6)</f>
        <v>2.9388669152467704E-2</v>
      </c>
      <c r="Q6">
        <f t="shared" si="3"/>
        <v>4.9533269927564558E-2</v>
      </c>
      <c r="R6">
        <f t="shared" si="0"/>
        <v>1.4605029772371543E-3</v>
      </c>
      <c r="S6">
        <f t="shared" si="0"/>
        <v>9.7962230508225685E-4</v>
      </c>
    </row>
    <row r="7" spans="1:19" x14ac:dyDescent="0.3">
      <c r="A7" s="10">
        <v>3</v>
      </c>
      <c r="B7" s="5">
        <v>15</v>
      </c>
      <c r="C7" s="5">
        <v>198</v>
      </c>
      <c r="D7" s="5">
        <f t="shared" si="4"/>
        <v>0.58400000000000007</v>
      </c>
      <c r="E7" s="51">
        <v>18975</v>
      </c>
      <c r="F7" s="51">
        <v>1591</v>
      </c>
      <c r="G7" s="51">
        <v>0</v>
      </c>
      <c r="H7" s="4">
        <f t="shared" si="1"/>
        <v>2.4352461306964748</v>
      </c>
      <c r="I7" s="13">
        <f t="shared" si="5"/>
        <v>9.6152519067147446E-2</v>
      </c>
      <c r="J7" s="4">
        <f t="shared" si="2"/>
        <v>0</v>
      </c>
      <c r="K7" s="12">
        <f t="shared" si="6"/>
        <v>0.482178733877902</v>
      </c>
      <c r="L7" s="13">
        <f t="shared" si="7"/>
        <v>1.9038198775295192E-2</v>
      </c>
      <c r="M7" s="14">
        <f t="shared" si="8"/>
        <v>0</v>
      </c>
      <c r="N7" s="13">
        <f>SUM(K5:K7)</f>
        <v>1.9681768317048387</v>
      </c>
      <c r="O7" s="13">
        <f>SUM(L5:L7)</f>
        <v>6.2853288092409823E-2</v>
      </c>
      <c r="P7" s="14">
        <f t="shared" ref="P7" si="9">SUM(M5:M7)</f>
        <v>2.9388669152467704E-2</v>
      </c>
      <c r="Q7">
        <f t="shared" si="3"/>
        <v>6.560589439016129E-2</v>
      </c>
      <c r="R7">
        <f t="shared" si="0"/>
        <v>2.0951096030803274E-3</v>
      </c>
      <c r="S7">
        <f t="shared" si="0"/>
        <v>9.7962230508225685E-4</v>
      </c>
    </row>
    <row r="8" spans="1:19" x14ac:dyDescent="0.3">
      <c r="A8" s="10">
        <v>4</v>
      </c>
      <c r="B8" s="5">
        <v>20</v>
      </c>
      <c r="C8" s="51">
        <v>198</v>
      </c>
      <c r="D8" s="5">
        <f t="shared" si="4"/>
        <v>0.78200000000000003</v>
      </c>
      <c r="E8" s="51">
        <v>16704</v>
      </c>
      <c r="F8" s="51">
        <v>1492</v>
      </c>
      <c r="G8" s="51">
        <v>536</v>
      </c>
      <c r="H8" s="4">
        <f t="shared" si="1"/>
        <v>2.1437866333150946</v>
      </c>
      <c r="I8" s="13">
        <f t="shared" si="5"/>
        <v>9.0169427057312387E-2</v>
      </c>
      <c r="J8" s="4">
        <f t="shared" si="2"/>
        <v>8.3906798193861015E-2</v>
      </c>
      <c r="K8" s="12">
        <f t="shared" si="6"/>
        <v>0.42446975339638876</v>
      </c>
      <c r="L8" s="13">
        <f t="shared" si="7"/>
        <v>1.785354655734785E-2</v>
      </c>
      <c r="M8" s="14">
        <f t="shared" si="8"/>
        <v>1.6613546042384481E-2</v>
      </c>
      <c r="N8" s="13">
        <f>SUM(K4:K8)</f>
        <v>2.3926465851012275</v>
      </c>
      <c r="O8" s="13">
        <f t="shared" ref="O8:P8" si="10">SUM(L4:L8)</f>
        <v>8.0706834649757669E-2</v>
      </c>
      <c r="P8" s="14">
        <f t="shared" si="10"/>
        <v>4.6002215194852189E-2</v>
      </c>
      <c r="Q8">
        <f t="shared" si="3"/>
        <v>7.9754886170040923E-2</v>
      </c>
      <c r="R8">
        <f t="shared" si="0"/>
        <v>2.6902278216585892E-3</v>
      </c>
      <c r="S8">
        <f t="shared" si="0"/>
        <v>1.5334071731617396E-3</v>
      </c>
    </row>
    <row r="9" spans="1:19" x14ac:dyDescent="0.3">
      <c r="A9" s="10">
        <v>5</v>
      </c>
      <c r="B9" s="5">
        <v>25</v>
      </c>
      <c r="C9" s="51">
        <v>198</v>
      </c>
      <c r="D9" s="5">
        <f t="shared" si="4"/>
        <v>0.98</v>
      </c>
      <c r="E9" s="51">
        <v>14205</v>
      </c>
      <c r="F9" s="51">
        <v>2033</v>
      </c>
      <c r="G9" s="51">
        <v>266</v>
      </c>
      <c r="H9" s="4">
        <f t="shared" si="1"/>
        <v>1.8230656804502461</v>
      </c>
      <c r="I9" s="13">
        <f t="shared" si="5"/>
        <v>0.1228649096565121</v>
      </c>
      <c r="J9" s="4">
        <f t="shared" si="2"/>
        <v>4.1640314029042967E-2</v>
      </c>
      <c r="K9" s="12">
        <f t="shared" si="6"/>
        <v>0.36096700472914872</v>
      </c>
      <c r="L9" s="13">
        <f t="shared" si="7"/>
        <v>2.4327252111989394E-2</v>
      </c>
      <c r="M9" s="14">
        <f t="shared" si="8"/>
        <v>8.2447821777505079E-3</v>
      </c>
      <c r="N9" s="13">
        <f>SUM(K4:K9)</f>
        <v>2.7536135898303762</v>
      </c>
      <c r="O9" s="13">
        <f>SUM(L4:L9)</f>
        <v>0.10503408676174707</v>
      </c>
      <c r="P9" s="14">
        <f t="shared" ref="P9" si="11">SUM(M4:M9)</f>
        <v>5.4246997372602697E-2</v>
      </c>
      <c r="Q9">
        <f t="shared" si="3"/>
        <v>9.1787119661012537E-2</v>
      </c>
      <c r="R9">
        <f t="shared" si="0"/>
        <v>3.5011362253915689E-3</v>
      </c>
      <c r="S9">
        <f t="shared" si="0"/>
        <v>1.8082332457534233E-3</v>
      </c>
    </row>
    <row r="10" spans="1:19" x14ac:dyDescent="0.3">
      <c r="A10" s="10">
        <v>6</v>
      </c>
      <c r="B10" s="5">
        <v>30</v>
      </c>
      <c r="C10" s="51">
        <v>200</v>
      </c>
      <c r="D10" s="5">
        <f t="shared" si="4"/>
        <v>1.18</v>
      </c>
      <c r="E10" s="51">
        <v>11042</v>
      </c>
      <c r="F10" s="51">
        <v>2038</v>
      </c>
      <c r="G10" s="51">
        <v>575</v>
      </c>
      <c r="H10" s="4">
        <f t="shared" si="1"/>
        <v>1.4171271554756508</v>
      </c>
      <c r="I10" s="13">
        <f t="shared" si="5"/>
        <v>0.1231670860206452</v>
      </c>
      <c r="J10" s="4">
        <f t="shared" si="2"/>
        <v>9.0011957017668065E-2</v>
      </c>
      <c r="K10" s="12">
        <f t="shared" si="6"/>
        <v>0.28342543109513019</v>
      </c>
      <c r="L10" s="13">
        <f t="shared" si="7"/>
        <v>2.4633417204129041E-2</v>
      </c>
      <c r="M10" s="14">
        <f t="shared" si="8"/>
        <v>1.8002391403533616E-2</v>
      </c>
      <c r="N10" s="13">
        <f>SUM(K4:K10)</f>
        <v>3.0370390209255063</v>
      </c>
      <c r="O10" s="13">
        <f>SUM(L4:L10)</f>
        <v>0.12966750396587612</v>
      </c>
      <c r="P10" s="14">
        <f t="shared" ref="P10" si="12">SUM(M4:M10)</f>
        <v>7.224938877613632E-2</v>
      </c>
      <c r="Q10">
        <f t="shared" si="3"/>
        <v>0.10123463403085022</v>
      </c>
      <c r="R10">
        <f t="shared" si="0"/>
        <v>4.3222501321958703E-3</v>
      </c>
      <c r="S10">
        <f t="shared" si="0"/>
        <v>2.408312959204544E-3</v>
      </c>
    </row>
    <row r="11" spans="1:19" x14ac:dyDescent="0.3">
      <c r="A11" s="10">
        <v>7</v>
      </c>
      <c r="B11" s="5">
        <v>35</v>
      </c>
      <c r="C11" s="51">
        <v>200</v>
      </c>
      <c r="D11" s="5">
        <f t="shared" si="4"/>
        <v>1.38</v>
      </c>
      <c r="E11" s="51">
        <v>14869</v>
      </c>
      <c r="F11" s="51">
        <v>2119</v>
      </c>
      <c r="G11" s="51">
        <v>342</v>
      </c>
      <c r="H11" s="4">
        <f t="shared" si="1"/>
        <v>1.908283252559994</v>
      </c>
      <c r="I11" s="13">
        <f t="shared" si="5"/>
        <v>0.12806234311960116</v>
      </c>
      <c r="J11" s="4">
        <f t="shared" si="2"/>
        <v>5.3537546608769526E-2</v>
      </c>
      <c r="K11" s="12">
        <f t="shared" si="6"/>
        <v>0.38165665051199882</v>
      </c>
      <c r="L11" s="13">
        <f t="shared" si="7"/>
        <v>2.5612468623920234E-2</v>
      </c>
      <c r="M11" s="14">
        <f t="shared" si="8"/>
        <v>1.0707509321753905E-2</v>
      </c>
      <c r="N11" s="13">
        <f>SUM(K4:K11)</f>
        <v>3.4186956714375052</v>
      </c>
      <c r="O11" s="13">
        <f>SUM(L4:L11)</f>
        <v>0.15527997258979637</v>
      </c>
      <c r="P11" s="14">
        <f t="shared" ref="P11" si="13">SUM(M4:M11)</f>
        <v>8.2956898097890225E-2</v>
      </c>
      <c r="Q11">
        <f t="shared" si="3"/>
        <v>0.11395652238125017</v>
      </c>
      <c r="R11">
        <f t="shared" si="0"/>
        <v>5.1759990863265454E-3</v>
      </c>
      <c r="S11">
        <f t="shared" si="0"/>
        <v>2.765229936596341E-3</v>
      </c>
    </row>
    <row r="12" spans="1:19" x14ac:dyDescent="0.3">
      <c r="A12" s="10">
        <v>8</v>
      </c>
      <c r="B12" s="5">
        <v>40</v>
      </c>
      <c r="C12" s="51">
        <v>198</v>
      </c>
      <c r="D12" s="5">
        <f t="shared" si="4"/>
        <v>1.5779999999999998</v>
      </c>
      <c r="E12" s="51">
        <v>11169</v>
      </c>
      <c r="F12" s="51">
        <v>1963</v>
      </c>
      <c r="G12" s="51">
        <v>0</v>
      </c>
      <c r="H12" s="4">
        <f t="shared" si="1"/>
        <v>1.4334262995388105</v>
      </c>
      <c r="I12" s="13">
        <f t="shared" si="5"/>
        <v>0.11863444055864894</v>
      </c>
      <c r="J12" s="4">
        <f t="shared" si="2"/>
        <v>0</v>
      </c>
      <c r="K12" s="12">
        <f t="shared" si="6"/>
        <v>0.28381840730868446</v>
      </c>
      <c r="L12" s="13">
        <f>I12*C11/1000</f>
        <v>2.372688811172979E-2</v>
      </c>
      <c r="M12" s="14">
        <f>J12*C11/1000</f>
        <v>0</v>
      </c>
      <c r="N12" s="13">
        <f>SUM(K4:K12)</f>
        <v>3.7025140787461899</v>
      </c>
      <c r="O12" s="13">
        <f t="shared" ref="O12:P12" si="14">SUM(L4:L12)</f>
        <v>0.17900686070152616</v>
      </c>
      <c r="P12" s="14">
        <f t="shared" si="14"/>
        <v>8.2956898097890225E-2</v>
      </c>
      <c r="Q12">
        <f t="shared" si="3"/>
        <v>0.12341713595820633</v>
      </c>
      <c r="R12">
        <f t="shared" si="0"/>
        <v>5.966895356717539E-3</v>
      </c>
      <c r="S12">
        <f t="shared" si="0"/>
        <v>2.765229936596341E-3</v>
      </c>
    </row>
    <row r="13" spans="1:19" x14ac:dyDescent="0.3">
      <c r="A13" s="10">
        <v>9</v>
      </c>
      <c r="B13" s="5">
        <v>45</v>
      </c>
      <c r="C13" s="5">
        <v>200</v>
      </c>
      <c r="D13" s="5">
        <f t="shared" si="4"/>
        <v>1.7779999999999998</v>
      </c>
      <c r="E13" s="51">
        <v>12056</v>
      </c>
      <c r="F13" s="51">
        <v>2146</v>
      </c>
      <c r="G13" s="51">
        <v>0</v>
      </c>
      <c r="H13" s="4">
        <f t="shared" si="1"/>
        <v>1.5472636285468617</v>
      </c>
      <c r="I13" s="13">
        <f t="shared" si="5"/>
        <v>0.12969409548591981</v>
      </c>
      <c r="J13" s="4">
        <f t="shared" si="2"/>
        <v>0</v>
      </c>
      <c r="K13" s="12">
        <f>H13*C12/1000</f>
        <v>0.30635819845227857</v>
      </c>
      <c r="L13" s="13">
        <f>I13*C12/1000</f>
        <v>2.5679430906212122E-2</v>
      </c>
      <c r="M13" s="14">
        <f>J13*C12/1000</f>
        <v>0</v>
      </c>
      <c r="N13" s="13">
        <f>SUM(K4:K13)</f>
        <v>4.0088722771984688</v>
      </c>
      <c r="O13" s="13">
        <f t="shared" ref="O13:P13" si="15">SUM(L4:L13)</f>
        <v>0.20468629160773827</v>
      </c>
      <c r="P13" s="14">
        <f t="shared" si="15"/>
        <v>8.2956898097890225E-2</v>
      </c>
      <c r="Q13">
        <f t="shared" si="3"/>
        <v>0.13362907590661563</v>
      </c>
      <c r="R13">
        <f t="shared" si="0"/>
        <v>6.822876386924609E-3</v>
      </c>
      <c r="S13">
        <f t="shared" si="0"/>
        <v>2.765229936596341E-3</v>
      </c>
    </row>
    <row r="14" spans="1:19" x14ac:dyDescent="0.3">
      <c r="A14" s="44">
        <v>10</v>
      </c>
      <c r="B14" s="45">
        <v>50</v>
      </c>
      <c r="C14" s="73">
        <v>198</v>
      </c>
      <c r="D14" s="5">
        <f t="shared" si="4"/>
        <v>1.9759999999999998</v>
      </c>
      <c r="E14" s="45">
        <v>9539</v>
      </c>
      <c r="F14" s="45">
        <v>3280</v>
      </c>
      <c r="G14" s="45">
        <v>0</v>
      </c>
      <c r="H14" s="39">
        <f t="shared" si="1"/>
        <v>1.2242325607754241</v>
      </c>
      <c r="I14" s="13">
        <f t="shared" si="5"/>
        <v>0.19822769487130337</v>
      </c>
      <c r="J14" s="39">
        <f t="shared" si="2"/>
        <v>0</v>
      </c>
      <c r="K14" s="12">
        <f>H14*C13/1000</f>
        <v>0.24484651215508482</v>
      </c>
      <c r="L14" s="16">
        <f>I14*C13/1000</f>
        <v>3.9645538974260673E-2</v>
      </c>
      <c r="M14" s="17">
        <f>J14*C13/1000</f>
        <v>0</v>
      </c>
      <c r="N14" s="13">
        <f>SUM(K4:K14)</f>
        <v>4.2537187893535533</v>
      </c>
      <c r="O14" s="13">
        <f t="shared" ref="O14:P14" si="16">SUM(L4:L14)</f>
        <v>0.24433183058199895</v>
      </c>
      <c r="P14" s="14">
        <f t="shared" si="16"/>
        <v>8.2956898097890225E-2</v>
      </c>
      <c r="Q14">
        <f t="shared" si="3"/>
        <v>0.1417906263117851</v>
      </c>
      <c r="R14">
        <f t="shared" si="0"/>
        <v>8.1443943527332984E-3</v>
      </c>
      <c r="S14">
        <f t="shared" si="0"/>
        <v>2.765229936596341E-3</v>
      </c>
    </row>
    <row r="15" spans="1:19" x14ac:dyDescent="0.3">
      <c r="A15">
        <v>11</v>
      </c>
      <c r="B15">
        <v>60</v>
      </c>
      <c r="C15" s="51">
        <v>385</v>
      </c>
      <c r="D15" s="5">
        <f t="shared" si="4"/>
        <v>2.3609999999999998</v>
      </c>
      <c r="E15" s="51">
        <v>7712</v>
      </c>
      <c r="F15" s="51">
        <v>1907</v>
      </c>
      <c r="G15" s="51">
        <v>764</v>
      </c>
      <c r="H15" s="3">
        <f>E15*$B$25/$B$26</f>
        <v>0.89941184305948163</v>
      </c>
      <c r="I15" s="3">
        <f>F15*$C$25/$C$26</f>
        <v>0.1124738647187711</v>
      </c>
      <c r="J15" s="3">
        <f>G15*$E$25/$E$26</f>
        <v>5.8467064302387732E-2</v>
      </c>
      <c r="K15" s="13">
        <f>H15*C14/1000</f>
        <v>0.17808354492577738</v>
      </c>
      <c r="L15" s="13">
        <f>I15*C14/1000</f>
        <v>2.2269825214316679E-2</v>
      </c>
      <c r="M15" s="13">
        <f>J15*C14/1000</f>
        <v>1.157647873187277E-2</v>
      </c>
      <c r="N15" s="41">
        <f>SUM(K4:K15)</f>
        <v>4.4318023342793307</v>
      </c>
      <c r="O15" s="42">
        <f t="shared" ref="O15:P15" si="17">SUM(L4:L15)</f>
        <v>0.26660165579631562</v>
      </c>
      <c r="P15" s="43">
        <f t="shared" si="17"/>
        <v>9.4533376829762997E-2</v>
      </c>
      <c r="Q15">
        <f t="shared" si="3"/>
        <v>0.14772674447597769</v>
      </c>
      <c r="R15">
        <f t="shared" si="0"/>
        <v>8.886721859877187E-3</v>
      </c>
      <c r="S15">
        <f t="shared" si="0"/>
        <v>3.1511125609920997E-3</v>
      </c>
    </row>
    <row r="16" spans="1:19" x14ac:dyDescent="0.3">
      <c r="A16">
        <v>12</v>
      </c>
      <c r="B16">
        <v>70</v>
      </c>
      <c r="C16" s="51">
        <v>390</v>
      </c>
      <c r="D16" s="5">
        <f t="shared" si="4"/>
        <v>2.7509999999999999</v>
      </c>
      <c r="E16" s="51">
        <v>7976</v>
      </c>
      <c r="F16" s="51">
        <v>1714</v>
      </c>
      <c r="G16" s="51">
        <v>478</v>
      </c>
      <c r="H16" s="3">
        <f t="shared" ref="H16:H19" si="18">E16*$B$25/$B$26</f>
        <v>0.93020083768703643</v>
      </c>
      <c r="I16" s="3">
        <f t="shared" ref="I16:I19" si="19">F16*$C$25/$C$26</f>
        <v>0.10109082544728562</v>
      </c>
      <c r="J16" s="3">
        <f t="shared" ref="J16:J19" si="20">G16*$E$25/$E$26</f>
        <v>3.6580178974530544E-2</v>
      </c>
      <c r="K16" s="13">
        <f t="shared" ref="K16:K19" si="21">H16*C16/1000</f>
        <v>0.36277832669794419</v>
      </c>
      <c r="L16" s="13">
        <f t="shared" ref="L16:L19" si="22">I16*C16/1000</f>
        <v>3.9425421924441394E-2</v>
      </c>
      <c r="M16" s="13">
        <f t="shared" ref="M16:M19" si="23">J16*C16/1000</f>
        <v>1.4266269800066912E-2</v>
      </c>
      <c r="N16" s="12">
        <f>SUM(K5:K17)</f>
        <v>5.1891976071196222</v>
      </c>
      <c r="O16" s="13">
        <f t="shared" ref="O16:P16" si="24">SUM(L5:L17)</f>
        <v>0.34517647568773435</v>
      </c>
      <c r="P16" s="14">
        <f t="shared" si="24"/>
        <v>0.15891066544638294</v>
      </c>
      <c r="Q16">
        <f t="shared" si="3"/>
        <v>0.17297325357065407</v>
      </c>
      <c r="R16">
        <f t="shared" si="0"/>
        <v>1.1505882522924478E-2</v>
      </c>
      <c r="S16">
        <f t="shared" si="0"/>
        <v>5.2970221815460978E-3</v>
      </c>
    </row>
    <row r="17" spans="1:19" x14ac:dyDescent="0.3">
      <c r="A17">
        <v>13</v>
      </c>
      <c r="B17">
        <v>80</v>
      </c>
      <c r="C17" s="51">
        <v>390</v>
      </c>
      <c r="D17" s="5">
        <f t="shared" si="4"/>
        <v>3.141</v>
      </c>
      <c r="E17" s="51">
        <v>8676</v>
      </c>
      <c r="F17" s="51">
        <v>1702</v>
      </c>
      <c r="G17" s="51">
        <v>1679</v>
      </c>
      <c r="H17" s="3">
        <f t="shared" si="18"/>
        <v>1.0118383234419168</v>
      </c>
      <c r="I17" s="3">
        <f t="shared" si="19"/>
        <v>0.10038307171019843</v>
      </c>
      <c r="J17" s="3">
        <f t="shared" si="20"/>
        <v>0.12848979183731546</v>
      </c>
      <c r="K17" s="13">
        <f t="shared" si="21"/>
        <v>0.39461694614234755</v>
      </c>
      <c r="L17" s="13">
        <f t="shared" si="22"/>
        <v>3.9149397966977389E-2</v>
      </c>
      <c r="M17" s="13">
        <f t="shared" si="23"/>
        <v>5.0111018816553027E-2</v>
      </c>
      <c r="N17" s="12">
        <f>SUM(K5:K17)</f>
        <v>5.1891976071196222</v>
      </c>
      <c r="O17" s="13">
        <f t="shared" ref="O17:P17" si="25">SUM(L5:L17)</f>
        <v>0.34517647568773435</v>
      </c>
      <c r="P17" s="14">
        <f t="shared" si="25"/>
        <v>0.15891066544638294</v>
      </c>
      <c r="Q17">
        <f t="shared" si="3"/>
        <v>0.17297325357065407</v>
      </c>
      <c r="R17">
        <f t="shared" si="0"/>
        <v>1.1505882522924478E-2</v>
      </c>
      <c r="S17">
        <f t="shared" si="0"/>
        <v>5.2970221815460978E-3</v>
      </c>
    </row>
    <row r="18" spans="1:19" x14ac:dyDescent="0.3">
      <c r="A18">
        <v>14</v>
      </c>
      <c r="B18">
        <v>90</v>
      </c>
      <c r="C18" s="51">
        <v>390</v>
      </c>
      <c r="D18" s="5">
        <f t="shared" si="4"/>
        <v>3.5310000000000001</v>
      </c>
      <c r="E18" s="51">
        <v>9315</v>
      </c>
      <c r="F18" s="51">
        <v>2106</v>
      </c>
      <c r="G18" s="51">
        <v>999</v>
      </c>
      <c r="H18" s="3">
        <f t="shared" si="18"/>
        <v>1.0863616854381577</v>
      </c>
      <c r="I18" s="3">
        <f t="shared" si="19"/>
        <v>0.12421078085880018</v>
      </c>
      <c r="J18" s="3">
        <f t="shared" si="20"/>
        <v>7.6451043505347316E-2</v>
      </c>
      <c r="K18" s="13">
        <f t="shared" si="21"/>
        <v>0.42368105732088152</v>
      </c>
      <c r="L18" s="13">
        <f t="shared" si="22"/>
        <v>4.8442204534932067E-2</v>
      </c>
      <c r="M18" s="13">
        <f t="shared" si="23"/>
        <v>2.9815906967085453E-2</v>
      </c>
      <c r="N18" s="12">
        <f>SUM(K5:K18)</f>
        <v>5.6128786644405038</v>
      </c>
      <c r="O18" s="13">
        <f t="shared" ref="O18:P18" si="26">SUM(L5:L18)</f>
        <v>0.39361868022266644</v>
      </c>
      <c r="P18" s="14">
        <f t="shared" si="26"/>
        <v>0.18872657241346838</v>
      </c>
      <c r="Q18">
        <f t="shared" si="3"/>
        <v>0.18709595548135013</v>
      </c>
      <c r="R18">
        <f t="shared" si="0"/>
        <v>1.3120622674088882E-2</v>
      </c>
      <c r="S18">
        <f t="shared" si="0"/>
        <v>6.2908857471156128E-3</v>
      </c>
    </row>
    <row r="19" spans="1:19" x14ac:dyDescent="0.3">
      <c r="A19">
        <v>15</v>
      </c>
      <c r="B19">
        <v>100</v>
      </c>
      <c r="C19" s="51">
        <v>395</v>
      </c>
      <c r="D19" s="5">
        <f t="shared" si="4"/>
        <v>3.9260000000000002</v>
      </c>
      <c r="E19" s="51">
        <v>9129</v>
      </c>
      <c r="F19" s="51">
        <v>1674</v>
      </c>
      <c r="G19" s="51">
        <v>380</v>
      </c>
      <c r="H19" s="3">
        <f t="shared" si="18"/>
        <v>1.0646694392232894</v>
      </c>
      <c r="I19" s="3">
        <f t="shared" si="19"/>
        <v>9.8731646323661687E-2</v>
      </c>
      <c r="J19" s="3">
        <f t="shared" si="20"/>
        <v>2.9080477009041018E-2</v>
      </c>
      <c r="K19" s="13">
        <f t="shared" si="21"/>
        <v>0.42054442849319928</v>
      </c>
      <c r="L19" s="13">
        <f t="shared" si="22"/>
        <v>3.8999000297846365E-2</v>
      </c>
      <c r="M19" s="13">
        <f t="shared" si="23"/>
        <v>1.1486788418571202E-2</v>
      </c>
      <c r="N19" s="15">
        <f>SUM(K4:K19)</f>
        <v>6.0334230929337034</v>
      </c>
      <c r="O19" s="16">
        <f t="shared" ref="O19:P19" si="27">SUM(L4:L19)</f>
        <v>0.4326176805205128</v>
      </c>
      <c r="P19" s="17">
        <f t="shared" si="27"/>
        <v>0.20021336083203958</v>
      </c>
      <c r="Q19">
        <f t="shared" si="3"/>
        <v>0.20111410309779013</v>
      </c>
      <c r="R19">
        <f t="shared" si="0"/>
        <v>1.4420589350683761E-2</v>
      </c>
      <c r="S19">
        <f t="shared" si="0"/>
        <v>6.6737786944013194E-3</v>
      </c>
    </row>
    <row r="22" spans="1:19" x14ac:dyDescent="0.3">
      <c r="A22" s="21" t="s">
        <v>12</v>
      </c>
      <c r="B22" t="s">
        <v>8</v>
      </c>
      <c r="C22" t="s">
        <v>9</v>
      </c>
      <c r="E22" t="s">
        <v>10</v>
      </c>
      <c r="G22" s="21" t="s">
        <v>21</v>
      </c>
      <c r="H22" s="21"/>
    </row>
    <row r="23" spans="1:19" x14ac:dyDescent="0.3">
      <c r="A23" t="s">
        <v>13</v>
      </c>
      <c r="B23" s="4">
        <v>39.404400000000003</v>
      </c>
      <c r="C23" s="4">
        <v>40.04</v>
      </c>
      <c r="D23" s="4"/>
      <c r="E23" s="5">
        <v>39.799999999999997</v>
      </c>
      <c r="G23" t="s">
        <v>22</v>
      </c>
      <c r="H23" s="1">
        <v>30</v>
      </c>
      <c r="K23" t="s">
        <v>7</v>
      </c>
    </row>
    <row r="24" spans="1:19" x14ac:dyDescent="0.3">
      <c r="A24" t="s">
        <v>14</v>
      </c>
      <c r="B24">
        <v>307032</v>
      </c>
      <c r="C24">
        <v>662527</v>
      </c>
      <c r="E24">
        <v>254244</v>
      </c>
      <c r="H24" t="s">
        <v>8</v>
      </c>
      <c r="I24" t="s">
        <v>9</v>
      </c>
      <c r="J24" t="s">
        <v>10</v>
      </c>
    </row>
    <row r="25" spans="1:19" x14ac:dyDescent="0.3">
      <c r="A25" t="s">
        <v>40</v>
      </c>
      <c r="B25">
        <v>39.4</v>
      </c>
      <c r="C25">
        <v>40</v>
      </c>
      <c r="E25">
        <v>39.799999999999997</v>
      </c>
      <c r="G25" t="s">
        <v>20</v>
      </c>
      <c r="H25">
        <v>53</v>
      </c>
      <c r="I25">
        <v>32</v>
      </c>
      <c r="J25">
        <v>15</v>
      </c>
      <c r="K25" s="3">
        <f>SUM(H25:J25)</f>
        <v>100</v>
      </c>
    </row>
    <row r="26" spans="1:19" x14ac:dyDescent="0.3">
      <c r="A26" t="s">
        <v>41</v>
      </c>
      <c r="B26">
        <v>337835</v>
      </c>
      <c r="C26">
        <v>678202</v>
      </c>
      <c r="E26">
        <v>520074</v>
      </c>
      <c r="G26" t="s">
        <v>24</v>
      </c>
      <c r="H26" s="3">
        <f>H23*H25/100</f>
        <v>15.9</v>
      </c>
      <c r="I26" s="3">
        <f>H23*I25/100</f>
        <v>9.6</v>
      </c>
      <c r="J26" s="3">
        <f>H23*J25/100</f>
        <v>4.5</v>
      </c>
      <c r="K26" s="3">
        <f>SUM(H26:J26)</f>
        <v>30</v>
      </c>
    </row>
    <row r="27" spans="1:19" x14ac:dyDescent="0.3">
      <c r="A27" t="s">
        <v>15</v>
      </c>
      <c r="B27">
        <v>1.109</v>
      </c>
      <c r="C27">
        <v>4.9669999999999996</v>
      </c>
      <c r="E27">
        <v>3.161</v>
      </c>
      <c r="G27" t="s">
        <v>50</v>
      </c>
    </row>
    <row r="28" spans="1:19" x14ac:dyDescent="0.3">
      <c r="A28" t="s">
        <v>16</v>
      </c>
      <c r="B28">
        <v>315</v>
      </c>
      <c r="C28">
        <v>296</v>
      </c>
      <c r="E28">
        <v>235</v>
      </c>
      <c r="G28" t="s">
        <v>23</v>
      </c>
      <c r="H28" s="3">
        <f>N14</f>
        <v>4.2537187893535533</v>
      </c>
      <c r="I28" s="3">
        <f t="shared" ref="I28:J28" si="28">O14</f>
        <v>0.24433183058199895</v>
      </c>
      <c r="J28" s="3">
        <f t="shared" si="28"/>
        <v>8.2956898097890225E-2</v>
      </c>
      <c r="K28" s="3">
        <f>SUM(H28:J28)</f>
        <v>4.5810075180334424</v>
      </c>
    </row>
    <row r="29" spans="1:19" x14ac:dyDescent="0.3">
      <c r="G29" t="s">
        <v>25</v>
      </c>
      <c r="H29" s="3">
        <f>H26-H28</f>
        <v>11.646281210646446</v>
      </c>
      <c r="I29" s="3">
        <f>I26-I28</f>
        <v>9.3556681694180011</v>
      </c>
      <c r="J29" s="3">
        <f>J26-J28</f>
        <v>4.4170431019021095</v>
      </c>
      <c r="K29" s="56">
        <f>SUM(H29:J29)</f>
        <v>25.418992481966555</v>
      </c>
    </row>
    <row r="30" spans="1:19" ht="15" thickBot="1" x14ac:dyDescent="0.35">
      <c r="G30" t="s">
        <v>26</v>
      </c>
      <c r="H30" s="22">
        <f>H28*100/H26</f>
        <v>26.752948360714171</v>
      </c>
      <c r="I30" s="22">
        <f>I28*100/I26</f>
        <v>2.545123235229156</v>
      </c>
      <c r="J30" s="22">
        <f>J28*100/J26</f>
        <v>1.8434866243975607</v>
      </c>
      <c r="K30" s="22">
        <f>K28*100/K26</f>
        <v>15.270025060111474</v>
      </c>
    </row>
    <row r="31" spans="1:19" ht="15" thickBot="1" x14ac:dyDescent="0.35">
      <c r="A31" s="57" t="s">
        <v>30</v>
      </c>
      <c r="B31" s="66" t="s">
        <v>49</v>
      </c>
      <c r="C31" s="66" t="s">
        <v>46</v>
      </c>
      <c r="D31" s="66"/>
      <c r="E31" s="67" t="s">
        <v>47</v>
      </c>
      <c r="G31" t="s">
        <v>27</v>
      </c>
      <c r="H31" s="22">
        <f>H29*100/H26</f>
        <v>73.247051639285814</v>
      </c>
      <c r="I31" s="22">
        <f>I29*100/I26</f>
        <v>97.454876764770844</v>
      </c>
      <c r="J31" s="22">
        <f>J29*100/J26</f>
        <v>98.15651337560243</v>
      </c>
      <c r="K31" s="22">
        <f>K29*100/K26</f>
        <v>84.729974939888521</v>
      </c>
    </row>
    <row r="32" spans="1:19" x14ac:dyDescent="0.3">
      <c r="A32" s="61" t="s">
        <v>8</v>
      </c>
      <c r="B32" s="57">
        <f>SLOPE(N4:N7,B4:B7)</f>
        <v>0.13264669013100916</v>
      </c>
      <c r="C32" s="68">
        <f>SLOPE(N7:N14,B7:B14)</f>
        <v>6.5019714955444396E-2</v>
      </c>
      <c r="D32" s="68"/>
      <c r="E32" s="67">
        <f>SLOPE(N14:N19,B14:B19)</f>
        <v>3.5547858595383626E-2</v>
      </c>
      <c r="G32" t="s">
        <v>28</v>
      </c>
      <c r="K32" s="56">
        <v>25</v>
      </c>
    </row>
    <row r="33" spans="1:11" x14ac:dyDescent="0.3">
      <c r="A33" s="61" t="s">
        <v>9</v>
      </c>
      <c r="B33" s="61">
        <f>SLOPE(O4:O14,B4:B14)</f>
        <v>4.7293170035334411E-3</v>
      </c>
      <c r="C33" s="29"/>
      <c r="D33" s="29"/>
      <c r="E33" s="69">
        <f>SLOPE(O14:O19,B14:B19)</f>
        <v>3.7785152084903483E-3</v>
      </c>
      <c r="G33" t="s">
        <v>51</v>
      </c>
    </row>
    <row r="34" spans="1:11" ht="15" thickBot="1" x14ac:dyDescent="0.35">
      <c r="A34" s="63" t="s">
        <v>10</v>
      </c>
      <c r="B34" s="63">
        <f>SLOPE(P4:P14,B4:B14)</f>
        <v>1.7699677990076824E-3</v>
      </c>
      <c r="C34" s="64"/>
      <c r="D34" s="64"/>
      <c r="E34" s="70">
        <f>SLOPE(P14:P19,B14:B19)</f>
        <v>2.4824625726338942E-3</v>
      </c>
      <c r="G34" t="s">
        <v>23</v>
      </c>
      <c r="H34" s="9">
        <f>N19</f>
        <v>6.0334230929337034</v>
      </c>
      <c r="I34" s="9">
        <f t="shared" ref="I34:J34" si="29">O19</f>
        <v>0.4326176805205128</v>
      </c>
      <c r="J34" s="9">
        <f t="shared" si="29"/>
        <v>0.20021336083203958</v>
      </c>
      <c r="K34" s="9">
        <f>SUM(H34:J34)</f>
        <v>6.6662541342862554</v>
      </c>
    </row>
    <row r="35" spans="1:11" x14ac:dyDescent="0.3">
      <c r="G35" t="s">
        <v>25</v>
      </c>
      <c r="H35" s="24">
        <f>H26-H34</f>
        <v>9.8665769070662961</v>
      </c>
      <c r="I35" s="24">
        <f>I26-I34</f>
        <v>9.1673823194794863</v>
      </c>
      <c r="J35" s="24">
        <f t="shared" ref="J35" si="30">J26-J34</f>
        <v>4.2997866391679604</v>
      </c>
      <c r="K35" s="54">
        <f>SUM(H35:J35)</f>
        <v>23.333745865713745</v>
      </c>
    </row>
    <row r="36" spans="1:11" ht="15" thickBot="1" x14ac:dyDescent="0.35">
      <c r="G36" t="s">
        <v>26</v>
      </c>
      <c r="H36" s="3">
        <f>H34*100/H26</f>
        <v>37.946057188262287</v>
      </c>
      <c r="I36" s="3">
        <f t="shared" ref="I36:J36" si="31">I34*100/I26</f>
        <v>4.5064341720886754</v>
      </c>
      <c r="J36" s="3">
        <f t="shared" si="31"/>
        <v>4.4491857962675461</v>
      </c>
      <c r="K36" s="37">
        <f>K34*100/K26</f>
        <v>22.220847114287515</v>
      </c>
    </row>
    <row r="37" spans="1:11" x14ac:dyDescent="0.3">
      <c r="A37" s="57"/>
      <c r="B37" s="163" t="s">
        <v>15</v>
      </c>
      <c r="C37" s="164"/>
      <c r="D37" s="164"/>
      <c r="E37" s="164"/>
      <c r="G37" t="s">
        <v>27</v>
      </c>
      <c r="H37" s="3">
        <f>H35*100/H26</f>
        <v>62.053942811737713</v>
      </c>
      <c r="I37" s="3">
        <f>I35*100/I26</f>
        <v>95.493565827911326</v>
      </c>
      <c r="J37" s="3">
        <f>J35*100/J26</f>
        <v>95.550814203732457</v>
      </c>
      <c r="K37" s="37">
        <f>K35*100/K26</f>
        <v>77.779152885712477</v>
      </c>
    </row>
    <row r="38" spans="1:11" x14ac:dyDescent="0.3">
      <c r="A38" s="58" t="s">
        <v>82</v>
      </c>
      <c r="B38" s="59" t="s">
        <v>49</v>
      </c>
      <c r="C38" s="59" t="s">
        <v>46</v>
      </c>
      <c r="D38" s="59"/>
      <c r="E38" s="60" t="s">
        <v>47</v>
      </c>
      <c r="G38" t="s">
        <v>28</v>
      </c>
      <c r="J38" s="54"/>
    </row>
    <row r="39" spans="1:11" x14ac:dyDescent="0.3">
      <c r="A39" s="61" t="s">
        <v>8</v>
      </c>
      <c r="B39" s="29">
        <f>SLOPE(N4:N7,D4:D7)</f>
        <v>3.3975977155935331</v>
      </c>
      <c r="C39" s="29">
        <f>SLOPE(N7:N14,C7:C14)</f>
        <v>0.23703417411996153</v>
      </c>
      <c r="D39" s="29"/>
      <c r="E39" s="62">
        <f>SLOPE(N14:N19,D14:D19)</f>
        <v>0.91156681737968581</v>
      </c>
    </row>
    <row r="40" spans="1:11" x14ac:dyDescent="0.3">
      <c r="A40" s="61" t="s">
        <v>9</v>
      </c>
      <c r="B40" s="29">
        <f>SLOPE(O4:O14,D4:D14)</f>
        <v>0.11930770790837174</v>
      </c>
      <c r="C40" s="29"/>
      <c r="D40" s="29"/>
      <c r="E40" s="62">
        <f>SLOPE(O14:O19,D14:D19)</f>
        <v>9.6885874459159763E-2</v>
      </c>
    </row>
    <row r="41" spans="1:11" ht="15" thickBot="1" x14ac:dyDescent="0.35">
      <c r="A41" s="63" t="s">
        <v>10</v>
      </c>
      <c r="B41" s="64">
        <f>SLOPE(P4:P14,D4:D14)</f>
        <v>4.4615493072054084E-2</v>
      </c>
      <c r="C41" s="64"/>
      <c r="D41" s="64"/>
      <c r="E41" s="65">
        <f>SLOPE(P14:P19,D14:D19)</f>
        <v>6.3630336545725488E-2</v>
      </c>
    </row>
  </sheetData>
  <mergeCells count="3">
    <mergeCell ref="H2:J2"/>
    <mergeCell ref="K2:M2"/>
    <mergeCell ref="B37:E3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1"/>
  <sheetViews>
    <sheetView zoomScale="70" zoomScaleNormal="70" workbookViewId="0">
      <selection activeCell="E41" sqref="E41"/>
    </sheetView>
  </sheetViews>
  <sheetFormatPr defaultRowHeight="14.4" x14ac:dyDescent="0.3"/>
  <cols>
    <col min="1" max="1" width="11.33203125" customWidth="1"/>
    <col min="2" max="2" width="8.109375" customWidth="1"/>
    <col min="9" max="9" width="9.5546875" customWidth="1"/>
    <col min="11" max="11" width="9.5546875" bestFit="1" customWidth="1"/>
    <col min="12" max="13" width="9" bestFit="1" customWidth="1"/>
  </cols>
  <sheetData>
    <row r="1" spans="1:19" ht="18" x14ac:dyDescent="0.35">
      <c r="A1" s="2" t="s">
        <v>3</v>
      </c>
      <c r="B1" s="2"/>
    </row>
    <row r="2" spans="1:19" x14ac:dyDescent="0.3">
      <c r="E2" s="18"/>
      <c r="F2" s="19" t="s">
        <v>11</v>
      </c>
      <c r="G2" s="20"/>
      <c r="H2" s="160" t="s">
        <v>13</v>
      </c>
      <c r="I2" s="161"/>
      <c r="J2" s="162"/>
      <c r="K2" s="160" t="s">
        <v>18</v>
      </c>
      <c r="L2" s="161"/>
      <c r="M2" s="162"/>
      <c r="N2" t="s">
        <v>19</v>
      </c>
      <c r="Q2" t="s">
        <v>80</v>
      </c>
    </row>
    <row r="3" spans="1:19" x14ac:dyDescent="0.3">
      <c r="A3" t="s">
        <v>4</v>
      </c>
      <c r="B3" t="s">
        <v>15</v>
      </c>
      <c r="C3" t="s">
        <v>5</v>
      </c>
      <c r="D3" t="s">
        <v>81</v>
      </c>
      <c r="E3" s="18" t="s">
        <v>8</v>
      </c>
      <c r="F3" s="19" t="s">
        <v>9</v>
      </c>
      <c r="G3" s="20" t="s">
        <v>10</v>
      </c>
      <c r="H3" s="6" t="s">
        <v>8</v>
      </c>
      <c r="I3" s="7" t="s">
        <v>9</v>
      </c>
      <c r="J3" s="8" t="s">
        <v>10</v>
      </c>
      <c r="K3" s="18" t="s">
        <v>8</v>
      </c>
      <c r="L3" s="19" t="s">
        <v>9</v>
      </c>
      <c r="M3" s="20" t="s">
        <v>10</v>
      </c>
      <c r="N3" s="6" t="s">
        <v>8</v>
      </c>
      <c r="O3" s="7" t="s">
        <v>9</v>
      </c>
      <c r="P3" s="8" t="s">
        <v>10</v>
      </c>
      <c r="Q3" s="6" t="s">
        <v>8</v>
      </c>
      <c r="R3" s="7" t="s">
        <v>9</v>
      </c>
      <c r="S3" s="8" t="s">
        <v>10</v>
      </c>
    </row>
    <row r="4" spans="1:19" x14ac:dyDescent="0.3">
      <c r="A4">
        <v>0</v>
      </c>
      <c r="B4">
        <v>0</v>
      </c>
      <c r="C4" t="s">
        <v>6</v>
      </c>
      <c r="E4" s="18" t="s">
        <v>17</v>
      </c>
      <c r="F4" s="19" t="s">
        <v>17</v>
      </c>
      <c r="G4" s="20" t="s">
        <v>17</v>
      </c>
      <c r="H4" s="10"/>
      <c r="I4" s="5"/>
      <c r="J4" s="11"/>
      <c r="K4" s="18"/>
      <c r="L4" s="19"/>
      <c r="M4" s="20"/>
      <c r="N4">
        <v>0</v>
      </c>
      <c r="O4">
        <v>0</v>
      </c>
      <c r="P4">
        <v>0</v>
      </c>
      <c r="Q4">
        <f>N4/$I$22</f>
        <v>0</v>
      </c>
      <c r="R4">
        <f t="shared" ref="R4:S19" si="0">O4/$I$22</f>
        <v>0</v>
      </c>
      <c r="S4">
        <f t="shared" si="0"/>
        <v>0</v>
      </c>
    </row>
    <row r="5" spans="1:19" x14ac:dyDescent="0.3">
      <c r="A5">
        <v>1</v>
      </c>
      <c r="B5">
        <v>5</v>
      </c>
      <c r="C5">
        <v>198</v>
      </c>
      <c r="D5">
        <f>D4+C5/1000</f>
        <v>0.19800000000000001</v>
      </c>
      <c r="E5" s="102">
        <v>26211</v>
      </c>
      <c r="F5" s="51">
        <v>2363</v>
      </c>
      <c r="G5" s="103">
        <v>774</v>
      </c>
      <c r="H5" s="46">
        <f t="shared" ref="H5:H14" si="1">E5*$B$24/$B$25</f>
        <v>3.3639123231454704</v>
      </c>
      <c r="I5" s="4">
        <f t="shared" ref="I5:I14" si="2">F5*$C$24/$C$25</f>
        <v>0.14280854968929568</v>
      </c>
      <c r="J5" s="47">
        <f t="shared" ref="J5:J14" si="3">G5*$D$24/$D$25</f>
        <v>0.12116392127247839</v>
      </c>
      <c r="K5" s="12">
        <f>H5*Sample8!C5/1000</f>
        <v>0.63241551675134833</v>
      </c>
      <c r="L5" s="13">
        <f>I5*Sample8!C5/1000</f>
        <v>2.6848007341587588E-2</v>
      </c>
      <c r="M5" s="14">
        <f>J5*Sample8!C5/1000</f>
        <v>2.2778817199225938E-2</v>
      </c>
      <c r="N5" s="9">
        <f>K5+K4</f>
        <v>0.63241551675134833</v>
      </c>
      <c r="O5" s="9">
        <f>L5+L4</f>
        <v>2.6848007341587588E-2</v>
      </c>
      <c r="P5" s="9">
        <f>M5+M4</f>
        <v>2.2778817199225938E-2</v>
      </c>
      <c r="Q5">
        <f t="shared" ref="Q5:Q19" si="4">N5/$I$22</f>
        <v>2.1658065642169464E-2</v>
      </c>
      <c r="R5">
        <f t="shared" si="0"/>
        <v>9.1945230621875301E-4</v>
      </c>
      <c r="S5">
        <f t="shared" si="0"/>
        <v>7.8009647942554579E-4</v>
      </c>
    </row>
    <row r="6" spans="1:19" x14ac:dyDescent="0.3">
      <c r="A6">
        <v>2</v>
      </c>
      <c r="B6">
        <v>10</v>
      </c>
      <c r="C6">
        <v>198</v>
      </c>
      <c r="D6">
        <f t="shared" ref="D6:D19" si="5">D5+C6/1000</f>
        <v>0.39600000000000002</v>
      </c>
      <c r="E6" s="102">
        <v>20823</v>
      </c>
      <c r="F6" s="51">
        <v>2116</v>
      </c>
      <c r="G6" s="103">
        <v>1525</v>
      </c>
      <c r="H6" s="46">
        <f t="shared" si="1"/>
        <v>2.6724179277730009</v>
      </c>
      <c r="I6" s="4">
        <f t="shared" si="2"/>
        <v>0.12788103730112133</v>
      </c>
      <c r="J6" s="47">
        <f t="shared" si="3"/>
        <v>0.23872736426425006</v>
      </c>
      <c r="K6" s="12">
        <f>H6*Sample8!C6/1000</f>
        <v>0.52913874969905417</v>
      </c>
      <c r="L6" s="13">
        <f>I6*Sample8!C6/1000</f>
        <v>2.5320445385622024E-2</v>
      </c>
      <c r="M6" s="14">
        <f>J6*Sample8!C6/1000</f>
        <v>4.7268018124321513E-2</v>
      </c>
      <c r="N6" s="9">
        <f>SUM(K5:K6)</f>
        <v>1.1615542664504024</v>
      </c>
      <c r="O6" s="9">
        <f>SUM(L5:L6)</f>
        <v>5.2168452727209616E-2</v>
      </c>
      <c r="P6" s="9">
        <f>SUM(M5:M6)</f>
        <v>7.0046835323547454E-2</v>
      </c>
      <c r="Q6">
        <f t="shared" si="4"/>
        <v>3.9779255700356245E-2</v>
      </c>
      <c r="R6">
        <f t="shared" si="0"/>
        <v>1.7865908468222471E-3</v>
      </c>
      <c r="S6">
        <f t="shared" si="0"/>
        <v>2.3988642234091593E-3</v>
      </c>
    </row>
    <row r="7" spans="1:19" x14ac:dyDescent="0.3">
      <c r="A7">
        <v>3</v>
      </c>
      <c r="B7">
        <v>15</v>
      </c>
      <c r="C7">
        <v>198</v>
      </c>
      <c r="D7">
        <f t="shared" si="5"/>
        <v>0.59400000000000008</v>
      </c>
      <c r="E7" s="102">
        <v>20512</v>
      </c>
      <c r="F7" s="51">
        <v>2174</v>
      </c>
      <c r="G7" s="103">
        <v>1142</v>
      </c>
      <c r="H7" s="46">
        <f t="shared" si="1"/>
        <v>2.632504275775815</v>
      </c>
      <c r="I7" s="4">
        <f t="shared" si="2"/>
        <v>0.13138628312506509</v>
      </c>
      <c r="J7" s="47">
        <f t="shared" si="3"/>
        <v>0.17877157376378597</v>
      </c>
      <c r="K7" s="12">
        <f>H7*Sample8!C7/1000</f>
        <v>0.52123584660361133</v>
      </c>
      <c r="L7" s="13">
        <f>I7*Sample8!C7/1000</f>
        <v>2.6014484058762888E-2</v>
      </c>
      <c r="M7" s="14">
        <f>J7*Sample8!C7/1000</f>
        <v>3.5396771605229624E-2</v>
      </c>
      <c r="N7" s="9">
        <f>SUM(K5:K7)</f>
        <v>1.6827901130540137</v>
      </c>
      <c r="O7" s="9">
        <f t="shared" ref="O7:P7" si="6">SUM(L5:L7)</f>
        <v>7.8182936785972504E-2</v>
      </c>
      <c r="P7" s="9">
        <f t="shared" si="6"/>
        <v>0.10544360692877708</v>
      </c>
      <c r="Q7">
        <f t="shared" si="4"/>
        <v>5.7629798392260748E-2</v>
      </c>
      <c r="R7">
        <f t="shared" si="0"/>
        <v>2.6774978351360446E-3</v>
      </c>
      <c r="S7">
        <f t="shared" si="0"/>
        <v>3.6110824290677083E-3</v>
      </c>
    </row>
    <row r="8" spans="1:19" x14ac:dyDescent="0.3">
      <c r="A8">
        <v>4</v>
      </c>
      <c r="B8">
        <v>20</v>
      </c>
      <c r="C8">
        <v>200</v>
      </c>
      <c r="D8">
        <f t="shared" si="5"/>
        <v>0.79400000000000004</v>
      </c>
      <c r="E8" s="102">
        <v>19443</v>
      </c>
      <c r="F8" s="51">
        <v>3703</v>
      </c>
      <c r="G8" s="103">
        <v>797</v>
      </c>
      <c r="H8" s="46">
        <f t="shared" si="1"/>
        <v>2.4953091182678029</v>
      </c>
      <c r="I8" s="4">
        <f t="shared" si="2"/>
        <v>0.22379181527696229</v>
      </c>
      <c r="J8" s="47">
        <f t="shared" si="3"/>
        <v>0.12476439955318512</v>
      </c>
      <c r="K8" s="12">
        <f>H8*Sample8!C8/1000</f>
        <v>0.49407120541702498</v>
      </c>
      <c r="L8" s="13">
        <f>I8*Sample8!C8/1000</f>
        <v>4.4310779424838534E-2</v>
      </c>
      <c r="M8" s="14">
        <f>J8*Sample8!C8/1000</f>
        <v>2.4703351111530655E-2</v>
      </c>
      <c r="N8" s="9">
        <f>SUM(K4:K8)</f>
        <v>2.1768613184710386</v>
      </c>
      <c r="O8" s="9">
        <f t="shared" ref="O8:P8" si="7">SUM(L4:L8)</f>
        <v>0.12249371621081104</v>
      </c>
      <c r="P8" s="9">
        <f t="shared" si="7"/>
        <v>0.13014695804030774</v>
      </c>
      <c r="Q8">
        <f t="shared" si="4"/>
        <v>7.4550045153117764E-2</v>
      </c>
      <c r="R8">
        <f t="shared" si="0"/>
        <v>4.194990281192159E-3</v>
      </c>
      <c r="S8">
        <f t="shared" si="0"/>
        <v>4.4570876041201283E-3</v>
      </c>
    </row>
    <row r="9" spans="1:19" x14ac:dyDescent="0.3">
      <c r="A9">
        <v>5</v>
      </c>
      <c r="B9">
        <v>25</v>
      </c>
      <c r="C9">
        <v>200</v>
      </c>
      <c r="D9">
        <f t="shared" si="5"/>
        <v>0.99399999999999999</v>
      </c>
      <c r="E9" s="102">
        <v>14015</v>
      </c>
      <c r="F9" s="51">
        <v>2995</v>
      </c>
      <c r="G9" s="103">
        <v>556</v>
      </c>
      <c r="H9" s="46">
        <f t="shared" si="1"/>
        <v>1.7986811342140236</v>
      </c>
      <c r="I9" s="4">
        <f t="shared" si="2"/>
        <v>0.18100364211571754</v>
      </c>
      <c r="J9" s="47">
        <f t="shared" si="3"/>
        <v>8.703764887273642E-2</v>
      </c>
      <c r="K9" s="12">
        <f>H9*Sample8!C9/1000</f>
        <v>0.35613886457437666</v>
      </c>
      <c r="L9" s="13">
        <f>I9*Sample8!C9/1000</f>
        <v>3.5838721138912073E-2</v>
      </c>
      <c r="M9" s="14">
        <f>J9*Sample8!C9/1000</f>
        <v>1.7233454476801812E-2</v>
      </c>
      <c r="N9" s="9">
        <f>SUM(K4:K9)</f>
        <v>2.5330001830454152</v>
      </c>
      <c r="O9" s="9">
        <f t="shared" ref="O9:P9" si="8">SUM(L4:L9)</f>
        <v>0.1583324373497231</v>
      </c>
      <c r="P9" s="9">
        <f t="shared" si="8"/>
        <v>0.14738041251710954</v>
      </c>
      <c r="Q9">
        <f t="shared" si="4"/>
        <v>8.6746581611144361E-2</v>
      </c>
      <c r="R9">
        <f t="shared" si="0"/>
        <v>5.4223437448535309E-3</v>
      </c>
      <c r="S9">
        <f t="shared" si="0"/>
        <v>5.0472744012708751E-3</v>
      </c>
    </row>
    <row r="10" spans="1:19" x14ac:dyDescent="0.3">
      <c r="A10">
        <v>6</v>
      </c>
      <c r="B10">
        <v>30</v>
      </c>
      <c r="C10">
        <v>200</v>
      </c>
      <c r="D10">
        <f t="shared" si="5"/>
        <v>1.194</v>
      </c>
      <c r="E10" s="102">
        <v>14074</v>
      </c>
      <c r="F10" s="51">
        <v>3277</v>
      </c>
      <c r="G10" s="103">
        <v>523</v>
      </c>
      <c r="H10" s="46">
        <f t="shared" si="1"/>
        <v>1.8062531775189559</v>
      </c>
      <c r="I10" s="4">
        <f t="shared" si="2"/>
        <v>0.19804638905282348</v>
      </c>
      <c r="J10" s="47">
        <f t="shared" si="3"/>
        <v>8.1871745252591985E-2</v>
      </c>
      <c r="K10" s="12">
        <f>H10*Sample8!C10/1000</f>
        <v>0.36125063550379116</v>
      </c>
      <c r="L10" s="13">
        <f>I10*Sample8!C10/1000</f>
        <v>3.9609277810564697E-2</v>
      </c>
      <c r="M10" s="14">
        <f>J10*Sample8!C10/1000</f>
        <v>1.6374349050518398E-2</v>
      </c>
      <c r="N10" s="9">
        <f>SUM(K4:K10)</f>
        <v>2.8942508185492062</v>
      </c>
      <c r="O10" s="9">
        <f t="shared" ref="O10:P10" si="9">SUM(L4:L10)</f>
        <v>0.1979417151602878</v>
      </c>
      <c r="P10" s="9">
        <f t="shared" si="9"/>
        <v>0.16375476156762794</v>
      </c>
      <c r="Q10">
        <f t="shared" si="4"/>
        <v>9.9118178717438568E-2</v>
      </c>
      <c r="R10">
        <f t="shared" si="0"/>
        <v>6.7788258616536916E-3</v>
      </c>
      <c r="S10">
        <f t="shared" si="0"/>
        <v>5.6080397797132857E-3</v>
      </c>
    </row>
    <row r="11" spans="1:19" x14ac:dyDescent="0.3">
      <c r="A11">
        <v>7</v>
      </c>
      <c r="B11">
        <v>35</v>
      </c>
      <c r="C11">
        <v>200</v>
      </c>
      <c r="D11">
        <f t="shared" si="5"/>
        <v>1.3939999999999999</v>
      </c>
      <c r="E11" s="102">
        <v>12119</v>
      </c>
      <c r="F11" s="51">
        <v>2087</v>
      </c>
      <c r="G11" s="103">
        <v>311</v>
      </c>
      <c r="H11" s="46">
        <f t="shared" si="1"/>
        <v>1.5553490307199251</v>
      </c>
      <c r="I11" s="4">
        <f t="shared" si="2"/>
        <v>0.12612841438914943</v>
      </c>
      <c r="J11" s="47">
        <f t="shared" si="3"/>
        <v>4.8684728056512638E-2</v>
      </c>
      <c r="K11" s="12">
        <f>H11*Sample8!C11/1000</f>
        <v>0.31106980614398505</v>
      </c>
      <c r="L11" s="13">
        <f>I11*Sample8!C11/1000</f>
        <v>2.5225682877829884E-2</v>
      </c>
      <c r="M11" s="14">
        <f>J11*Sample8!C11/1000</f>
        <v>9.736945611302528E-3</v>
      </c>
      <c r="N11" s="9">
        <f>SUM(K4:K11)</f>
        <v>3.2053206246931913</v>
      </c>
      <c r="O11" s="9">
        <f t="shared" ref="O11:P11" si="10">SUM(L4:L11)</f>
        <v>0.22316739803811769</v>
      </c>
      <c r="P11" s="9">
        <f t="shared" si="10"/>
        <v>0.17349170717893048</v>
      </c>
      <c r="Q11">
        <f t="shared" si="4"/>
        <v>0.10977125427031477</v>
      </c>
      <c r="R11">
        <f t="shared" si="0"/>
        <v>7.6427191108944421E-3</v>
      </c>
      <c r="S11">
        <f t="shared" si="0"/>
        <v>5.9414968211962491E-3</v>
      </c>
    </row>
    <row r="12" spans="1:19" x14ac:dyDescent="0.3">
      <c r="A12">
        <v>8</v>
      </c>
      <c r="B12">
        <v>40</v>
      </c>
      <c r="C12">
        <v>202</v>
      </c>
      <c r="D12">
        <f t="shared" si="5"/>
        <v>1.5959999999999999</v>
      </c>
      <c r="E12" s="102">
        <v>12801</v>
      </c>
      <c r="F12" s="51">
        <v>2123</v>
      </c>
      <c r="G12" s="103">
        <v>2109</v>
      </c>
      <c r="H12" s="46">
        <f t="shared" si="1"/>
        <v>1.642876717736262</v>
      </c>
      <c r="I12" s="4">
        <f t="shared" si="2"/>
        <v>0.12830408421090764</v>
      </c>
      <c r="J12" s="47">
        <f t="shared" si="3"/>
        <v>0.33014820408741208</v>
      </c>
      <c r="K12" s="12">
        <f>H12*Sample8!C11/1000</f>
        <v>0.32857534354725237</v>
      </c>
      <c r="L12" s="13">
        <f>I12*Sample8!C11/1000</f>
        <v>2.5660816842181529E-2</v>
      </c>
      <c r="M12" s="14">
        <f>J12*Sample8!C11/1000</f>
        <v>6.6029640817482416E-2</v>
      </c>
      <c r="N12" s="9">
        <f>SUM(K4:K12)</f>
        <v>3.5338959682404436</v>
      </c>
      <c r="O12" s="9">
        <f t="shared" ref="O12:P12" si="11">SUM(L4:L12)</f>
        <v>0.24882821488029921</v>
      </c>
      <c r="P12" s="9">
        <f t="shared" si="11"/>
        <v>0.23952134799641289</v>
      </c>
      <c r="Q12">
        <f t="shared" si="4"/>
        <v>0.12102383452878232</v>
      </c>
      <c r="R12">
        <f t="shared" si="0"/>
        <v>8.5215142082294259E-3</v>
      </c>
      <c r="S12">
        <f t="shared" si="0"/>
        <v>8.202785890288113E-3</v>
      </c>
    </row>
    <row r="13" spans="1:19" x14ac:dyDescent="0.3">
      <c r="A13">
        <v>9</v>
      </c>
      <c r="B13">
        <v>45</v>
      </c>
      <c r="C13">
        <v>204</v>
      </c>
      <c r="D13">
        <f t="shared" si="5"/>
        <v>1.7999999999999998</v>
      </c>
      <c r="E13" s="102">
        <v>11289</v>
      </c>
      <c r="F13" s="51">
        <v>2083</v>
      </c>
      <c r="G13" s="103">
        <v>631</v>
      </c>
      <c r="H13" s="46">
        <f t="shared" si="1"/>
        <v>1.4488270655827407</v>
      </c>
      <c r="I13" s="4">
        <f t="shared" si="2"/>
        <v>0.12588667329784295</v>
      </c>
      <c r="J13" s="47">
        <f t="shared" si="3"/>
        <v>9.8778338918519212E-2</v>
      </c>
      <c r="K13" s="12">
        <f>H13*Sample8!C12/1000</f>
        <v>0.28686775898538264</v>
      </c>
      <c r="L13" s="13">
        <f>I13*Sample8!C12/1000</f>
        <v>2.4925561312972903E-2</v>
      </c>
      <c r="M13" s="14">
        <f>J13*Sample8!C12/1000</f>
        <v>1.9558111105866804E-2</v>
      </c>
      <c r="N13" s="9">
        <f>SUM(K4:K13)</f>
        <v>3.8207637272258261</v>
      </c>
      <c r="O13" s="9">
        <f t="shared" ref="O13:P13" si="12">SUM(L4:L13)</f>
        <v>0.27375377619327212</v>
      </c>
      <c r="P13" s="9">
        <f t="shared" si="12"/>
        <v>0.2590794591022797</v>
      </c>
      <c r="Q13">
        <f t="shared" si="4"/>
        <v>0.13084807285019953</v>
      </c>
      <c r="R13">
        <f t="shared" si="0"/>
        <v>9.3751293216874018E-3</v>
      </c>
      <c r="S13">
        <f t="shared" si="0"/>
        <v>8.8725842158314961E-3</v>
      </c>
    </row>
    <row r="14" spans="1:19" x14ac:dyDescent="0.3">
      <c r="A14">
        <v>10</v>
      </c>
      <c r="B14">
        <v>50</v>
      </c>
      <c r="C14">
        <v>202</v>
      </c>
      <c r="D14">
        <f t="shared" si="5"/>
        <v>2.0019999999999998</v>
      </c>
      <c r="E14" s="102">
        <v>10424</v>
      </c>
      <c r="F14" s="51">
        <v>2182</v>
      </c>
      <c r="G14" s="103">
        <v>138</v>
      </c>
      <c r="H14" s="46">
        <f t="shared" si="1"/>
        <v>1.33781321034941</v>
      </c>
      <c r="I14" s="4">
        <f t="shared" si="2"/>
        <v>0.13186976530767802</v>
      </c>
      <c r="J14" s="47">
        <f t="shared" si="3"/>
        <v>2.1602869684240335E-2</v>
      </c>
      <c r="K14" s="12">
        <f>H14*Sample8!C13/1000</f>
        <v>0.26756264206988201</v>
      </c>
      <c r="L14" s="13">
        <f>I14*Sample8!C13/1000</f>
        <v>2.6373953061535605E-2</v>
      </c>
      <c r="M14" s="14">
        <f>J14*Sample8!C13/1000</f>
        <v>4.3205739368480673E-3</v>
      </c>
      <c r="N14" s="9">
        <f>SUM(K4:K14)</f>
        <v>4.0883263692957081</v>
      </c>
      <c r="O14" s="9">
        <f t="shared" ref="O14:P14" si="13">SUM(L4:L14)</f>
        <v>0.30012772925480774</v>
      </c>
      <c r="P14" s="9">
        <f t="shared" si="13"/>
        <v>0.26340003303912779</v>
      </c>
      <c r="Q14">
        <f t="shared" si="4"/>
        <v>0.14001117703067495</v>
      </c>
      <c r="R14">
        <f t="shared" si="0"/>
        <v>1.0278346892287937E-2</v>
      </c>
      <c r="S14">
        <f t="shared" si="0"/>
        <v>9.0205490766824582E-3</v>
      </c>
    </row>
    <row r="15" spans="1:19" x14ac:dyDescent="0.3">
      <c r="A15">
        <v>11</v>
      </c>
      <c r="B15">
        <v>60</v>
      </c>
      <c r="C15">
        <v>400</v>
      </c>
      <c r="D15">
        <f t="shared" si="5"/>
        <v>2.4019999999999997</v>
      </c>
      <c r="E15" s="102">
        <v>11944</v>
      </c>
      <c r="F15" s="51">
        <v>2703</v>
      </c>
      <c r="G15" s="103">
        <v>336</v>
      </c>
      <c r="H15" s="46">
        <f>E15*$B$26/$B$27</f>
        <v>1.3929687569375582</v>
      </c>
      <c r="I15" s="4">
        <f>F15*$C$26/$C$27</f>
        <v>0.15942152927888742</v>
      </c>
      <c r="J15" s="47">
        <f>G15*$D$26/$D$27</f>
        <v>2.5713263881678376E-2</v>
      </c>
      <c r="K15" s="12">
        <f>H15*Sample8!C14/1000</f>
        <v>0.27580781387363651</v>
      </c>
      <c r="L15" s="13">
        <f>I15*Sample8!C14/1000</f>
        <v>3.1565462797219709E-2</v>
      </c>
      <c r="M15" s="14">
        <f>J15*Sample8!C14/1000</f>
        <v>5.091226248572318E-3</v>
      </c>
      <c r="N15" s="9">
        <f>SUM(K4:K15)</f>
        <v>4.3641341831693445</v>
      </c>
      <c r="O15" s="9">
        <f t="shared" ref="O15:P15" si="14">SUM(L4:L15)</f>
        <v>0.33169319205202746</v>
      </c>
      <c r="P15" s="9">
        <f t="shared" si="14"/>
        <v>0.26849125928770012</v>
      </c>
      <c r="Q15">
        <f t="shared" si="4"/>
        <v>0.1494566501085392</v>
      </c>
      <c r="R15">
        <f t="shared" si="0"/>
        <v>1.1359355892192722E-2</v>
      </c>
      <c r="S15">
        <f t="shared" si="0"/>
        <v>9.1949061399897308E-3</v>
      </c>
    </row>
    <row r="16" spans="1:19" x14ac:dyDescent="0.3">
      <c r="A16">
        <v>12</v>
      </c>
      <c r="B16">
        <v>70</v>
      </c>
      <c r="C16">
        <v>405</v>
      </c>
      <c r="D16">
        <f t="shared" si="5"/>
        <v>2.8069999999999995</v>
      </c>
      <c r="E16" s="102">
        <v>10417</v>
      </c>
      <c r="F16" s="51">
        <v>1871</v>
      </c>
      <c r="G16" s="103">
        <v>1093</v>
      </c>
      <c r="H16" s="46">
        <f>E16*$B$26/$B$27</f>
        <v>1.2148824130122693</v>
      </c>
      <c r="I16" s="4">
        <f t="shared" ref="I16:I19" si="15">F16*$C$26/$C$27</f>
        <v>0.11035060350750957</v>
      </c>
      <c r="J16" s="47">
        <f>G16*$D$26/$D$27</f>
        <v>8.3644635186531133E-2</v>
      </c>
      <c r="K16" s="12">
        <f>H16*Sample8!C16/1000</f>
        <v>0.47380414107478502</v>
      </c>
      <c r="L16" s="13">
        <f>I16*Sample8!C16/1000</f>
        <v>4.3036735367928736E-2</v>
      </c>
      <c r="M16" s="14">
        <f>J16*Sample8!C16/1000</f>
        <v>3.2621407722747145E-2</v>
      </c>
      <c r="N16" s="9">
        <f>SUM(K4:K16)</f>
        <v>4.8379383242441296</v>
      </c>
      <c r="O16" s="9">
        <f t="shared" ref="O16:P16" si="16">SUM(L4:L16)</f>
        <v>0.3747299274199562</v>
      </c>
      <c r="P16" s="9">
        <f t="shared" si="16"/>
        <v>0.30111266701044725</v>
      </c>
      <c r="Q16">
        <f t="shared" si="4"/>
        <v>0.1656828193234291</v>
      </c>
      <c r="R16">
        <f t="shared" si="0"/>
        <v>1.2833216692464254E-2</v>
      </c>
      <c r="S16">
        <f t="shared" si="0"/>
        <v>1.0312077637344085E-2</v>
      </c>
    </row>
    <row r="17" spans="1:19" x14ac:dyDescent="0.3">
      <c r="A17">
        <v>13</v>
      </c>
      <c r="B17">
        <v>80</v>
      </c>
      <c r="C17">
        <v>405</v>
      </c>
      <c r="D17">
        <f t="shared" si="5"/>
        <v>3.2119999999999997</v>
      </c>
      <c r="E17" s="102">
        <v>9781</v>
      </c>
      <c r="F17" s="51">
        <v>2101</v>
      </c>
      <c r="G17" s="103">
        <v>1426</v>
      </c>
      <c r="H17" s="46">
        <f t="shared" ref="H17:H19" si="17">E17*$B$26/$B$27</f>
        <v>1.1407089259549779</v>
      </c>
      <c r="I17" s="4">
        <f t="shared" si="15"/>
        <v>0.12391588346834718</v>
      </c>
      <c r="J17" s="47">
        <f>G17*$D$26/$D$27</f>
        <v>0.10912831635498024</v>
      </c>
      <c r="K17" s="12">
        <f>H17*Sample8!C17/1000</f>
        <v>0.44487648112244138</v>
      </c>
      <c r="L17" s="13">
        <f>I17*Sample8!C17/1000</f>
        <v>4.8327194552655398E-2</v>
      </c>
      <c r="M17" s="14">
        <f>J17*Sample8!C17/1000</f>
        <v>4.2560043378442297E-2</v>
      </c>
      <c r="N17" s="9">
        <f>SUM(K4:K17)</f>
        <v>5.2828148053665709</v>
      </c>
      <c r="O17" s="9">
        <f t="shared" ref="O17:P17" si="18">SUM(L4:L17)</f>
        <v>0.42305712197261158</v>
      </c>
      <c r="P17" s="9">
        <f t="shared" si="18"/>
        <v>0.34367271038888958</v>
      </c>
      <c r="Q17">
        <f t="shared" si="4"/>
        <v>0.18091831525227983</v>
      </c>
      <c r="R17">
        <f t="shared" si="0"/>
        <v>1.4488257601801767E-2</v>
      </c>
      <c r="S17">
        <f t="shared" si="0"/>
        <v>1.1769613369482521E-2</v>
      </c>
    </row>
    <row r="18" spans="1:19" x14ac:dyDescent="0.3">
      <c r="A18">
        <v>14</v>
      </c>
      <c r="B18">
        <v>90</v>
      </c>
      <c r="C18">
        <v>400</v>
      </c>
      <c r="D18">
        <f t="shared" si="5"/>
        <v>3.6119999999999997</v>
      </c>
      <c r="E18" s="102">
        <v>10361</v>
      </c>
      <c r="F18" s="51">
        <v>1905</v>
      </c>
      <c r="G18" s="103">
        <v>737</v>
      </c>
      <c r="H18" s="46">
        <f t="shared" si="17"/>
        <v>1.2083514141518787</v>
      </c>
      <c r="I18" s="4">
        <f t="shared" si="15"/>
        <v>0.1123559057625899</v>
      </c>
      <c r="J18" s="47">
        <f>G18*$D$26/$D$27</f>
        <v>5.6400819883324294E-2</v>
      </c>
      <c r="K18" s="12">
        <f>H18*Sample8!C18/1000</f>
        <v>0.47125705151923275</v>
      </c>
      <c r="L18" s="13">
        <f>I18*Sample8!C18/1000</f>
        <v>4.3818803247410061E-2</v>
      </c>
      <c r="M18" s="14">
        <f>J18*Sample8!C18/1000</f>
        <v>2.1996319754496476E-2</v>
      </c>
      <c r="N18" s="9">
        <f>SUM(K4:K18)</f>
        <v>5.7540718568858038</v>
      </c>
      <c r="O18" s="9">
        <f t="shared" ref="O18:P18" si="19">SUM(L4:L18)</f>
        <v>0.46687592522002164</v>
      </c>
      <c r="P18" s="9">
        <f t="shared" si="19"/>
        <v>0.36566903014338603</v>
      </c>
      <c r="Q18">
        <f t="shared" si="4"/>
        <v>0.1970572553728015</v>
      </c>
      <c r="R18">
        <f t="shared" si="0"/>
        <v>1.5988901548630877E-2</v>
      </c>
      <c r="S18">
        <f t="shared" si="0"/>
        <v>1.252291199121185E-2</v>
      </c>
    </row>
    <row r="19" spans="1:19" x14ac:dyDescent="0.3">
      <c r="A19">
        <v>15</v>
      </c>
      <c r="B19">
        <v>100</v>
      </c>
      <c r="C19">
        <v>400</v>
      </c>
      <c r="D19">
        <f t="shared" si="5"/>
        <v>4.0119999999999996</v>
      </c>
      <c r="E19" s="104">
        <v>8455</v>
      </c>
      <c r="F19" s="73">
        <v>1433</v>
      </c>
      <c r="G19" s="105">
        <v>305</v>
      </c>
      <c r="H19" s="38">
        <f t="shared" si="17"/>
        <v>0.98606420293930463</v>
      </c>
      <c r="I19" s="39">
        <f t="shared" si="15"/>
        <v>8.4517592103827477E-2</v>
      </c>
      <c r="J19" s="40">
        <f>G19*$D$26/$D$27</f>
        <v>2.3340909178309242E-2</v>
      </c>
      <c r="K19" s="15">
        <f>H19*Sample8!C19/1000</f>
        <v>0.38949536016102532</v>
      </c>
      <c r="L19" s="16">
        <f>I19*Sample8!C19/1000</f>
        <v>3.3384448881011858E-2</v>
      </c>
      <c r="M19" s="17">
        <f>J19*Sample8!C19/1000</f>
        <v>9.2196591254321506E-3</v>
      </c>
      <c r="N19" s="9">
        <f>SUM(K4:K19)</f>
        <v>6.1435672170468294</v>
      </c>
      <c r="O19" s="9">
        <f t="shared" ref="O19:P19" si="20">SUM(L4:L19)</f>
        <v>0.50026037410103352</v>
      </c>
      <c r="P19" s="9">
        <f t="shared" si="20"/>
        <v>0.37488868926881819</v>
      </c>
      <c r="Q19">
        <f t="shared" si="4"/>
        <v>0.2103961375700969</v>
      </c>
      <c r="R19">
        <f t="shared" si="0"/>
        <v>1.7132204592501147E-2</v>
      </c>
      <c r="S19">
        <f t="shared" si="0"/>
        <v>1.2838653742082816E-2</v>
      </c>
    </row>
    <row r="21" spans="1:19" x14ac:dyDescent="0.3">
      <c r="A21" t="s">
        <v>7</v>
      </c>
      <c r="C21">
        <f>SUM(C5:C19)</f>
        <v>4012</v>
      </c>
      <c r="H21" s="21" t="s">
        <v>21</v>
      </c>
      <c r="I21" s="21"/>
    </row>
    <row r="22" spans="1:19" x14ac:dyDescent="0.3">
      <c r="H22" t="s">
        <v>22</v>
      </c>
      <c r="I22" s="1">
        <v>29.2</v>
      </c>
      <c r="L22" t="s">
        <v>7</v>
      </c>
    </row>
    <row r="23" spans="1:19" x14ac:dyDescent="0.3">
      <c r="A23" s="21" t="s">
        <v>12</v>
      </c>
      <c r="B23" t="s">
        <v>8</v>
      </c>
      <c r="C23" t="s">
        <v>9</v>
      </c>
      <c r="D23" t="s">
        <v>10</v>
      </c>
      <c r="I23" t="s">
        <v>8</v>
      </c>
      <c r="J23" t="s">
        <v>9</v>
      </c>
      <c r="K23" t="s">
        <v>10</v>
      </c>
    </row>
    <row r="24" spans="1:19" x14ac:dyDescent="0.3">
      <c r="A24" t="s">
        <v>13</v>
      </c>
      <c r="B24" s="4">
        <v>39.404400000000003</v>
      </c>
      <c r="C24" s="4">
        <v>40.04</v>
      </c>
      <c r="D24" s="5">
        <v>39.799999999999997</v>
      </c>
      <c r="H24" t="s">
        <v>20</v>
      </c>
      <c r="I24">
        <v>53</v>
      </c>
      <c r="J24">
        <v>32</v>
      </c>
      <c r="K24">
        <v>15</v>
      </c>
      <c r="L24" s="3">
        <f>SUM(I24:K24)</f>
        <v>100</v>
      </c>
    </row>
    <row r="25" spans="1:19" x14ac:dyDescent="0.3">
      <c r="A25" t="s">
        <v>14</v>
      </c>
      <c r="B25" s="5">
        <v>307032</v>
      </c>
      <c r="C25" s="5">
        <v>662527</v>
      </c>
      <c r="D25" s="5">
        <v>254244</v>
      </c>
      <c r="H25" t="s">
        <v>24</v>
      </c>
      <c r="I25" s="3">
        <f>I22*I24/100</f>
        <v>15.475999999999999</v>
      </c>
      <c r="J25" s="3">
        <f>I22*J24/100</f>
        <v>9.3439999999999994</v>
      </c>
      <c r="K25" s="3">
        <f>I22*K24/100</f>
        <v>4.38</v>
      </c>
      <c r="L25" s="3">
        <f>SUM(I25:K25)</f>
        <v>29.2</v>
      </c>
    </row>
    <row r="26" spans="1:19" x14ac:dyDescent="0.3">
      <c r="A26" t="s">
        <v>40</v>
      </c>
      <c r="B26">
        <v>39.4</v>
      </c>
      <c r="C26">
        <v>40</v>
      </c>
      <c r="D26">
        <v>39.799999999999997</v>
      </c>
      <c r="H26" t="s">
        <v>50</v>
      </c>
    </row>
    <row r="27" spans="1:19" x14ac:dyDescent="0.3">
      <c r="A27" t="s">
        <v>41</v>
      </c>
      <c r="B27">
        <v>337835</v>
      </c>
      <c r="C27">
        <v>678202</v>
      </c>
      <c r="D27">
        <v>520074</v>
      </c>
      <c r="H27" t="s">
        <v>23</v>
      </c>
      <c r="I27" s="3">
        <f>N14</f>
        <v>4.0883263692957081</v>
      </c>
      <c r="J27" s="3">
        <f t="shared" ref="J27:K27" si="21">O14</f>
        <v>0.30012772925480774</v>
      </c>
      <c r="K27" s="3">
        <f t="shared" si="21"/>
        <v>0.26340003303912779</v>
      </c>
      <c r="L27" s="3">
        <f>SUM(I27:K27)</f>
        <v>4.6518541315896433</v>
      </c>
    </row>
    <row r="28" spans="1:19" x14ac:dyDescent="0.3">
      <c r="A28" t="s">
        <v>15</v>
      </c>
      <c r="B28">
        <v>1.109</v>
      </c>
      <c r="C28">
        <v>4.9669999999999996</v>
      </c>
      <c r="D28">
        <v>3.161</v>
      </c>
      <c r="H28" t="s">
        <v>25</v>
      </c>
      <c r="I28" s="3">
        <f>I25-I27</f>
        <v>11.387673630704292</v>
      </c>
      <c r="J28" s="3">
        <f>J25-J27</f>
        <v>9.043872270745192</v>
      </c>
      <c r="K28" s="3">
        <f>K25-K27</f>
        <v>4.1165999669608722</v>
      </c>
      <c r="L28" s="56">
        <f>SUM(I28:K28)</f>
        <v>24.548145868410355</v>
      </c>
    </row>
    <row r="29" spans="1:19" x14ac:dyDescent="0.3">
      <c r="A29" t="s">
        <v>16</v>
      </c>
      <c r="B29">
        <v>315</v>
      </c>
      <c r="C29">
        <v>296</v>
      </c>
      <c r="D29">
        <v>235</v>
      </c>
      <c r="H29" t="s">
        <v>26</v>
      </c>
      <c r="I29" s="22">
        <f>I27*100/I25</f>
        <v>26.417203213334894</v>
      </c>
      <c r="J29" s="22">
        <f>J27*100/J25</f>
        <v>3.2119834038399802</v>
      </c>
      <c r="K29" s="22">
        <f>K27*100/K25</f>
        <v>6.0136993844549727</v>
      </c>
      <c r="L29" s="22">
        <f>L27*100/L25</f>
        <v>15.931007299964531</v>
      </c>
    </row>
    <row r="30" spans="1:19" x14ac:dyDescent="0.3">
      <c r="H30" t="s">
        <v>27</v>
      </c>
      <c r="I30" s="22">
        <f>I28*100/I25</f>
        <v>73.582796786665114</v>
      </c>
      <c r="J30" s="22">
        <f>J28*100/J25</f>
        <v>96.78801659616002</v>
      </c>
      <c r="K30" s="22">
        <f>K28*100/K25</f>
        <v>93.986300615545019</v>
      </c>
      <c r="L30" s="22">
        <f>L28*100/L25</f>
        <v>84.068992700035466</v>
      </c>
    </row>
    <row r="31" spans="1:19" x14ac:dyDescent="0.3">
      <c r="H31" t="s">
        <v>28</v>
      </c>
      <c r="L31" s="55">
        <v>28.3</v>
      </c>
    </row>
    <row r="32" spans="1:19" x14ac:dyDescent="0.3">
      <c r="A32" s="25" t="s">
        <v>30</v>
      </c>
      <c r="B32" s="26"/>
      <c r="C32" s="27"/>
      <c r="H32" s="21" t="s">
        <v>51</v>
      </c>
    </row>
    <row r="33" spans="1:20" x14ac:dyDescent="0.3">
      <c r="A33" s="28" t="s">
        <v>8</v>
      </c>
      <c r="B33" s="29">
        <f>SLOPE(N4:N7,B4:B7)</f>
        <v>0.11155018177722191</v>
      </c>
      <c r="C33" s="30">
        <f>SLOPE(N7:N14,B7:B14)</f>
        <v>6.7552435712368741E-2</v>
      </c>
      <c r="D33" s="30">
        <f>SLOPE(N14:N19,B14:B19)</f>
        <v>4.2545410688649789E-2</v>
      </c>
      <c r="H33" t="s">
        <v>23</v>
      </c>
      <c r="I33" s="9">
        <f>N19</f>
        <v>6.1435672170468294</v>
      </c>
      <c r="J33" s="9">
        <f t="shared" ref="J33:K33" si="22">O19</f>
        <v>0.50026037410103352</v>
      </c>
      <c r="K33" s="9">
        <f t="shared" si="22"/>
        <v>0.37488868926881819</v>
      </c>
      <c r="L33" s="9">
        <f>SUM(I33:K33)</f>
        <v>7.0187162804166814</v>
      </c>
    </row>
    <row r="34" spans="1:20" x14ac:dyDescent="0.3">
      <c r="A34" s="28" t="s">
        <v>9</v>
      </c>
      <c r="B34" s="29">
        <f>SLOPE(O4:O14,B4:B14)</f>
        <v>6.2611962356251133E-3</v>
      </c>
      <c r="C34" s="30"/>
      <c r="D34" s="30">
        <f>SLOPE(O14:O19,B14:B19)</f>
        <v>4.1558246236793337E-3</v>
      </c>
      <c r="H34" t="s">
        <v>25</v>
      </c>
      <c r="I34" s="9">
        <f>I25-I33</f>
        <v>9.3324327829531697</v>
      </c>
      <c r="J34" s="9">
        <f t="shared" ref="J34" si="23">J25-J33</f>
        <v>8.8437396258989658</v>
      </c>
      <c r="K34" s="9">
        <f>K25-K33</f>
        <v>4.0051113107311815</v>
      </c>
      <c r="L34" s="54">
        <f>SUM(I34:K34)</f>
        <v>22.181283719583316</v>
      </c>
      <c r="T34" t="s">
        <v>38</v>
      </c>
    </row>
    <row r="35" spans="1:20" x14ac:dyDescent="0.3">
      <c r="A35" s="31" t="s">
        <v>10</v>
      </c>
      <c r="B35" s="32">
        <f>SLOPE(P4:P14,B4:B14)</f>
        <v>5.3460550451892314E-3</v>
      </c>
      <c r="C35" s="33"/>
      <c r="D35" s="30">
        <f>SLOPE(P14:P19,B14:B19)</f>
        <v>2.5472475345541487E-3</v>
      </c>
      <c r="H35" t="s">
        <v>26</v>
      </c>
      <c r="I35" s="3">
        <f>I33*100/I25</f>
        <v>39.697384447188099</v>
      </c>
      <c r="J35" s="3">
        <f t="shared" ref="J35:K35" si="24">J33*100/J25</f>
        <v>5.3538139351566087</v>
      </c>
      <c r="K35" s="3">
        <f t="shared" si="24"/>
        <v>8.559102494721877</v>
      </c>
      <c r="L35" s="3">
        <f>L33*100/L25</f>
        <v>24.036699590468089</v>
      </c>
    </row>
    <row r="36" spans="1:20" ht="15" thickBot="1" x14ac:dyDescent="0.35">
      <c r="H36" t="s">
        <v>27</v>
      </c>
      <c r="I36" s="3">
        <f>I34*100/I25</f>
        <v>60.302615552811901</v>
      </c>
      <c r="J36" s="3">
        <f t="shared" ref="J36:K36" si="25">J34*100/J25</f>
        <v>94.646186064843391</v>
      </c>
      <c r="K36" s="3">
        <f t="shared" si="25"/>
        <v>91.44089750527813</v>
      </c>
      <c r="L36" s="3">
        <f>L34*100/L25</f>
        <v>75.963300409531911</v>
      </c>
    </row>
    <row r="37" spans="1:20" x14ac:dyDescent="0.3">
      <c r="A37" s="57"/>
      <c r="B37" s="163" t="s">
        <v>15</v>
      </c>
      <c r="C37" s="164"/>
      <c r="D37" s="164"/>
      <c r="E37" s="165"/>
      <c r="H37" t="s">
        <v>28</v>
      </c>
      <c r="L37" s="54">
        <v>23.8</v>
      </c>
    </row>
    <row r="38" spans="1:20" x14ac:dyDescent="0.3">
      <c r="A38" s="58" t="s">
        <v>82</v>
      </c>
      <c r="B38" s="59" t="s">
        <v>49</v>
      </c>
      <c r="C38" s="59" t="s">
        <v>46</v>
      </c>
      <c r="D38" s="59"/>
      <c r="E38" s="60" t="s">
        <v>47</v>
      </c>
    </row>
    <row r="39" spans="1:20" x14ac:dyDescent="0.3">
      <c r="A39" s="61" t="s">
        <v>8</v>
      </c>
      <c r="B39" s="29">
        <f>SLOPE(N4:N7,D4:D7)</f>
        <v>2.6524611017744069</v>
      </c>
      <c r="C39" s="29">
        <f>SLOPE(N12:N19,B12:B19)</f>
        <v>4.2869090321024352E-2</v>
      </c>
      <c r="D39" s="29"/>
      <c r="E39" s="62">
        <f>SLOPE(N14:N19,D14:D19)</f>
        <v>1.0572683783629491</v>
      </c>
    </row>
    <row r="40" spans="1:20" x14ac:dyDescent="0.3">
      <c r="A40" s="61" t="s">
        <v>9</v>
      </c>
      <c r="B40" s="29">
        <f>SLOPE(O4:O14,C4:C14)</f>
        <v>4.3319082093970382E-2</v>
      </c>
      <c r="C40" s="29"/>
      <c r="D40" s="29"/>
      <c r="E40" s="62">
        <f>SLOPE(O14:O19,D14:D19)</f>
        <v>0.10327798865284932</v>
      </c>
    </row>
    <row r="41" spans="1:20" ht="15" thickBot="1" x14ac:dyDescent="0.35">
      <c r="A41" s="63" t="s">
        <v>10</v>
      </c>
      <c r="B41" s="64">
        <f>SLOPE(P4:P14,C4:C14)</f>
        <v>3.7376777859506466E-2</v>
      </c>
      <c r="C41" s="64"/>
      <c r="D41" s="64"/>
      <c r="E41" s="65">
        <f>SLOPE(P14:P19,D14:D19)</f>
        <v>6.3325220883682559E-2</v>
      </c>
    </row>
  </sheetData>
  <mergeCells count="3">
    <mergeCell ref="H2:J2"/>
    <mergeCell ref="K2:M2"/>
    <mergeCell ref="B37:E37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0"/>
  <sheetViews>
    <sheetView zoomScale="80" zoomScaleNormal="80" workbookViewId="0">
      <selection activeCell="I3" sqref="I3"/>
    </sheetView>
  </sheetViews>
  <sheetFormatPr defaultRowHeight="14.4" x14ac:dyDescent="0.3"/>
  <cols>
    <col min="1" max="1" width="12.33203125" customWidth="1"/>
  </cols>
  <sheetData>
    <row r="1" spans="1:8" x14ac:dyDescent="0.3">
      <c r="A1" s="36" t="s">
        <v>39</v>
      </c>
    </row>
    <row r="3" spans="1:8" x14ac:dyDescent="0.3">
      <c r="A3" s="143" t="s">
        <v>29</v>
      </c>
      <c r="B3" s="19"/>
      <c r="C3" s="19"/>
      <c r="D3" s="19"/>
      <c r="E3" s="19"/>
      <c r="F3" s="19"/>
      <c r="G3" s="19"/>
      <c r="H3" s="20"/>
    </row>
    <row r="4" spans="1:8" x14ac:dyDescent="0.3">
      <c r="A4" s="10"/>
      <c r="B4" s="5" t="s">
        <v>31</v>
      </c>
      <c r="C4" s="5" t="s">
        <v>32</v>
      </c>
      <c r="D4" s="5" t="s">
        <v>52</v>
      </c>
      <c r="E4" s="5" t="s">
        <v>9</v>
      </c>
      <c r="F4" s="5" t="s">
        <v>53</v>
      </c>
      <c r="G4" s="5" t="s">
        <v>10</v>
      </c>
      <c r="H4" s="11" t="s">
        <v>54</v>
      </c>
    </row>
    <row r="5" spans="1:8" x14ac:dyDescent="0.3">
      <c r="A5" s="10">
        <v>7</v>
      </c>
      <c r="B5" s="71">
        <v>0.18479112742859377</v>
      </c>
      <c r="C5" s="71">
        <v>8.3796427309987237E-2</v>
      </c>
      <c r="D5" s="71">
        <v>5.6143888295795162E-2</v>
      </c>
      <c r="E5" s="71">
        <v>6.8584597965064067E-3</v>
      </c>
      <c r="F5" s="71">
        <v>6.5712078780946143E-3</v>
      </c>
      <c r="G5" s="71">
        <v>3.0193423010965847E-3</v>
      </c>
      <c r="H5" s="144">
        <v>3.4133352011993909E-3</v>
      </c>
    </row>
    <row r="6" spans="1:8" x14ac:dyDescent="0.3">
      <c r="A6" s="10">
        <v>8</v>
      </c>
      <c r="B6" s="71">
        <v>0.13264669013100916</v>
      </c>
      <c r="C6" s="71">
        <v>6.5019714955444396E-2</v>
      </c>
      <c r="D6" s="71">
        <v>3.5547858595383626E-2</v>
      </c>
      <c r="E6" s="71">
        <v>4.7293170035334411E-3</v>
      </c>
      <c r="F6" s="71">
        <v>3.7785152084903483E-3</v>
      </c>
      <c r="G6" s="71">
        <v>1.7699677990076824E-3</v>
      </c>
      <c r="H6" s="144">
        <v>2.4824625726338942E-3</v>
      </c>
    </row>
    <row r="7" spans="1:8" x14ac:dyDescent="0.3">
      <c r="A7" s="10">
        <v>9</v>
      </c>
      <c r="B7" s="71">
        <v>0.11155018177722191</v>
      </c>
      <c r="C7" s="71">
        <v>6.7552435712368741E-2</v>
      </c>
      <c r="D7" s="71">
        <v>4.2545410688649789E-2</v>
      </c>
      <c r="E7" s="71">
        <v>6.2611962356251133E-3</v>
      </c>
      <c r="F7" s="71">
        <v>4.1558246236793337E-3</v>
      </c>
      <c r="G7" s="71">
        <v>5.3460550451892314E-3</v>
      </c>
      <c r="H7" s="144">
        <v>2.5472475345541487E-3</v>
      </c>
    </row>
    <row r="8" spans="1:8" x14ac:dyDescent="0.3">
      <c r="A8" s="145" t="s">
        <v>33</v>
      </c>
      <c r="B8" s="146">
        <f t="shared" ref="B8:H8" si="0">AVERAGE(B5:B7)</f>
        <v>0.14299599977894162</v>
      </c>
      <c r="C8" s="146">
        <f t="shared" si="0"/>
        <v>7.2122859325933458E-2</v>
      </c>
      <c r="D8" s="146">
        <f t="shared" si="0"/>
        <v>4.474571919327619E-2</v>
      </c>
      <c r="E8" s="146">
        <f t="shared" si="0"/>
        <v>5.9496576785549871E-3</v>
      </c>
      <c r="F8" s="146">
        <f t="shared" si="0"/>
        <v>4.8351825700880986E-3</v>
      </c>
      <c r="G8" s="146">
        <f t="shared" si="0"/>
        <v>3.378455048431166E-3</v>
      </c>
      <c r="H8" s="147">
        <f t="shared" si="0"/>
        <v>2.8143484361291445E-3</v>
      </c>
    </row>
    <row r="9" spans="1:8" x14ac:dyDescent="0.3">
      <c r="A9" s="148" t="s">
        <v>34</v>
      </c>
      <c r="B9" s="149">
        <f t="shared" ref="B9:H9" si="1">_xlfn.STDEV.P(B5:B7)</f>
        <v>3.0783006000263548E-2</v>
      </c>
      <c r="C9" s="149">
        <f t="shared" si="1"/>
        <v>8.3189667113523543E-3</v>
      </c>
      <c r="D9" s="149">
        <f t="shared" si="1"/>
        <v>8.5510283199042685E-3</v>
      </c>
      <c r="E9" s="149">
        <f t="shared" si="1"/>
        <v>8.9669930397474277E-4</v>
      </c>
      <c r="F9" s="149">
        <f t="shared" si="1"/>
        <v>1.2371818786330224E-3</v>
      </c>
      <c r="G9" s="149">
        <f t="shared" si="1"/>
        <v>1.4818505259863936E-3</v>
      </c>
      <c r="H9" s="150">
        <f t="shared" si="1"/>
        <v>4.2437258108863176E-4</v>
      </c>
    </row>
    <row r="11" spans="1:8" x14ac:dyDescent="0.3">
      <c r="A11" s="21" t="s">
        <v>36</v>
      </c>
      <c r="B11" t="s">
        <v>35</v>
      </c>
      <c r="C11" t="s">
        <v>9</v>
      </c>
      <c r="D11" t="s">
        <v>10</v>
      </c>
      <c r="E11" t="s">
        <v>7</v>
      </c>
    </row>
    <row r="12" spans="1:8" x14ac:dyDescent="0.3">
      <c r="A12">
        <v>7</v>
      </c>
      <c r="B12" s="9">
        <v>36.630108890883889</v>
      </c>
      <c r="C12" s="9">
        <v>4.8190975687154891</v>
      </c>
      <c r="D12" s="9">
        <v>4.5906172583765184</v>
      </c>
    </row>
    <row r="13" spans="1:8" x14ac:dyDescent="0.3">
      <c r="A13">
        <v>8</v>
      </c>
      <c r="B13" s="9">
        <v>37.946057188262287</v>
      </c>
      <c r="C13" s="9">
        <v>4.5064341720886754</v>
      </c>
      <c r="D13" s="9">
        <v>4.4491857962675461</v>
      </c>
    </row>
    <row r="14" spans="1:8" x14ac:dyDescent="0.3">
      <c r="A14">
        <v>9</v>
      </c>
      <c r="B14" s="9">
        <v>39.697384447188099</v>
      </c>
      <c r="C14" s="9">
        <v>5.3538139351566087</v>
      </c>
      <c r="D14" s="9">
        <v>8.559102494721877</v>
      </c>
    </row>
    <row r="15" spans="1:8" x14ac:dyDescent="0.3">
      <c r="A15" s="21" t="s">
        <v>33</v>
      </c>
      <c r="B15" s="23">
        <f>AVERAGE(B12:B14)</f>
        <v>38.091183508778094</v>
      </c>
      <c r="C15" s="23">
        <f>AVERAGE(C12:C14)</f>
        <v>4.8931152253202574</v>
      </c>
      <c r="D15" s="23">
        <f>AVERAGE(D12:D14)</f>
        <v>5.8663018497886474</v>
      </c>
      <c r="E15" s="3">
        <f>B15*0.53+C15*0.32+D15*0.15</f>
        <v>22.634069409223169</v>
      </c>
    </row>
    <row r="16" spans="1:8" x14ac:dyDescent="0.3">
      <c r="A16" s="21" t="s">
        <v>34</v>
      </c>
      <c r="B16" s="23">
        <f>_xlfn.STDEV.P(B12:B14)</f>
        <v>1.2564078613929919</v>
      </c>
      <c r="C16" s="23">
        <f>_xlfn.STDEV.P(C12:C14)</f>
        <v>0.34987814624638752</v>
      </c>
      <c r="D16" s="23">
        <f>_xlfn.STDEV.P(D12:D14)</f>
        <v>1.9049728256387599</v>
      </c>
      <c r="E16" s="3">
        <f>AVERAGE(B16:D16)</f>
        <v>1.1704196110927132</v>
      </c>
    </row>
    <row r="18" spans="1:8" x14ac:dyDescent="0.3">
      <c r="A18" s="21" t="s">
        <v>37</v>
      </c>
    </row>
    <row r="19" spans="1:8" x14ac:dyDescent="0.3">
      <c r="A19">
        <v>7</v>
      </c>
      <c r="B19" s="107">
        <v>63.369891109116111</v>
      </c>
      <c r="C19" s="107">
        <v>95.180902431284508</v>
      </c>
      <c r="D19" s="107">
        <v>95.409382741623489</v>
      </c>
    </row>
    <row r="20" spans="1:8" x14ac:dyDescent="0.3">
      <c r="A20">
        <v>8</v>
      </c>
      <c r="B20" s="107">
        <v>62.053942811737713</v>
      </c>
      <c r="C20" s="108">
        <v>95.493565827911326</v>
      </c>
      <c r="D20" s="107">
        <v>95.550814203732457</v>
      </c>
    </row>
    <row r="21" spans="1:8" x14ac:dyDescent="0.3">
      <c r="A21">
        <v>9</v>
      </c>
      <c r="B21" s="3">
        <v>60.302615552811901</v>
      </c>
      <c r="C21" s="3">
        <v>94.646186064843391</v>
      </c>
      <c r="D21" s="3">
        <v>91.44089750527813</v>
      </c>
    </row>
    <row r="22" spans="1:8" x14ac:dyDescent="0.3">
      <c r="A22" s="21" t="s">
        <v>33</v>
      </c>
      <c r="B22" s="23">
        <f>AVERAGE(B19:B21)</f>
        <v>61.908816491221906</v>
      </c>
      <c r="C22" s="23">
        <f>AVERAGE(C19:C21)</f>
        <v>95.106884774679727</v>
      </c>
      <c r="D22" s="23">
        <f>AVERAGE(D19:D21)</f>
        <v>94.133698150211373</v>
      </c>
    </row>
    <row r="23" spans="1:8" x14ac:dyDescent="0.3">
      <c r="A23" s="21" t="s">
        <v>34</v>
      </c>
      <c r="B23" s="23">
        <f>_xlfn.STDEV.P(B19:B21)</f>
        <v>1.2564078613929919</v>
      </c>
      <c r="C23" s="23">
        <f>_xlfn.STDEV.P(C19:C21)</f>
        <v>0.34987814624638769</v>
      </c>
      <c r="D23" s="23">
        <f>_xlfn.STDEV.P(D19:D21)</f>
        <v>1.9049728256387595</v>
      </c>
    </row>
    <row r="26" spans="1:8" x14ac:dyDescent="0.3">
      <c r="A26" s="137" t="s">
        <v>79</v>
      </c>
      <c r="B26" s="131" t="s">
        <v>31</v>
      </c>
      <c r="C26" s="131" t="s">
        <v>32</v>
      </c>
      <c r="D26" s="131" t="s">
        <v>52</v>
      </c>
      <c r="E26" s="133" t="s">
        <v>9</v>
      </c>
      <c r="F26" s="133" t="s">
        <v>53</v>
      </c>
      <c r="G26" s="135" t="s">
        <v>10</v>
      </c>
      <c r="H26" s="135" t="s">
        <v>54</v>
      </c>
    </row>
    <row r="27" spans="1:8" x14ac:dyDescent="0.3">
      <c r="A27" s="138" t="s">
        <v>33</v>
      </c>
      <c r="B27" s="132">
        <v>0.14299599977894162</v>
      </c>
      <c r="C27" s="139">
        <v>7.2122859325933458E-2</v>
      </c>
      <c r="D27" s="139">
        <v>4.474571919327619E-2</v>
      </c>
      <c r="E27" s="140">
        <v>5.9496576785549871E-3</v>
      </c>
      <c r="F27" s="140">
        <v>4.8351825700880986E-3</v>
      </c>
      <c r="G27" s="141">
        <v>3.378455048431166E-3</v>
      </c>
      <c r="H27" s="141">
        <v>2.8143484361291445E-3</v>
      </c>
    </row>
    <row r="28" spans="1:8" x14ac:dyDescent="0.3">
      <c r="A28" s="138" t="s">
        <v>34</v>
      </c>
      <c r="B28" s="132">
        <v>3.0783006000263548E-2</v>
      </c>
      <c r="C28" s="139">
        <v>8.3189667113523543E-3</v>
      </c>
      <c r="D28" s="132">
        <v>8.5510283199042685E-3</v>
      </c>
      <c r="E28" s="134">
        <v>8.9669930397474277E-4</v>
      </c>
      <c r="F28" s="134">
        <v>1.2371818786330224E-3</v>
      </c>
      <c r="G28" s="136">
        <v>1.4818505259863936E-3</v>
      </c>
      <c r="H28" s="136">
        <v>4.2437258108863176E-4</v>
      </c>
    </row>
    <row r="29" spans="1:8" x14ac:dyDescent="0.3">
      <c r="E29" s="142">
        <f>AVERAGE(E27,F27)</f>
        <v>5.3924201243215428E-3</v>
      </c>
    </row>
    <row r="30" spans="1:8" x14ac:dyDescent="0.3">
      <c r="E30" s="24">
        <f>AVERAGE(E28,F28)</f>
        <v>1.0669405913038825E-3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8"/>
  <sheetViews>
    <sheetView tabSelected="1" zoomScale="70" zoomScaleNormal="70" workbookViewId="0">
      <selection activeCell="H28" sqref="H28"/>
    </sheetView>
  </sheetViews>
  <sheetFormatPr defaultRowHeight="14.4" x14ac:dyDescent="0.3"/>
  <cols>
    <col min="2" max="2" width="10.109375" customWidth="1"/>
    <col min="3" max="3" width="12" customWidth="1"/>
    <col min="4" max="5" width="11.88671875" customWidth="1"/>
    <col min="6" max="6" width="12.109375" customWidth="1"/>
    <col min="7" max="7" width="12.44140625" customWidth="1"/>
    <col min="8" max="8" width="13.88671875" customWidth="1"/>
  </cols>
  <sheetData>
    <row r="1" spans="1:20" x14ac:dyDescent="0.3">
      <c r="A1" t="s">
        <v>83</v>
      </c>
    </row>
    <row r="2" spans="1:20" ht="15" thickBot="1" x14ac:dyDescent="0.35"/>
    <row r="3" spans="1:20" ht="23.4" thickBot="1" x14ac:dyDescent="0.35">
      <c r="A3" s="166" t="s">
        <v>67</v>
      </c>
      <c r="B3" s="167"/>
      <c r="C3" s="167"/>
      <c r="D3" s="167"/>
      <c r="E3" s="167"/>
      <c r="F3" s="167"/>
      <c r="G3" s="167"/>
      <c r="H3" s="168"/>
      <c r="K3" s="171" t="s">
        <v>77</v>
      </c>
      <c r="L3" s="172"/>
      <c r="M3" s="172"/>
      <c r="N3" s="173"/>
      <c r="O3" s="122"/>
    </row>
    <row r="4" spans="1:20" ht="13.2" customHeight="1" thickBot="1" x14ac:dyDescent="0.45">
      <c r="A4" s="110"/>
      <c r="B4" s="169" t="s">
        <v>8</v>
      </c>
      <c r="C4" s="169"/>
      <c r="D4" s="169"/>
      <c r="E4" s="169" t="s">
        <v>9</v>
      </c>
      <c r="F4" s="169"/>
      <c r="G4" s="169" t="s">
        <v>10</v>
      </c>
      <c r="H4" s="170"/>
      <c r="K4" s="123" t="s">
        <v>36</v>
      </c>
      <c r="L4" s="123" t="s">
        <v>35</v>
      </c>
      <c r="M4" s="123" t="s">
        <v>9</v>
      </c>
      <c r="N4" s="123" t="s">
        <v>10</v>
      </c>
      <c r="O4" s="123" t="s">
        <v>78</v>
      </c>
      <c r="P4" s="130" t="s">
        <v>25</v>
      </c>
      <c r="R4" t="s">
        <v>8</v>
      </c>
      <c r="S4" t="s">
        <v>9</v>
      </c>
      <c r="T4" t="s">
        <v>10</v>
      </c>
    </row>
    <row r="5" spans="1:20" ht="17.399999999999999" customHeight="1" thickBot="1" x14ac:dyDescent="0.35">
      <c r="A5" s="111" t="s">
        <v>68</v>
      </c>
      <c r="B5" s="114" t="s">
        <v>69</v>
      </c>
      <c r="C5" s="114" t="s">
        <v>70</v>
      </c>
      <c r="D5" s="114" t="s">
        <v>71</v>
      </c>
      <c r="E5" s="114" t="s">
        <v>72</v>
      </c>
      <c r="F5" s="114" t="s">
        <v>71</v>
      </c>
      <c r="G5" s="114" t="s">
        <v>73</v>
      </c>
      <c r="H5" s="115" t="s">
        <v>71</v>
      </c>
      <c r="K5" s="123" t="s">
        <v>74</v>
      </c>
      <c r="L5" s="112">
        <v>37.6</v>
      </c>
      <c r="M5" s="124">
        <v>27.5</v>
      </c>
      <c r="N5" s="124">
        <v>26.2</v>
      </c>
      <c r="O5" s="125">
        <v>31.8</v>
      </c>
      <c r="P5">
        <f>100-O5</f>
        <v>68.2</v>
      </c>
      <c r="R5">
        <v>3.2</v>
      </c>
      <c r="S5">
        <v>2.9</v>
      </c>
      <c r="T5">
        <v>2.6</v>
      </c>
    </row>
    <row r="6" spans="1:20" ht="29.4" thickBot="1" x14ac:dyDescent="0.35">
      <c r="A6" s="112" t="s">
        <v>74</v>
      </c>
      <c r="B6" s="116">
        <v>0.26400000000000001</v>
      </c>
      <c r="C6" s="116">
        <v>0.105</v>
      </c>
      <c r="D6" s="116">
        <v>5.7000000000000002E-2</v>
      </c>
      <c r="E6" s="116">
        <v>5.6000000000000001E-2</v>
      </c>
      <c r="F6" s="116">
        <v>3.3000000000000002E-2</v>
      </c>
      <c r="G6" s="116">
        <v>2.5999999999999999E-2</v>
      </c>
      <c r="H6" s="117">
        <v>1.4E-2</v>
      </c>
      <c r="K6" s="123" t="s">
        <v>75</v>
      </c>
      <c r="L6" s="113">
        <v>37.299999999999997</v>
      </c>
      <c r="M6" s="109">
        <v>15.1</v>
      </c>
      <c r="N6" s="109">
        <v>14.6</v>
      </c>
      <c r="O6" s="126">
        <v>26.8</v>
      </c>
      <c r="P6">
        <f t="shared" ref="P6:P7" si="0">100-O6</f>
        <v>73.2</v>
      </c>
      <c r="R6">
        <v>7.4</v>
      </c>
      <c r="S6">
        <v>1.8</v>
      </c>
      <c r="T6">
        <v>5.4</v>
      </c>
    </row>
    <row r="7" spans="1:20" ht="29.4" thickBot="1" x14ac:dyDescent="0.35">
      <c r="A7" s="113" t="s">
        <v>75</v>
      </c>
      <c r="B7" s="118">
        <v>0.17399999999999999</v>
      </c>
      <c r="C7" s="118">
        <v>7.1999999999999995E-2</v>
      </c>
      <c r="D7" s="118">
        <v>4.4999999999999998E-2</v>
      </c>
      <c r="E7" s="118">
        <v>1.7000000000000001E-2</v>
      </c>
      <c r="F7" s="118">
        <v>1.7999999999999999E-2</v>
      </c>
      <c r="G7" s="118">
        <v>7.0000000000000001E-3</v>
      </c>
      <c r="H7" s="119">
        <v>8.9999999999999993E-3</v>
      </c>
      <c r="K7" s="127" t="s">
        <v>76</v>
      </c>
      <c r="L7" s="111">
        <v>38.1</v>
      </c>
      <c r="M7" s="128">
        <v>4.9000000000000004</v>
      </c>
      <c r="N7" s="128">
        <v>5.9</v>
      </c>
      <c r="O7" s="129">
        <v>22.6</v>
      </c>
      <c r="P7">
        <f t="shared" si="0"/>
        <v>77.400000000000006</v>
      </c>
      <c r="R7">
        <v>1.3</v>
      </c>
      <c r="S7">
        <v>0.3</v>
      </c>
      <c r="T7">
        <v>1.9</v>
      </c>
    </row>
    <row r="8" spans="1:20" ht="29.4" thickBot="1" x14ac:dyDescent="0.35">
      <c r="A8" s="111" t="s">
        <v>76</v>
      </c>
      <c r="B8" s="120">
        <v>0.14299999999999999</v>
      </c>
      <c r="C8" s="120">
        <v>7.1999999999999995E-2</v>
      </c>
      <c r="D8" s="120">
        <v>4.4999999999999998E-2</v>
      </c>
      <c r="E8" s="120">
        <v>6.0000000000000001E-3</v>
      </c>
      <c r="F8" s="120">
        <v>5.0000000000000001E-3</v>
      </c>
      <c r="G8" s="120">
        <v>3.0000000000000001E-3</v>
      </c>
      <c r="H8" s="121">
        <v>3.0000000000000001E-3</v>
      </c>
    </row>
  </sheetData>
  <mergeCells count="5">
    <mergeCell ref="A3:H3"/>
    <mergeCell ref="B4:D4"/>
    <mergeCell ref="E4:F4"/>
    <mergeCell ref="G4:H4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F&amp;C</vt:lpstr>
      <vt:lpstr>Sample7</vt:lpstr>
      <vt:lpstr>Sample8</vt:lpstr>
      <vt:lpstr>Sample9</vt:lpstr>
      <vt:lpstr>Average-15s</vt:lpstr>
      <vt:lpstr>Diss rates 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2022-07-20T11:06:44Z</dcterms:modified>
</cp:coreProperties>
</file>