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266289\OneDrive - Cranfield University\s266289\Papers\Economic model\Models\Germany\"/>
    </mc:Choice>
  </mc:AlternateContent>
  <bookViews>
    <workbookView xWindow="0" yWindow="0" windowWidth="10580" windowHeight="3080" firstSheet="16" activeTab="18"/>
  </bookViews>
  <sheets>
    <sheet name="Introduction" sheetId="20" r:id="rId1"/>
    <sheet name="Arable Inputs" sheetId="21" r:id="rId2"/>
    <sheet name="Arable fixed costs" sheetId="3" r:id="rId3"/>
    <sheet name="Arable margins" sheetId="1" r:id="rId4"/>
    <sheet name="Energy Inputs" sheetId="5" r:id="rId5"/>
    <sheet name="Energy fixed costs" sheetId="7" r:id="rId6"/>
    <sheet name="Energy margins" sheetId="2" r:id="rId7"/>
    <sheet name="Margins summary" sheetId="8" r:id="rId8"/>
    <sheet name="Arable NPV" sheetId="9" r:id="rId9"/>
    <sheet name="Arable Model tables" sheetId="18" r:id="rId10"/>
    <sheet name="Arable Model" sheetId="17" r:id="rId11"/>
    <sheet name="Energy Model tables" sheetId="22" r:id="rId12"/>
    <sheet name="Energy Model" sheetId="23" r:id="rId13"/>
    <sheet name="Energy NPV" sheetId="10" r:id="rId14"/>
    <sheet name="Sensitivity Analysis Price" sheetId="13" r:id="rId15"/>
    <sheet name="Sensitivity Analysis Yield" sheetId="14" r:id="rId16"/>
    <sheet name="Sensitivity Analysis Costs" sheetId="15" r:id="rId17"/>
    <sheet name="Sensitivity Analysis Discount R" sheetId="16" r:id="rId18"/>
    <sheet name="Summary NPV" sheetId="11" r:id="rId19"/>
    <sheet name="Summary SA" sheetId="12" r:id="rId20"/>
  </sheets>
  <definedNames>
    <definedName name="Rate_PLN" localSheetId="6">'Energy margins'!$E$53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F39" i="16" l="1"/>
  <c r="DG39" i="16"/>
  <c r="DH39" i="16"/>
  <c r="DI39" i="16"/>
  <c r="DJ39" i="16"/>
  <c r="DF40" i="16"/>
  <c r="DG40" i="16"/>
  <c r="DH40" i="16"/>
  <c r="DI40" i="16"/>
  <c r="DJ40" i="16"/>
  <c r="DF41" i="16"/>
  <c r="DG41" i="16"/>
  <c r="DH41" i="16"/>
  <c r="DI41" i="16"/>
  <c r="DJ41" i="16"/>
  <c r="DF42" i="16"/>
  <c r="DG42" i="16"/>
  <c r="DH42" i="16"/>
  <c r="DI42" i="16"/>
  <c r="DJ42" i="16"/>
  <c r="DF43" i="16"/>
  <c r="DG43" i="16"/>
  <c r="DH43" i="16"/>
  <c r="DI43" i="16"/>
  <c r="DJ43" i="16"/>
  <c r="DF44" i="16"/>
  <c r="DG44" i="16"/>
  <c r="DH44" i="16"/>
  <c r="DI44" i="16"/>
  <c r="DJ44" i="16"/>
  <c r="DF45" i="16"/>
  <c r="DG45" i="16"/>
  <c r="DH45" i="16"/>
  <c r="DI45" i="16"/>
  <c r="DJ45" i="16"/>
  <c r="DF46" i="16"/>
  <c r="DG46" i="16"/>
  <c r="DH46" i="16"/>
  <c r="DI46" i="16"/>
  <c r="DJ46" i="16"/>
  <c r="DF47" i="16"/>
  <c r="DG47" i="16"/>
  <c r="DH47" i="16"/>
  <c r="DI47" i="16"/>
  <c r="DJ47" i="16"/>
  <c r="DF48" i="16"/>
  <c r="DG48" i="16"/>
  <c r="DH48" i="16"/>
  <c r="DI48" i="16"/>
  <c r="DJ48" i="16"/>
  <c r="DF49" i="16"/>
  <c r="DG49" i="16"/>
  <c r="DH49" i="16"/>
  <c r="DI49" i="16"/>
  <c r="DJ49" i="16"/>
  <c r="DF50" i="16"/>
  <c r="DG50" i="16"/>
  <c r="DH50" i="16"/>
  <c r="DI50" i="16"/>
  <c r="DJ50" i="16"/>
  <c r="DF51" i="16"/>
  <c r="DG51" i="16"/>
  <c r="DH51" i="16"/>
  <c r="DI51" i="16"/>
  <c r="DJ51" i="16"/>
  <c r="DF52" i="16"/>
  <c r="DG52" i="16"/>
  <c r="DH52" i="16"/>
  <c r="DI52" i="16"/>
  <c r="DJ52" i="16"/>
  <c r="DF53" i="16"/>
  <c r="DG53" i="16"/>
  <c r="DH53" i="16"/>
  <c r="DI53" i="16"/>
  <c r="DJ53" i="16"/>
  <c r="DJ38" i="16"/>
  <c r="DI38" i="16"/>
  <c r="DH38" i="16"/>
  <c r="DG38" i="16"/>
  <c r="DF38" i="16"/>
  <c r="CH39" i="16"/>
  <c r="CI39" i="16"/>
  <c r="CJ39" i="16"/>
  <c r="CK39" i="16"/>
  <c r="CL39" i="16"/>
  <c r="CH40" i="16"/>
  <c r="CI40" i="16"/>
  <c r="CJ40" i="16"/>
  <c r="CK40" i="16"/>
  <c r="CL40" i="16"/>
  <c r="CH41" i="16"/>
  <c r="CI41" i="16"/>
  <c r="CJ41" i="16"/>
  <c r="CK41" i="16"/>
  <c r="CL41" i="16"/>
  <c r="CH42" i="16"/>
  <c r="CI42" i="16"/>
  <c r="CJ42" i="16"/>
  <c r="CK42" i="16"/>
  <c r="CL42" i="16"/>
  <c r="CH43" i="16"/>
  <c r="CI43" i="16"/>
  <c r="CJ43" i="16"/>
  <c r="CK43" i="16"/>
  <c r="CL43" i="16"/>
  <c r="CH44" i="16"/>
  <c r="CI44" i="16"/>
  <c r="CJ44" i="16"/>
  <c r="CK44" i="16"/>
  <c r="CL44" i="16"/>
  <c r="CH45" i="16"/>
  <c r="CI45" i="16"/>
  <c r="CJ45" i="16"/>
  <c r="CK45" i="16"/>
  <c r="CL45" i="16"/>
  <c r="CH46" i="16"/>
  <c r="CI46" i="16"/>
  <c r="CJ46" i="16"/>
  <c r="CK46" i="16"/>
  <c r="CL46" i="16"/>
  <c r="CH47" i="16"/>
  <c r="CI47" i="16"/>
  <c r="CJ47" i="16"/>
  <c r="CK47" i="16"/>
  <c r="CL47" i="16"/>
  <c r="CH48" i="16"/>
  <c r="CI48" i="16"/>
  <c r="CJ48" i="16"/>
  <c r="CK48" i="16"/>
  <c r="CL48" i="16"/>
  <c r="CH49" i="16"/>
  <c r="CI49" i="16"/>
  <c r="CJ49" i="16"/>
  <c r="CK49" i="16"/>
  <c r="CL49" i="16"/>
  <c r="CH50" i="16"/>
  <c r="CI50" i="16"/>
  <c r="CJ50" i="16"/>
  <c r="CK50" i="16"/>
  <c r="CL50" i="16"/>
  <c r="CH51" i="16"/>
  <c r="CI51" i="16"/>
  <c r="CJ51" i="16"/>
  <c r="CK51" i="16"/>
  <c r="CL51" i="16"/>
  <c r="CH52" i="16"/>
  <c r="CI52" i="16"/>
  <c r="CJ52" i="16"/>
  <c r="CK52" i="16"/>
  <c r="CL52" i="16"/>
  <c r="CH53" i="16"/>
  <c r="CI53" i="16"/>
  <c r="CJ53" i="16"/>
  <c r="CK53" i="16"/>
  <c r="CL53" i="16"/>
  <c r="CL38" i="16"/>
  <c r="CK38" i="16"/>
  <c r="CJ38" i="16"/>
  <c r="CI38" i="16"/>
  <c r="CH38" i="16"/>
  <c r="BJ39" i="16"/>
  <c r="BK39" i="16"/>
  <c r="BL39" i="16"/>
  <c r="BM39" i="16"/>
  <c r="BN39" i="16"/>
  <c r="BJ40" i="16"/>
  <c r="BK40" i="16"/>
  <c r="BL40" i="16"/>
  <c r="BM40" i="16"/>
  <c r="BN40" i="16"/>
  <c r="BJ41" i="16"/>
  <c r="BK41" i="16"/>
  <c r="BL41" i="16"/>
  <c r="BM41" i="16"/>
  <c r="BN41" i="16"/>
  <c r="BJ42" i="16"/>
  <c r="BK42" i="16"/>
  <c r="BL42" i="16"/>
  <c r="BM42" i="16"/>
  <c r="BN42" i="16"/>
  <c r="BJ43" i="16"/>
  <c r="BK43" i="16"/>
  <c r="BL43" i="16"/>
  <c r="BM43" i="16"/>
  <c r="BN43" i="16"/>
  <c r="BJ44" i="16"/>
  <c r="BK44" i="16"/>
  <c r="BL44" i="16"/>
  <c r="BM44" i="16"/>
  <c r="BN44" i="16"/>
  <c r="BJ45" i="16"/>
  <c r="BK45" i="16"/>
  <c r="BL45" i="16"/>
  <c r="BM45" i="16"/>
  <c r="BN45" i="16"/>
  <c r="BJ46" i="16"/>
  <c r="BK46" i="16"/>
  <c r="BL46" i="16"/>
  <c r="BM46" i="16"/>
  <c r="BN46" i="16"/>
  <c r="BJ47" i="16"/>
  <c r="BK47" i="16"/>
  <c r="BL47" i="16"/>
  <c r="BM47" i="16"/>
  <c r="BN47" i="16"/>
  <c r="BJ48" i="16"/>
  <c r="BK48" i="16"/>
  <c r="BL48" i="16"/>
  <c r="BM48" i="16"/>
  <c r="BN48" i="16"/>
  <c r="BJ49" i="16"/>
  <c r="BK49" i="16"/>
  <c r="BL49" i="16"/>
  <c r="BM49" i="16"/>
  <c r="BN49" i="16"/>
  <c r="BJ50" i="16"/>
  <c r="BK50" i="16"/>
  <c r="BL50" i="16"/>
  <c r="BM50" i="16"/>
  <c r="BN50" i="16"/>
  <c r="BJ51" i="16"/>
  <c r="BK51" i="16"/>
  <c r="BL51" i="16"/>
  <c r="BM51" i="16"/>
  <c r="BN51" i="16"/>
  <c r="BJ52" i="16"/>
  <c r="BK52" i="16"/>
  <c r="BL52" i="16"/>
  <c r="BM52" i="16"/>
  <c r="BN52" i="16"/>
  <c r="BJ53" i="16"/>
  <c r="BK53" i="16"/>
  <c r="BL53" i="16"/>
  <c r="BM53" i="16"/>
  <c r="BN53" i="16"/>
  <c r="BN38" i="16"/>
  <c r="BM38" i="16"/>
  <c r="BL38" i="16"/>
  <c r="BK38" i="16"/>
  <c r="BJ38" i="16"/>
  <c r="AL39" i="16"/>
  <c r="AM39" i="16"/>
  <c r="AN39" i="16"/>
  <c r="AO39" i="16"/>
  <c r="AP39" i="16"/>
  <c r="AL40" i="16"/>
  <c r="AM40" i="16"/>
  <c r="AN40" i="16"/>
  <c r="AO40" i="16"/>
  <c r="AP40" i="16"/>
  <c r="AL41" i="16"/>
  <c r="AM41" i="16"/>
  <c r="AN41" i="16"/>
  <c r="AO41" i="16"/>
  <c r="AP41" i="16"/>
  <c r="AL42" i="16"/>
  <c r="AM42" i="16"/>
  <c r="AN42" i="16"/>
  <c r="AO42" i="16"/>
  <c r="AP42" i="16"/>
  <c r="AL43" i="16"/>
  <c r="AM43" i="16"/>
  <c r="AN43" i="16"/>
  <c r="AO43" i="16"/>
  <c r="AP43" i="16"/>
  <c r="AL44" i="16"/>
  <c r="AM44" i="16"/>
  <c r="AN44" i="16"/>
  <c r="AO44" i="16"/>
  <c r="AP44" i="16"/>
  <c r="AL45" i="16"/>
  <c r="AM45" i="16"/>
  <c r="AN45" i="16"/>
  <c r="AO45" i="16"/>
  <c r="AP45" i="16"/>
  <c r="AL46" i="16"/>
  <c r="AM46" i="16"/>
  <c r="AN46" i="16"/>
  <c r="AO46" i="16"/>
  <c r="AP46" i="16"/>
  <c r="AL47" i="16"/>
  <c r="AM47" i="16"/>
  <c r="AN47" i="16"/>
  <c r="AO47" i="16"/>
  <c r="AP47" i="16"/>
  <c r="AL48" i="16"/>
  <c r="AM48" i="16"/>
  <c r="AN48" i="16"/>
  <c r="AO48" i="16"/>
  <c r="AP48" i="16"/>
  <c r="AL49" i="16"/>
  <c r="AM49" i="16"/>
  <c r="AN49" i="16"/>
  <c r="AO49" i="16"/>
  <c r="AP49" i="16"/>
  <c r="AL50" i="16"/>
  <c r="AM50" i="16"/>
  <c r="AN50" i="16"/>
  <c r="AO50" i="16"/>
  <c r="AP50" i="16"/>
  <c r="AL51" i="16"/>
  <c r="AM51" i="16"/>
  <c r="AN51" i="16"/>
  <c r="AO51" i="16"/>
  <c r="AP51" i="16"/>
  <c r="AL52" i="16"/>
  <c r="AM52" i="16"/>
  <c r="AN52" i="16"/>
  <c r="AO52" i="16"/>
  <c r="AP52" i="16"/>
  <c r="AL53" i="16"/>
  <c r="AM53" i="16"/>
  <c r="AN53" i="16"/>
  <c r="AO53" i="16"/>
  <c r="AP53" i="16"/>
  <c r="AP38" i="16"/>
  <c r="AO38" i="16"/>
  <c r="AN38" i="16"/>
  <c r="AM38" i="16"/>
  <c r="AL38" i="16"/>
  <c r="R53" i="16"/>
  <c r="Q53" i="16"/>
  <c r="P53" i="16"/>
  <c r="O53" i="16"/>
  <c r="N53" i="16"/>
  <c r="R52" i="16"/>
  <c r="Q52" i="16"/>
  <c r="P52" i="16"/>
  <c r="O52" i="16"/>
  <c r="N52" i="16"/>
  <c r="R51" i="16"/>
  <c r="Q51" i="16"/>
  <c r="P51" i="16"/>
  <c r="O51" i="16"/>
  <c r="N51" i="16"/>
  <c r="R50" i="16"/>
  <c r="Q50" i="16"/>
  <c r="P50" i="16"/>
  <c r="O50" i="16"/>
  <c r="N50" i="16"/>
  <c r="R49" i="16"/>
  <c r="Q49" i="16"/>
  <c r="P49" i="16"/>
  <c r="O49" i="16"/>
  <c r="N49" i="16"/>
  <c r="R48" i="16"/>
  <c r="Q48" i="16"/>
  <c r="P48" i="16"/>
  <c r="O48" i="16"/>
  <c r="N48" i="16"/>
  <c r="R47" i="16"/>
  <c r="Q47" i="16"/>
  <c r="P47" i="16"/>
  <c r="O47" i="16"/>
  <c r="N47" i="16"/>
  <c r="R46" i="16"/>
  <c r="Q46" i="16"/>
  <c r="P46" i="16"/>
  <c r="O46" i="16"/>
  <c r="N46" i="16"/>
  <c r="R45" i="16"/>
  <c r="Q45" i="16"/>
  <c r="P45" i="16"/>
  <c r="O45" i="16"/>
  <c r="N45" i="16"/>
  <c r="R44" i="16"/>
  <c r="Q44" i="16"/>
  <c r="P44" i="16"/>
  <c r="O44" i="16"/>
  <c r="N44" i="16"/>
  <c r="R43" i="16"/>
  <c r="Q43" i="16"/>
  <c r="P43" i="16"/>
  <c r="O43" i="16"/>
  <c r="N43" i="16"/>
  <c r="R42" i="16"/>
  <c r="Q42" i="16"/>
  <c r="P42" i="16"/>
  <c r="O42" i="16"/>
  <c r="N42" i="16"/>
  <c r="R41" i="16"/>
  <c r="Q41" i="16"/>
  <c r="P41" i="16"/>
  <c r="O41" i="16"/>
  <c r="N41" i="16"/>
  <c r="R40" i="16"/>
  <c r="Q40" i="16"/>
  <c r="P40" i="16"/>
  <c r="O40" i="16"/>
  <c r="N40" i="16"/>
  <c r="R39" i="16"/>
  <c r="Q39" i="16"/>
  <c r="P39" i="16"/>
  <c r="O39" i="16"/>
  <c r="N39" i="16"/>
  <c r="R38" i="16"/>
  <c r="Q38" i="16"/>
  <c r="P38" i="16"/>
  <c r="O38" i="16"/>
  <c r="N38" i="16"/>
  <c r="DJ53" i="15"/>
  <c r="DI53" i="15"/>
  <c r="DH53" i="15"/>
  <c r="DG53" i="15"/>
  <c r="DF53" i="15"/>
  <c r="DJ52" i="15"/>
  <c r="DI52" i="15"/>
  <c r="DH52" i="15"/>
  <c r="DG52" i="15"/>
  <c r="DF52" i="15"/>
  <c r="DJ51" i="15"/>
  <c r="DI51" i="15"/>
  <c r="DH51" i="15"/>
  <c r="DG51" i="15"/>
  <c r="DF51" i="15"/>
  <c r="DJ50" i="15"/>
  <c r="DI50" i="15"/>
  <c r="DH50" i="15"/>
  <c r="DG50" i="15"/>
  <c r="DF50" i="15"/>
  <c r="DJ49" i="15"/>
  <c r="DI49" i="15"/>
  <c r="DH49" i="15"/>
  <c r="DG49" i="15"/>
  <c r="DF49" i="15"/>
  <c r="DJ48" i="15"/>
  <c r="DI48" i="15"/>
  <c r="DH48" i="15"/>
  <c r="DG48" i="15"/>
  <c r="DF48" i="15"/>
  <c r="DJ47" i="15"/>
  <c r="DI47" i="15"/>
  <c r="DH47" i="15"/>
  <c r="DG47" i="15"/>
  <c r="DF47" i="15"/>
  <c r="DJ46" i="15"/>
  <c r="DI46" i="15"/>
  <c r="DH46" i="15"/>
  <c r="DG46" i="15"/>
  <c r="DF46" i="15"/>
  <c r="DJ45" i="15"/>
  <c r="DI45" i="15"/>
  <c r="DH45" i="15"/>
  <c r="DG45" i="15"/>
  <c r="DF45" i="15"/>
  <c r="DJ44" i="15"/>
  <c r="DI44" i="15"/>
  <c r="DH44" i="15"/>
  <c r="DG44" i="15"/>
  <c r="DF44" i="15"/>
  <c r="DJ43" i="15"/>
  <c r="DI43" i="15"/>
  <c r="DH43" i="15"/>
  <c r="DG43" i="15"/>
  <c r="DF43" i="15"/>
  <c r="DJ42" i="15"/>
  <c r="DI42" i="15"/>
  <c r="DH42" i="15"/>
  <c r="DG42" i="15"/>
  <c r="DF42" i="15"/>
  <c r="DJ41" i="15"/>
  <c r="DI41" i="15"/>
  <c r="DH41" i="15"/>
  <c r="DG41" i="15"/>
  <c r="DF41" i="15"/>
  <c r="DJ40" i="15"/>
  <c r="DI40" i="15"/>
  <c r="DH40" i="15"/>
  <c r="DG40" i="15"/>
  <c r="DF40" i="15"/>
  <c r="DJ39" i="15"/>
  <c r="DI39" i="15"/>
  <c r="DH39" i="15"/>
  <c r="DG39" i="15"/>
  <c r="DF39" i="15"/>
  <c r="DJ38" i="15"/>
  <c r="DI38" i="15"/>
  <c r="DH38" i="15"/>
  <c r="DG38" i="15"/>
  <c r="DF38" i="15"/>
  <c r="CL53" i="15"/>
  <c r="CK53" i="15"/>
  <c r="CJ53" i="15"/>
  <c r="CI53" i="15"/>
  <c r="CH53" i="15"/>
  <c r="CL52" i="15"/>
  <c r="CK52" i="15"/>
  <c r="CJ52" i="15"/>
  <c r="CI52" i="15"/>
  <c r="CH52" i="15"/>
  <c r="CL51" i="15"/>
  <c r="CK51" i="15"/>
  <c r="CJ51" i="15"/>
  <c r="CI51" i="15"/>
  <c r="CH51" i="15"/>
  <c r="CL50" i="15"/>
  <c r="CK50" i="15"/>
  <c r="CJ50" i="15"/>
  <c r="CI50" i="15"/>
  <c r="CH50" i="15"/>
  <c r="CL49" i="15"/>
  <c r="CK49" i="15"/>
  <c r="CJ49" i="15"/>
  <c r="CI49" i="15"/>
  <c r="CH49" i="15"/>
  <c r="CL48" i="15"/>
  <c r="CK48" i="15"/>
  <c r="CJ48" i="15"/>
  <c r="CI48" i="15"/>
  <c r="CH48" i="15"/>
  <c r="CL47" i="15"/>
  <c r="CK47" i="15"/>
  <c r="CJ47" i="15"/>
  <c r="CI47" i="15"/>
  <c r="CH47" i="15"/>
  <c r="CL46" i="15"/>
  <c r="CK46" i="15"/>
  <c r="CJ46" i="15"/>
  <c r="CI46" i="15"/>
  <c r="CH46" i="15"/>
  <c r="CL45" i="15"/>
  <c r="CK45" i="15"/>
  <c r="CJ45" i="15"/>
  <c r="CI45" i="15"/>
  <c r="CH45" i="15"/>
  <c r="CL44" i="15"/>
  <c r="CK44" i="15"/>
  <c r="CJ44" i="15"/>
  <c r="CI44" i="15"/>
  <c r="CH44" i="15"/>
  <c r="CL43" i="15"/>
  <c r="CK43" i="15"/>
  <c r="CJ43" i="15"/>
  <c r="CI43" i="15"/>
  <c r="CH43" i="15"/>
  <c r="CL42" i="15"/>
  <c r="CK42" i="15"/>
  <c r="CJ42" i="15"/>
  <c r="CI42" i="15"/>
  <c r="CH42" i="15"/>
  <c r="CL41" i="15"/>
  <c r="CK41" i="15"/>
  <c r="CJ41" i="15"/>
  <c r="CI41" i="15"/>
  <c r="CH41" i="15"/>
  <c r="CL40" i="15"/>
  <c r="CK40" i="15"/>
  <c r="CJ40" i="15"/>
  <c r="CI40" i="15"/>
  <c r="CH40" i="15"/>
  <c r="CL39" i="15"/>
  <c r="CK39" i="15"/>
  <c r="CJ39" i="15"/>
  <c r="CI39" i="15"/>
  <c r="CH39" i="15"/>
  <c r="CL38" i="15"/>
  <c r="CK38" i="15"/>
  <c r="CJ38" i="15"/>
  <c r="CI38" i="15"/>
  <c r="CH38" i="15"/>
  <c r="BN53" i="15"/>
  <c r="BM53" i="15"/>
  <c r="BL53" i="15"/>
  <c r="BK53" i="15"/>
  <c r="BJ53" i="15"/>
  <c r="BN52" i="15"/>
  <c r="BM52" i="15"/>
  <c r="BL52" i="15"/>
  <c r="BK52" i="15"/>
  <c r="BJ52" i="15"/>
  <c r="BN51" i="15"/>
  <c r="BM51" i="15"/>
  <c r="BL51" i="15"/>
  <c r="BK51" i="15"/>
  <c r="BJ51" i="15"/>
  <c r="BN50" i="15"/>
  <c r="BM50" i="15"/>
  <c r="BL50" i="15"/>
  <c r="BK50" i="15"/>
  <c r="BJ50" i="15"/>
  <c r="BN49" i="15"/>
  <c r="BM49" i="15"/>
  <c r="BL49" i="15"/>
  <c r="BK49" i="15"/>
  <c r="BJ49" i="15"/>
  <c r="BN48" i="15"/>
  <c r="BM48" i="15"/>
  <c r="BL48" i="15"/>
  <c r="BK48" i="15"/>
  <c r="BJ48" i="15"/>
  <c r="BN47" i="15"/>
  <c r="BM47" i="15"/>
  <c r="BL47" i="15"/>
  <c r="BK47" i="15"/>
  <c r="BJ47" i="15"/>
  <c r="BN46" i="15"/>
  <c r="BM46" i="15"/>
  <c r="BL46" i="15"/>
  <c r="BK46" i="15"/>
  <c r="BJ46" i="15"/>
  <c r="BN45" i="15"/>
  <c r="BM45" i="15"/>
  <c r="BL45" i="15"/>
  <c r="BK45" i="15"/>
  <c r="BJ45" i="15"/>
  <c r="BN44" i="15"/>
  <c r="BM44" i="15"/>
  <c r="BL44" i="15"/>
  <c r="BK44" i="15"/>
  <c r="BJ44" i="15"/>
  <c r="BN43" i="15"/>
  <c r="BM43" i="15"/>
  <c r="BL43" i="15"/>
  <c r="BK43" i="15"/>
  <c r="BJ43" i="15"/>
  <c r="BN42" i="15"/>
  <c r="BM42" i="15"/>
  <c r="BL42" i="15"/>
  <c r="BK42" i="15"/>
  <c r="BJ42" i="15"/>
  <c r="BN41" i="15"/>
  <c r="BM41" i="15"/>
  <c r="BL41" i="15"/>
  <c r="BK41" i="15"/>
  <c r="BJ41" i="15"/>
  <c r="BN40" i="15"/>
  <c r="BM40" i="15"/>
  <c r="BL40" i="15"/>
  <c r="BK40" i="15"/>
  <c r="BJ40" i="15"/>
  <c r="BN39" i="15"/>
  <c r="BM39" i="15"/>
  <c r="BL39" i="15"/>
  <c r="BK39" i="15"/>
  <c r="BJ39" i="15"/>
  <c r="BN38" i="15"/>
  <c r="BM38" i="15"/>
  <c r="BL38" i="15"/>
  <c r="BK38" i="15"/>
  <c r="BJ38" i="15"/>
  <c r="AP53" i="15"/>
  <c r="AO53" i="15"/>
  <c r="AN53" i="15"/>
  <c r="AM53" i="15"/>
  <c r="AL53" i="15"/>
  <c r="AP52" i="15"/>
  <c r="AO52" i="15"/>
  <c r="AN52" i="15"/>
  <c r="AM52" i="15"/>
  <c r="AL52" i="15"/>
  <c r="AP51" i="15"/>
  <c r="AO51" i="15"/>
  <c r="AN51" i="15"/>
  <c r="AM51" i="15"/>
  <c r="AL51" i="15"/>
  <c r="AP50" i="15"/>
  <c r="AO50" i="15"/>
  <c r="AN50" i="15"/>
  <c r="AM50" i="15"/>
  <c r="AL50" i="15"/>
  <c r="AP49" i="15"/>
  <c r="AO49" i="15"/>
  <c r="AN49" i="15"/>
  <c r="AM49" i="15"/>
  <c r="AL49" i="15"/>
  <c r="AP48" i="15"/>
  <c r="AO48" i="15"/>
  <c r="AN48" i="15"/>
  <c r="AM48" i="15"/>
  <c r="AL48" i="15"/>
  <c r="AP47" i="15"/>
  <c r="AO47" i="15"/>
  <c r="AN47" i="15"/>
  <c r="AM47" i="15"/>
  <c r="AL47" i="15"/>
  <c r="AP46" i="15"/>
  <c r="AO46" i="15"/>
  <c r="AN46" i="15"/>
  <c r="AM46" i="15"/>
  <c r="AL46" i="15"/>
  <c r="AP45" i="15"/>
  <c r="AO45" i="15"/>
  <c r="AN45" i="15"/>
  <c r="AM45" i="15"/>
  <c r="AL45" i="15"/>
  <c r="AP44" i="15"/>
  <c r="AO44" i="15"/>
  <c r="AN44" i="15"/>
  <c r="AM44" i="15"/>
  <c r="AL44" i="15"/>
  <c r="AP43" i="15"/>
  <c r="AO43" i="15"/>
  <c r="AN43" i="15"/>
  <c r="AM43" i="15"/>
  <c r="AL43" i="15"/>
  <c r="AP42" i="15"/>
  <c r="AO42" i="15"/>
  <c r="AN42" i="15"/>
  <c r="AM42" i="15"/>
  <c r="AL42" i="15"/>
  <c r="AP41" i="15"/>
  <c r="AO41" i="15"/>
  <c r="AN41" i="15"/>
  <c r="AM41" i="15"/>
  <c r="AL41" i="15"/>
  <c r="AP40" i="15"/>
  <c r="AO40" i="15"/>
  <c r="AN40" i="15"/>
  <c r="AM40" i="15"/>
  <c r="AL40" i="15"/>
  <c r="AP39" i="15"/>
  <c r="AO39" i="15"/>
  <c r="AN39" i="15"/>
  <c r="AM39" i="15"/>
  <c r="AL39" i="15"/>
  <c r="AP38" i="15"/>
  <c r="AO38" i="15"/>
  <c r="AN38" i="15"/>
  <c r="AM38" i="15"/>
  <c r="AL38" i="15"/>
  <c r="R53" i="15"/>
  <c r="Q53" i="15"/>
  <c r="P53" i="15"/>
  <c r="O53" i="15"/>
  <c r="N53" i="15"/>
  <c r="R52" i="15"/>
  <c r="Q52" i="15"/>
  <c r="P52" i="15"/>
  <c r="O52" i="15"/>
  <c r="N52" i="15"/>
  <c r="R51" i="15"/>
  <c r="Q51" i="15"/>
  <c r="P51" i="15"/>
  <c r="O51" i="15"/>
  <c r="N51" i="15"/>
  <c r="R50" i="15"/>
  <c r="Q50" i="15"/>
  <c r="P50" i="15"/>
  <c r="O50" i="15"/>
  <c r="N50" i="15"/>
  <c r="R49" i="15"/>
  <c r="Q49" i="15"/>
  <c r="P49" i="15"/>
  <c r="O49" i="15"/>
  <c r="N49" i="15"/>
  <c r="R48" i="15"/>
  <c r="Q48" i="15"/>
  <c r="P48" i="15"/>
  <c r="O48" i="15"/>
  <c r="N48" i="15"/>
  <c r="R47" i="15"/>
  <c r="Q47" i="15"/>
  <c r="P47" i="15"/>
  <c r="O47" i="15"/>
  <c r="N47" i="15"/>
  <c r="R46" i="15"/>
  <c r="Q46" i="15"/>
  <c r="P46" i="15"/>
  <c r="O46" i="15"/>
  <c r="N46" i="15"/>
  <c r="R45" i="15"/>
  <c r="Q45" i="15"/>
  <c r="P45" i="15"/>
  <c r="O45" i="15"/>
  <c r="N45" i="15"/>
  <c r="R44" i="15"/>
  <c r="Q44" i="15"/>
  <c r="P44" i="15"/>
  <c r="O44" i="15"/>
  <c r="N44" i="15"/>
  <c r="R43" i="15"/>
  <c r="Q43" i="15"/>
  <c r="P43" i="15"/>
  <c r="O43" i="15"/>
  <c r="N43" i="15"/>
  <c r="R42" i="15"/>
  <c r="Q42" i="15"/>
  <c r="P42" i="15"/>
  <c r="O42" i="15"/>
  <c r="N42" i="15"/>
  <c r="R41" i="15"/>
  <c r="Q41" i="15"/>
  <c r="P41" i="15"/>
  <c r="O41" i="15"/>
  <c r="N41" i="15"/>
  <c r="R40" i="15"/>
  <c r="Q40" i="15"/>
  <c r="P40" i="15"/>
  <c r="O40" i="15"/>
  <c r="N40" i="15"/>
  <c r="R39" i="15"/>
  <c r="Q39" i="15"/>
  <c r="P39" i="15"/>
  <c r="O39" i="15"/>
  <c r="N39" i="15"/>
  <c r="R38" i="15"/>
  <c r="Q38" i="15"/>
  <c r="P38" i="15"/>
  <c r="O38" i="15"/>
  <c r="N38" i="15"/>
  <c r="DJ53" i="14"/>
  <c r="DI53" i="14"/>
  <c r="DH53" i="14"/>
  <c r="DG53" i="14"/>
  <c r="DF53" i="14"/>
  <c r="DJ52" i="14"/>
  <c r="DI52" i="14"/>
  <c r="DH52" i="14"/>
  <c r="DG52" i="14"/>
  <c r="DF52" i="14"/>
  <c r="DJ51" i="14"/>
  <c r="DI51" i="14"/>
  <c r="DH51" i="14"/>
  <c r="DG51" i="14"/>
  <c r="DF51" i="14"/>
  <c r="DJ50" i="14"/>
  <c r="DI50" i="14"/>
  <c r="DH50" i="14"/>
  <c r="DG50" i="14"/>
  <c r="DF50" i="14"/>
  <c r="DJ49" i="14"/>
  <c r="DI49" i="14"/>
  <c r="DH49" i="14"/>
  <c r="DG49" i="14"/>
  <c r="DF49" i="14"/>
  <c r="DJ48" i="14"/>
  <c r="DI48" i="14"/>
  <c r="DH48" i="14"/>
  <c r="DG48" i="14"/>
  <c r="DF48" i="14"/>
  <c r="DJ47" i="14"/>
  <c r="DI47" i="14"/>
  <c r="DH47" i="14"/>
  <c r="DG47" i="14"/>
  <c r="DF47" i="14"/>
  <c r="DJ46" i="14"/>
  <c r="DI46" i="14"/>
  <c r="DH46" i="14"/>
  <c r="DG46" i="14"/>
  <c r="DF46" i="14"/>
  <c r="DJ45" i="14"/>
  <c r="DI45" i="14"/>
  <c r="DH45" i="14"/>
  <c r="DG45" i="14"/>
  <c r="DF45" i="14"/>
  <c r="DJ44" i="14"/>
  <c r="DI44" i="14"/>
  <c r="DH44" i="14"/>
  <c r="DG44" i="14"/>
  <c r="DF44" i="14"/>
  <c r="DJ43" i="14"/>
  <c r="DI43" i="14"/>
  <c r="DH43" i="14"/>
  <c r="DG43" i="14"/>
  <c r="DF43" i="14"/>
  <c r="DJ42" i="14"/>
  <c r="DI42" i="14"/>
  <c r="DH42" i="14"/>
  <c r="DG42" i="14"/>
  <c r="DF42" i="14"/>
  <c r="DJ41" i="14"/>
  <c r="DI41" i="14"/>
  <c r="DH41" i="14"/>
  <c r="DG41" i="14"/>
  <c r="DF41" i="14"/>
  <c r="DJ40" i="14"/>
  <c r="DI40" i="14"/>
  <c r="DH40" i="14"/>
  <c r="DG40" i="14"/>
  <c r="DF40" i="14"/>
  <c r="DJ39" i="14"/>
  <c r="DI39" i="14"/>
  <c r="DH39" i="14"/>
  <c r="DG39" i="14"/>
  <c r="DF39" i="14"/>
  <c r="DJ38" i="14"/>
  <c r="DI38" i="14"/>
  <c r="DH38" i="14"/>
  <c r="DG38" i="14"/>
  <c r="DF38" i="14"/>
  <c r="CL53" i="14"/>
  <c r="CK53" i="14"/>
  <c r="CJ53" i="14"/>
  <c r="CI53" i="14"/>
  <c r="CH53" i="14"/>
  <c r="CL52" i="14"/>
  <c r="CK52" i="14"/>
  <c r="CJ52" i="14"/>
  <c r="CI52" i="14"/>
  <c r="CH52" i="14"/>
  <c r="CL51" i="14"/>
  <c r="CK51" i="14"/>
  <c r="CJ51" i="14"/>
  <c r="CI51" i="14"/>
  <c r="CH51" i="14"/>
  <c r="CL50" i="14"/>
  <c r="CK50" i="14"/>
  <c r="CJ50" i="14"/>
  <c r="CI50" i="14"/>
  <c r="CH50" i="14"/>
  <c r="CL49" i="14"/>
  <c r="CK49" i="14"/>
  <c r="CJ49" i="14"/>
  <c r="CI49" i="14"/>
  <c r="CH49" i="14"/>
  <c r="CL48" i="14"/>
  <c r="CK48" i="14"/>
  <c r="CJ48" i="14"/>
  <c r="CI48" i="14"/>
  <c r="CH48" i="14"/>
  <c r="CL47" i="14"/>
  <c r="CK47" i="14"/>
  <c r="CJ47" i="14"/>
  <c r="CI47" i="14"/>
  <c r="CH47" i="14"/>
  <c r="CL46" i="14"/>
  <c r="CK46" i="14"/>
  <c r="CJ46" i="14"/>
  <c r="CI46" i="14"/>
  <c r="CH46" i="14"/>
  <c r="CL45" i="14"/>
  <c r="CK45" i="14"/>
  <c r="CJ45" i="14"/>
  <c r="CI45" i="14"/>
  <c r="CH45" i="14"/>
  <c r="CL44" i="14"/>
  <c r="CK44" i="14"/>
  <c r="CJ44" i="14"/>
  <c r="CI44" i="14"/>
  <c r="CH44" i="14"/>
  <c r="CL43" i="14"/>
  <c r="CK43" i="14"/>
  <c r="CJ43" i="14"/>
  <c r="CI43" i="14"/>
  <c r="CH43" i="14"/>
  <c r="CL42" i="14"/>
  <c r="CK42" i="14"/>
  <c r="CJ42" i="14"/>
  <c r="CI42" i="14"/>
  <c r="CH42" i="14"/>
  <c r="CL41" i="14"/>
  <c r="CK41" i="14"/>
  <c r="CJ41" i="14"/>
  <c r="CI41" i="14"/>
  <c r="CH41" i="14"/>
  <c r="CL40" i="14"/>
  <c r="CK40" i="14"/>
  <c r="CJ40" i="14"/>
  <c r="CI40" i="14"/>
  <c r="CH40" i="14"/>
  <c r="CL39" i="14"/>
  <c r="CK39" i="14"/>
  <c r="CJ39" i="14"/>
  <c r="CI39" i="14"/>
  <c r="CH39" i="14"/>
  <c r="CL38" i="14"/>
  <c r="CK38" i="14"/>
  <c r="CJ38" i="14"/>
  <c r="CI38" i="14"/>
  <c r="CH38" i="14"/>
  <c r="BN53" i="14"/>
  <c r="BM53" i="14"/>
  <c r="BL53" i="14"/>
  <c r="BK53" i="14"/>
  <c r="BJ53" i="14"/>
  <c r="BN52" i="14"/>
  <c r="BM52" i="14"/>
  <c r="BL52" i="14"/>
  <c r="BK52" i="14"/>
  <c r="BJ52" i="14"/>
  <c r="BN51" i="14"/>
  <c r="BM51" i="14"/>
  <c r="BL51" i="14"/>
  <c r="BK51" i="14"/>
  <c r="BJ51" i="14"/>
  <c r="BN50" i="14"/>
  <c r="BM50" i="14"/>
  <c r="BL50" i="14"/>
  <c r="BK50" i="14"/>
  <c r="BJ50" i="14"/>
  <c r="BN49" i="14"/>
  <c r="BM49" i="14"/>
  <c r="BL49" i="14"/>
  <c r="BK49" i="14"/>
  <c r="BJ49" i="14"/>
  <c r="BN48" i="14"/>
  <c r="BM48" i="14"/>
  <c r="BL48" i="14"/>
  <c r="BK48" i="14"/>
  <c r="BJ48" i="14"/>
  <c r="BN47" i="14"/>
  <c r="BM47" i="14"/>
  <c r="BL47" i="14"/>
  <c r="BK47" i="14"/>
  <c r="BJ47" i="14"/>
  <c r="BN46" i="14"/>
  <c r="BM46" i="14"/>
  <c r="BL46" i="14"/>
  <c r="BK46" i="14"/>
  <c r="BJ46" i="14"/>
  <c r="BN45" i="14"/>
  <c r="BM45" i="14"/>
  <c r="BL45" i="14"/>
  <c r="BK45" i="14"/>
  <c r="BJ45" i="14"/>
  <c r="BN44" i="14"/>
  <c r="BM44" i="14"/>
  <c r="BL44" i="14"/>
  <c r="BK44" i="14"/>
  <c r="BJ44" i="14"/>
  <c r="BN43" i="14"/>
  <c r="BM43" i="14"/>
  <c r="BL43" i="14"/>
  <c r="BK43" i="14"/>
  <c r="BJ43" i="14"/>
  <c r="BN42" i="14"/>
  <c r="BM42" i="14"/>
  <c r="BL42" i="14"/>
  <c r="BK42" i="14"/>
  <c r="BJ42" i="14"/>
  <c r="BN41" i="14"/>
  <c r="BM41" i="14"/>
  <c r="BL41" i="14"/>
  <c r="BK41" i="14"/>
  <c r="BJ41" i="14"/>
  <c r="BN40" i="14"/>
  <c r="BM40" i="14"/>
  <c r="BL40" i="14"/>
  <c r="BK40" i="14"/>
  <c r="BJ40" i="14"/>
  <c r="BN39" i="14"/>
  <c r="BM39" i="14"/>
  <c r="BL39" i="14"/>
  <c r="BK39" i="14"/>
  <c r="BJ39" i="14"/>
  <c r="BN38" i="14"/>
  <c r="BM38" i="14"/>
  <c r="BL38" i="14"/>
  <c r="BK38" i="14"/>
  <c r="BJ38" i="14"/>
  <c r="AP53" i="14"/>
  <c r="AO53" i="14"/>
  <c r="AN53" i="14"/>
  <c r="AM53" i="14"/>
  <c r="AL53" i="14"/>
  <c r="AP52" i="14"/>
  <c r="AO52" i="14"/>
  <c r="AN52" i="14"/>
  <c r="AM52" i="14"/>
  <c r="AL52" i="14"/>
  <c r="AP51" i="14"/>
  <c r="AO51" i="14"/>
  <c r="AN51" i="14"/>
  <c r="AM51" i="14"/>
  <c r="AL51" i="14"/>
  <c r="AP50" i="14"/>
  <c r="AO50" i="14"/>
  <c r="AN50" i="14"/>
  <c r="AM50" i="14"/>
  <c r="AL50" i="14"/>
  <c r="AP49" i="14"/>
  <c r="AO49" i="14"/>
  <c r="AN49" i="14"/>
  <c r="AM49" i="14"/>
  <c r="AL49" i="14"/>
  <c r="AP48" i="14"/>
  <c r="AO48" i="14"/>
  <c r="AN48" i="14"/>
  <c r="AM48" i="14"/>
  <c r="AL48" i="14"/>
  <c r="AP47" i="14"/>
  <c r="AO47" i="14"/>
  <c r="AN47" i="14"/>
  <c r="AM47" i="14"/>
  <c r="AL47" i="14"/>
  <c r="AP46" i="14"/>
  <c r="AO46" i="14"/>
  <c r="AN46" i="14"/>
  <c r="AM46" i="14"/>
  <c r="AL46" i="14"/>
  <c r="AP45" i="14"/>
  <c r="AO45" i="14"/>
  <c r="AN45" i="14"/>
  <c r="AM45" i="14"/>
  <c r="AL45" i="14"/>
  <c r="AP44" i="14"/>
  <c r="AO44" i="14"/>
  <c r="AN44" i="14"/>
  <c r="AM44" i="14"/>
  <c r="AL44" i="14"/>
  <c r="AP43" i="14"/>
  <c r="AO43" i="14"/>
  <c r="AN43" i="14"/>
  <c r="AM43" i="14"/>
  <c r="AL43" i="14"/>
  <c r="AP42" i="14"/>
  <c r="AO42" i="14"/>
  <c r="AN42" i="14"/>
  <c r="AM42" i="14"/>
  <c r="AL42" i="14"/>
  <c r="AP41" i="14"/>
  <c r="AO41" i="14"/>
  <c r="AN41" i="14"/>
  <c r="AM41" i="14"/>
  <c r="AL41" i="14"/>
  <c r="AP40" i="14"/>
  <c r="AO40" i="14"/>
  <c r="AN40" i="14"/>
  <c r="AM40" i="14"/>
  <c r="AL40" i="14"/>
  <c r="AP39" i="14"/>
  <c r="AO39" i="14"/>
  <c r="AN39" i="14"/>
  <c r="AM39" i="14"/>
  <c r="AL39" i="14"/>
  <c r="AP38" i="14"/>
  <c r="AO38" i="14"/>
  <c r="AN38" i="14"/>
  <c r="AM38" i="14"/>
  <c r="AL38" i="14"/>
  <c r="R53" i="14"/>
  <c r="Q53" i="14"/>
  <c r="P53" i="14"/>
  <c r="O53" i="14"/>
  <c r="N53" i="14"/>
  <c r="R52" i="14"/>
  <c r="Q52" i="14"/>
  <c r="P52" i="14"/>
  <c r="O52" i="14"/>
  <c r="N52" i="14"/>
  <c r="R51" i="14"/>
  <c r="Q51" i="14"/>
  <c r="P51" i="14"/>
  <c r="O51" i="14"/>
  <c r="N51" i="14"/>
  <c r="R50" i="14"/>
  <c r="Q50" i="14"/>
  <c r="P50" i="14"/>
  <c r="O50" i="14"/>
  <c r="N50" i="14"/>
  <c r="R49" i="14"/>
  <c r="Q49" i="14"/>
  <c r="P49" i="14"/>
  <c r="O49" i="14"/>
  <c r="N49" i="14"/>
  <c r="R48" i="14"/>
  <c r="Q48" i="14"/>
  <c r="P48" i="14"/>
  <c r="O48" i="14"/>
  <c r="N48" i="14"/>
  <c r="R47" i="14"/>
  <c r="Q47" i="14"/>
  <c r="P47" i="14"/>
  <c r="O47" i="14"/>
  <c r="N47" i="14"/>
  <c r="R46" i="14"/>
  <c r="Q46" i="14"/>
  <c r="P46" i="14"/>
  <c r="O46" i="14"/>
  <c r="N46" i="14"/>
  <c r="R45" i="14"/>
  <c r="Q45" i="14"/>
  <c r="P45" i="14"/>
  <c r="O45" i="14"/>
  <c r="N45" i="14"/>
  <c r="R44" i="14"/>
  <c r="Q44" i="14"/>
  <c r="P44" i="14"/>
  <c r="O44" i="14"/>
  <c r="N44" i="14"/>
  <c r="R43" i="14"/>
  <c r="Q43" i="14"/>
  <c r="P43" i="14"/>
  <c r="O43" i="14"/>
  <c r="N43" i="14"/>
  <c r="R42" i="14"/>
  <c r="Q42" i="14"/>
  <c r="P42" i="14"/>
  <c r="O42" i="14"/>
  <c r="N42" i="14"/>
  <c r="R41" i="14"/>
  <c r="Q41" i="14"/>
  <c r="P41" i="14"/>
  <c r="O41" i="14"/>
  <c r="N41" i="14"/>
  <c r="R40" i="14"/>
  <c r="Q40" i="14"/>
  <c r="P40" i="14"/>
  <c r="O40" i="14"/>
  <c r="N40" i="14"/>
  <c r="R39" i="14"/>
  <c r="Q39" i="14"/>
  <c r="P39" i="14"/>
  <c r="O39" i="14"/>
  <c r="N39" i="14"/>
  <c r="R38" i="14"/>
  <c r="Q38" i="14"/>
  <c r="P38" i="14"/>
  <c r="O38" i="14"/>
  <c r="N38" i="14"/>
  <c r="DJ53" i="13"/>
  <c r="DI53" i="13"/>
  <c r="DH53" i="13"/>
  <c r="DG53" i="13"/>
  <c r="DF53" i="13"/>
  <c r="DJ52" i="13"/>
  <c r="DI52" i="13"/>
  <c r="DH52" i="13"/>
  <c r="DG52" i="13"/>
  <c r="DF52" i="13"/>
  <c r="DJ51" i="13"/>
  <c r="DI51" i="13"/>
  <c r="DH51" i="13"/>
  <c r="DG51" i="13"/>
  <c r="DF51" i="13"/>
  <c r="DJ50" i="13"/>
  <c r="DI50" i="13"/>
  <c r="DH50" i="13"/>
  <c r="DG50" i="13"/>
  <c r="DF50" i="13"/>
  <c r="DJ49" i="13"/>
  <c r="DI49" i="13"/>
  <c r="DH49" i="13"/>
  <c r="DG49" i="13"/>
  <c r="DF49" i="13"/>
  <c r="DJ48" i="13"/>
  <c r="DI48" i="13"/>
  <c r="DH48" i="13"/>
  <c r="DG48" i="13"/>
  <c r="DF48" i="13"/>
  <c r="DJ47" i="13"/>
  <c r="DI47" i="13"/>
  <c r="DH47" i="13"/>
  <c r="DG47" i="13"/>
  <c r="DF47" i="13"/>
  <c r="DJ46" i="13"/>
  <c r="DI46" i="13"/>
  <c r="DH46" i="13"/>
  <c r="DG46" i="13"/>
  <c r="DF46" i="13"/>
  <c r="DJ45" i="13"/>
  <c r="DI45" i="13"/>
  <c r="DH45" i="13"/>
  <c r="DG45" i="13"/>
  <c r="DF45" i="13"/>
  <c r="DJ44" i="13"/>
  <c r="DI44" i="13"/>
  <c r="DH44" i="13"/>
  <c r="DG44" i="13"/>
  <c r="DF44" i="13"/>
  <c r="DJ43" i="13"/>
  <c r="DI43" i="13"/>
  <c r="DH43" i="13"/>
  <c r="DG43" i="13"/>
  <c r="DF43" i="13"/>
  <c r="DJ42" i="13"/>
  <c r="DI42" i="13"/>
  <c r="DH42" i="13"/>
  <c r="DG42" i="13"/>
  <c r="DF42" i="13"/>
  <c r="DJ41" i="13"/>
  <c r="DI41" i="13"/>
  <c r="DH41" i="13"/>
  <c r="DG41" i="13"/>
  <c r="DF41" i="13"/>
  <c r="DJ40" i="13"/>
  <c r="DI40" i="13"/>
  <c r="DH40" i="13"/>
  <c r="DG40" i="13"/>
  <c r="DF40" i="13"/>
  <c r="DJ39" i="13"/>
  <c r="DI39" i="13"/>
  <c r="DH39" i="13"/>
  <c r="DG39" i="13"/>
  <c r="DF39" i="13"/>
  <c r="DJ38" i="13"/>
  <c r="DI38" i="13"/>
  <c r="DH38" i="13"/>
  <c r="DG38" i="13"/>
  <c r="DF38" i="13"/>
  <c r="CL53" i="13"/>
  <c r="CK53" i="13"/>
  <c r="CJ53" i="13"/>
  <c r="CI53" i="13"/>
  <c r="CH53" i="13"/>
  <c r="CL52" i="13"/>
  <c r="CK52" i="13"/>
  <c r="CJ52" i="13"/>
  <c r="CI52" i="13"/>
  <c r="CH52" i="13"/>
  <c r="CL51" i="13"/>
  <c r="CK51" i="13"/>
  <c r="CJ51" i="13"/>
  <c r="CI51" i="13"/>
  <c r="CH51" i="13"/>
  <c r="CL50" i="13"/>
  <c r="CK50" i="13"/>
  <c r="CJ50" i="13"/>
  <c r="CI50" i="13"/>
  <c r="CH50" i="13"/>
  <c r="CL49" i="13"/>
  <c r="CK49" i="13"/>
  <c r="CJ49" i="13"/>
  <c r="CI49" i="13"/>
  <c r="CH49" i="13"/>
  <c r="CL48" i="13"/>
  <c r="CK48" i="13"/>
  <c r="CJ48" i="13"/>
  <c r="CI48" i="13"/>
  <c r="CH48" i="13"/>
  <c r="CL47" i="13"/>
  <c r="CK47" i="13"/>
  <c r="CJ47" i="13"/>
  <c r="CI47" i="13"/>
  <c r="CH47" i="13"/>
  <c r="CL46" i="13"/>
  <c r="CK46" i="13"/>
  <c r="CJ46" i="13"/>
  <c r="CI46" i="13"/>
  <c r="CH46" i="13"/>
  <c r="CL45" i="13"/>
  <c r="CK45" i="13"/>
  <c r="CJ45" i="13"/>
  <c r="CI45" i="13"/>
  <c r="CH45" i="13"/>
  <c r="CL44" i="13"/>
  <c r="CK44" i="13"/>
  <c r="CJ44" i="13"/>
  <c r="CI44" i="13"/>
  <c r="CH44" i="13"/>
  <c r="CL43" i="13"/>
  <c r="CK43" i="13"/>
  <c r="CJ43" i="13"/>
  <c r="CI43" i="13"/>
  <c r="CH43" i="13"/>
  <c r="CL42" i="13"/>
  <c r="CK42" i="13"/>
  <c r="CJ42" i="13"/>
  <c r="CI42" i="13"/>
  <c r="CH42" i="13"/>
  <c r="CL41" i="13"/>
  <c r="CK41" i="13"/>
  <c r="CJ41" i="13"/>
  <c r="CI41" i="13"/>
  <c r="CH41" i="13"/>
  <c r="CL40" i="13"/>
  <c r="CK40" i="13"/>
  <c r="CJ40" i="13"/>
  <c r="CI40" i="13"/>
  <c r="CH40" i="13"/>
  <c r="CL39" i="13"/>
  <c r="CK39" i="13"/>
  <c r="CJ39" i="13"/>
  <c r="CI39" i="13"/>
  <c r="CH39" i="13"/>
  <c r="CL38" i="13"/>
  <c r="CK38" i="13"/>
  <c r="CJ38" i="13"/>
  <c r="CI38" i="13"/>
  <c r="CH38" i="13"/>
  <c r="BN53" i="13"/>
  <c r="BM53" i="13"/>
  <c r="BL53" i="13"/>
  <c r="BK53" i="13"/>
  <c r="BJ53" i="13"/>
  <c r="BN52" i="13"/>
  <c r="BM52" i="13"/>
  <c r="BL52" i="13"/>
  <c r="BK52" i="13"/>
  <c r="BJ52" i="13"/>
  <c r="BN51" i="13"/>
  <c r="BM51" i="13"/>
  <c r="BL51" i="13"/>
  <c r="BK51" i="13"/>
  <c r="BJ51" i="13"/>
  <c r="BN50" i="13"/>
  <c r="BM50" i="13"/>
  <c r="BL50" i="13"/>
  <c r="BK50" i="13"/>
  <c r="BJ50" i="13"/>
  <c r="BN49" i="13"/>
  <c r="BM49" i="13"/>
  <c r="BL49" i="13"/>
  <c r="BK49" i="13"/>
  <c r="BJ49" i="13"/>
  <c r="BN48" i="13"/>
  <c r="BM48" i="13"/>
  <c r="BL48" i="13"/>
  <c r="BK48" i="13"/>
  <c r="BJ48" i="13"/>
  <c r="BN47" i="13"/>
  <c r="BM47" i="13"/>
  <c r="BL47" i="13"/>
  <c r="BK47" i="13"/>
  <c r="BJ47" i="13"/>
  <c r="BN46" i="13"/>
  <c r="BM46" i="13"/>
  <c r="BL46" i="13"/>
  <c r="BK46" i="13"/>
  <c r="BJ46" i="13"/>
  <c r="BN45" i="13"/>
  <c r="BM45" i="13"/>
  <c r="BL45" i="13"/>
  <c r="BK45" i="13"/>
  <c r="BJ45" i="13"/>
  <c r="BN44" i="13"/>
  <c r="BM44" i="13"/>
  <c r="BL44" i="13"/>
  <c r="BK44" i="13"/>
  <c r="BJ44" i="13"/>
  <c r="BN43" i="13"/>
  <c r="BM43" i="13"/>
  <c r="BL43" i="13"/>
  <c r="BK43" i="13"/>
  <c r="BJ43" i="13"/>
  <c r="BN42" i="13"/>
  <c r="BM42" i="13"/>
  <c r="BL42" i="13"/>
  <c r="BK42" i="13"/>
  <c r="BJ42" i="13"/>
  <c r="BN41" i="13"/>
  <c r="BM41" i="13"/>
  <c r="BL41" i="13"/>
  <c r="BK41" i="13"/>
  <c r="BJ41" i="13"/>
  <c r="BN40" i="13"/>
  <c r="BM40" i="13"/>
  <c r="BL40" i="13"/>
  <c r="BK40" i="13"/>
  <c r="BJ40" i="13"/>
  <c r="BN39" i="13"/>
  <c r="BM39" i="13"/>
  <c r="BL39" i="13"/>
  <c r="BK39" i="13"/>
  <c r="BJ39" i="13"/>
  <c r="BN38" i="13"/>
  <c r="BM38" i="13"/>
  <c r="BL38" i="13"/>
  <c r="BK38" i="13"/>
  <c r="BJ38" i="13"/>
  <c r="AP53" i="13"/>
  <c r="AO53" i="13"/>
  <c r="AN53" i="13"/>
  <c r="AM53" i="13"/>
  <c r="AL53" i="13"/>
  <c r="AP52" i="13"/>
  <c r="AO52" i="13"/>
  <c r="AN52" i="13"/>
  <c r="AM52" i="13"/>
  <c r="AL52" i="13"/>
  <c r="AP51" i="13"/>
  <c r="AO51" i="13"/>
  <c r="AN51" i="13"/>
  <c r="AM51" i="13"/>
  <c r="AL51" i="13"/>
  <c r="AP50" i="13"/>
  <c r="AO50" i="13"/>
  <c r="AN50" i="13"/>
  <c r="AM50" i="13"/>
  <c r="AL50" i="13"/>
  <c r="AP49" i="13"/>
  <c r="AO49" i="13"/>
  <c r="AN49" i="13"/>
  <c r="AM49" i="13"/>
  <c r="AL49" i="13"/>
  <c r="AP48" i="13"/>
  <c r="AO48" i="13"/>
  <c r="AN48" i="13"/>
  <c r="AM48" i="13"/>
  <c r="AL48" i="13"/>
  <c r="AP47" i="13"/>
  <c r="AO47" i="13"/>
  <c r="AN47" i="13"/>
  <c r="AM47" i="13"/>
  <c r="AL47" i="13"/>
  <c r="AP46" i="13"/>
  <c r="AO46" i="13"/>
  <c r="AN46" i="13"/>
  <c r="AM46" i="13"/>
  <c r="AL46" i="13"/>
  <c r="AP45" i="13"/>
  <c r="AO45" i="13"/>
  <c r="AN45" i="13"/>
  <c r="AM45" i="13"/>
  <c r="AL45" i="13"/>
  <c r="AP44" i="13"/>
  <c r="AO44" i="13"/>
  <c r="AN44" i="13"/>
  <c r="AM44" i="13"/>
  <c r="AL44" i="13"/>
  <c r="AP43" i="13"/>
  <c r="AO43" i="13"/>
  <c r="AN43" i="13"/>
  <c r="AM43" i="13"/>
  <c r="AL43" i="13"/>
  <c r="AP42" i="13"/>
  <c r="AO42" i="13"/>
  <c r="AN42" i="13"/>
  <c r="AM42" i="13"/>
  <c r="AL42" i="13"/>
  <c r="AP41" i="13"/>
  <c r="AO41" i="13"/>
  <c r="AN41" i="13"/>
  <c r="AM41" i="13"/>
  <c r="AL41" i="13"/>
  <c r="AP40" i="13"/>
  <c r="AO40" i="13"/>
  <c r="AN40" i="13"/>
  <c r="AM40" i="13"/>
  <c r="AL40" i="13"/>
  <c r="AP39" i="13"/>
  <c r="AO39" i="13"/>
  <c r="AN39" i="13"/>
  <c r="AM39" i="13"/>
  <c r="AL39" i="13"/>
  <c r="AP38" i="13"/>
  <c r="AO38" i="13"/>
  <c r="AN38" i="13"/>
  <c r="AM38" i="13"/>
  <c r="AL38" i="13"/>
  <c r="P53" i="13"/>
  <c r="R53" i="13"/>
  <c r="N39" i="13"/>
  <c r="O39" i="13"/>
  <c r="P39" i="13"/>
  <c r="Q39" i="13"/>
  <c r="R39" i="13"/>
  <c r="N40" i="13"/>
  <c r="O40" i="13"/>
  <c r="P40" i="13"/>
  <c r="Q40" i="13"/>
  <c r="R40" i="13"/>
  <c r="N41" i="13"/>
  <c r="O41" i="13"/>
  <c r="P41" i="13"/>
  <c r="Q41" i="13"/>
  <c r="R41" i="13"/>
  <c r="N42" i="13"/>
  <c r="O42" i="13"/>
  <c r="P42" i="13"/>
  <c r="Q42" i="13"/>
  <c r="R42" i="13"/>
  <c r="N43" i="13"/>
  <c r="O43" i="13"/>
  <c r="P43" i="13"/>
  <c r="Q43" i="13"/>
  <c r="R43" i="13"/>
  <c r="N44" i="13"/>
  <c r="O44" i="13"/>
  <c r="P44" i="13"/>
  <c r="Q44" i="13"/>
  <c r="R44" i="13"/>
  <c r="N45" i="13"/>
  <c r="O45" i="13"/>
  <c r="P45" i="13"/>
  <c r="Q45" i="13"/>
  <c r="R45" i="13"/>
  <c r="N46" i="13"/>
  <c r="O46" i="13"/>
  <c r="P46" i="13"/>
  <c r="Q46" i="13"/>
  <c r="R46" i="13"/>
  <c r="N47" i="13"/>
  <c r="O47" i="13"/>
  <c r="P47" i="13"/>
  <c r="Q47" i="13"/>
  <c r="R47" i="13"/>
  <c r="N48" i="13"/>
  <c r="O48" i="13"/>
  <c r="P48" i="13"/>
  <c r="Q48" i="13"/>
  <c r="R48" i="13"/>
  <c r="N49" i="13"/>
  <c r="O49" i="13"/>
  <c r="P49" i="13"/>
  <c r="Q49" i="13"/>
  <c r="R49" i="13"/>
  <c r="N50" i="13"/>
  <c r="O50" i="13"/>
  <c r="P50" i="13"/>
  <c r="Q50" i="13"/>
  <c r="R50" i="13"/>
  <c r="N51" i="13"/>
  <c r="O51" i="13"/>
  <c r="P51" i="13"/>
  <c r="Q51" i="13"/>
  <c r="R51" i="13"/>
  <c r="N52" i="13"/>
  <c r="O52" i="13"/>
  <c r="P52" i="13"/>
  <c r="Q52" i="13"/>
  <c r="R52" i="13"/>
  <c r="N53" i="13"/>
  <c r="O53" i="13"/>
  <c r="Q53" i="13"/>
  <c r="R38" i="13"/>
  <c r="Q38" i="13"/>
  <c r="P38" i="13"/>
  <c r="O38" i="13"/>
  <c r="N38" i="13"/>
  <c r="AC92" i="10"/>
  <c r="AD92" i="10"/>
  <c r="AC93" i="10"/>
  <c r="AD93" i="10"/>
  <c r="AC94" i="10"/>
  <c r="AD94" i="10"/>
  <c r="AC95" i="10"/>
  <c r="AD95" i="10"/>
  <c r="AC96" i="10"/>
  <c r="AD96" i="10"/>
  <c r="AC97" i="10"/>
  <c r="AD97" i="10"/>
  <c r="AC98" i="10"/>
  <c r="AD98" i="10"/>
  <c r="AC99" i="10"/>
  <c r="AD99" i="10"/>
  <c r="AC100" i="10"/>
  <c r="AD100" i="10"/>
  <c r="AC101" i="10"/>
  <c r="AD101" i="10"/>
  <c r="AC102" i="10"/>
  <c r="AD102" i="10"/>
  <c r="AC103" i="10"/>
  <c r="AD103" i="10"/>
  <c r="AC104" i="10"/>
  <c r="AD104" i="10"/>
  <c r="AC105" i="10"/>
  <c r="AD105" i="10"/>
  <c r="AC106" i="10"/>
  <c r="AD106" i="10"/>
  <c r="AC91" i="10"/>
  <c r="AD91" i="10"/>
  <c r="DF13" i="16"/>
  <c r="DG13" i="16"/>
  <c r="DH13" i="16"/>
  <c r="DI13" i="16"/>
  <c r="DJ13" i="16"/>
  <c r="DF14" i="16"/>
  <c r="DG14" i="16"/>
  <c r="DH14" i="16"/>
  <c r="DI14" i="16"/>
  <c r="DJ14" i="16"/>
  <c r="DF15" i="16"/>
  <c r="DG15" i="16"/>
  <c r="DH15" i="16"/>
  <c r="DI15" i="16"/>
  <c r="DJ15" i="16"/>
  <c r="DF16" i="16"/>
  <c r="DG16" i="16"/>
  <c r="DH16" i="16"/>
  <c r="DI16" i="16"/>
  <c r="DJ16" i="16"/>
  <c r="DF17" i="16"/>
  <c r="DG17" i="16"/>
  <c r="DH17" i="16"/>
  <c r="DI17" i="16"/>
  <c r="DJ17" i="16"/>
  <c r="DF18" i="16"/>
  <c r="DG18" i="16"/>
  <c r="DH18" i="16"/>
  <c r="DI18" i="16"/>
  <c r="DJ18" i="16"/>
  <c r="DF19" i="16"/>
  <c r="DG19" i="16"/>
  <c r="DH19" i="16"/>
  <c r="DI19" i="16"/>
  <c r="DJ19" i="16"/>
  <c r="DF20" i="16"/>
  <c r="DG20" i="16"/>
  <c r="DH20" i="16"/>
  <c r="DI20" i="16"/>
  <c r="DJ20" i="16"/>
  <c r="DF21" i="16"/>
  <c r="DG21" i="16"/>
  <c r="DH21" i="16"/>
  <c r="DI21" i="16"/>
  <c r="DJ21" i="16"/>
  <c r="DF22" i="16"/>
  <c r="DG22" i="16"/>
  <c r="DH22" i="16"/>
  <c r="DI22" i="16"/>
  <c r="DJ22" i="16"/>
  <c r="DF23" i="16"/>
  <c r="DG23" i="16"/>
  <c r="DH23" i="16"/>
  <c r="DI23" i="16"/>
  <c r="DJ23" i="16"/>
  <c r="DF24" i="16"/>
  <c r="DG24" i="16"/>
  <c r="DH24" i="16"/>
  <c r="DI24" i="16"/>
  <c r="DJ24" i="16"/>
  <c r="DF25" i="16"/>
  <c r="DG25" i="16"/>
  <c r="DH25" i="16"/>
  <c r="DI25" i="16"/>
  <c r="DJ25" i="16"/>
  <c r="DF26" i="16"/>
  <c r="DG26" i="16"/>
  <c r="DH26" i="16"/>
  <c r="DI26" i="16"/>
  <c r="DJ26" i="16"/>
  <c r="DF27" i="16"/>
  <c r="DG27" i="16"/>
  <c r="DH27" i="16"/>
  <c r="DI27" i="16"/>
  <c r="DJ27" i="16"/>
  <c r="DJ12" i="16"/>
  <c r="DI12" i="16"/>
  <c r="DH12" i="16"/>
  <c r="DG12" i="16"/>
  <c r="DF12" i="16"/>
  <c r="CH13" i="16"/>
  <c r="CI13" i="16"/>
  <c r="CJ13" i="16"/>
  <c r="CK13" i="16"/>
  <c r="CL13" i="16"/>
  <c r="CH14" i="16"/>
  <c r="CI14" i="16"/>
  <c r="CJ14" i="16"/>
  <c r="CK14" i="16"/>
  <c r="CL14" i="16"/>
  <c r="CH15" i="16"/>
  <c r="CI15" i="16"/>
  <c r="CJ15" i="16"/>
  <c r="CK15" i="16"/>
  <c r="CL15" i="16"/>
  <c r="CH16" i="16"/>
  <c r="CI16" i="16"/>
  <c r="CJ16" i="16"/>
  <c r="CK16" i="16"/>
  <c r="CL16" i="16"/>
  <c r="CH17" i="16"/>
  <c r="CI17" i="16"/>
  <c r="CJ17" i="16"/>
  <c r="CK17" i="16"/>
  <c r="CL17" i="16"/>
  <c r="CH18" i="16"/>
  <c r="CI18" i="16"/>
  <c r="CJ18" i="16"/>
  <c r="CK18" i="16"/>
  <c r="CL18" i="16"/>
  <c r="CH19" i="16"/>
  <c r="CI19" i="16"/>
  <c r="CJ19" i="16"/>
  <c r="CK19" i="16"/>
  <c r="CL19" i="16"/>
  <c r="CH20" i="16"/>
  <c r="CI20" i="16"/>
  <c r="CJ20" i="16"/>
  <c r="CK20" i="16"/>
  <c r="CL20" i="16"/>
  <c r="CH21" i="16"/>
  <c r="CI21" i="16"/>
  <c r="CJ21" i="16"/>
  <c r="CK21" i="16"/>
  <c r="CL21" i="16"/>
  <c r="CH22" i="16"/>
  <c r="CI22" i="16"/>
  <c r="CJ22" i="16"/>
  <c r="CK22" i="16"/>
  <c r="CL22" i="16"/>
  <c r="CH23" i="16"/>
  <c r="CI23" i="16"/>
  <c r="CJ23" i="16"/>
  <c r="CK23" i="16"/>
  <c r="CL23" i="16"/>
  <c r="CH24" i="16"/>
  <c r="CI24" i="16"/>
  <c r="CJ24" i="16"/>
  <c r="CK24" i="16"/>
  <c r="CL24" i="16"/>
  <c r="CH25" i="16"/>
  <c r="CI25" i="16"/>
  <c r="CJ25" i="16"/>
  <c r="CK25" i="16"/>
  <c r="CL25" i="16"/>
  <c r="CH26" i="16"/>
  <c r="CI26" i="16"/>
  <c r="CJ26" i="16"/>
  <c r="CK26" i="16"/>
  <c r="CL26" i="16"/>
  <c r="CH27" i="16"/>
  <c r="CI27" i="16"/>
  <c r="CJ27" i="16"/>
  <c r="CK27" i="16"/>
  <c r="CL27" i="16"/>
  <c r="CL12" i="16"/>
  <c r="CK12" i="16"/>
  <c r="CJ12" i="16"/>
  <c r="CI12" i="16"/>
  <c r="CH12" i="16"/>
  <c r="BJ13" i="16"/>
  <c r="BK13" i="16"/>
  <c r="BL13" i="16"/>
  <c r="BM13" i="16"/>
  <c r="BN13" i="16"/>
  <c r="BJ14" i="16"/>
  <c r="BK14" i="16"/>
  <c r="BL14" i="16"/>
  <c r="BM14" i="16"/>
  <c r="BN14" i="16"/>
  <c r="BJ15" i="16"/>
  <c r="BK15" i="16"/>
  <c r="BL15" i="16"/>
  <c r="BM15" i="16"/>
  <c r="BN15" i="16"/>
  <c r="BJ16" i="16"/>
  <c r="BK16" i="16"/>
  <c r="BL16" i="16"/>
  <c r="BM16" i="16"/>
  <c r="BN16" i="16"/>
  <c r="BJ17" i="16"/>
  <c r="BK17" i="16"/>
  <c r="BL17" i="16"/>
  <c r="BM17" i="16"/>
  <c r="BN17" i="16"/>
  <c r="BJ18" i="16"/>
  <c r="BK18" i="16"/>
  <c r="BL18" i="16"/>
  <c r="BM18" i="16"/>
  <c r="BN18" i="16"/>
  <c r="BJ19" i="16"/>
  <c r="BK19" i="16"/>
  <c r="BL19" i="16"/>
  <c r="BM19" i="16"/>
  <c r="BN19" i="16"/>
  <c r="BJ20" i="16"/>
  <c r="BK20" i="16"/>
  <c r="BL20" i="16"/>
  <c r="BM20" i="16"/>
  <c r="BN20" i="16"/>
  <c r="BJ21" i="16"/>
  <c r="BK21" i="16"/>
  <c r="BL21" i="16"/>
  <c r="BM21" i="16"/>
  <c r="BN21" i="16"/>
  <c r="BJ22" i="16"/>
  <c r="BK22" i="16"/>
  <c r="BL22" i="16"/>
  <c r="BM22" i="16"/>
  <c r="BN22" i="16"/>
  <c r="BJ23" i="16"/>
  <c r="BK23" i="16"/>
  <c r="BL23" i="16"/>
  <c r="BM23" i="16"/>
  <c r="BN23" i="16"/>
  <c r="BJ24" i="16"/>
  <c r="BK24" i="16"/>
  <c r="BL24" i="16"/>
  <c r="BM24" i="16"/>
  <c r="BN24" i="16"/>
  <c r="BJ25" i="16"/>
  <c r="BK25" i="16"/>
  <c r="BL25" i="16"/>
  <c r="BM25" i="16"/>
  <c r="BN25" i="16"/>
  <c r="BJ26" i="16"/>
  <c r="BK26" i="16"/>
  <c r="BL26" i="16"/>
  <c r="BM26" i="16"/>
  <c r="BN26" i="16"/>
  <c r="BJ27" i="16"/>
  <c r="BK27" i="16"/>
  <c r="BL27" i="16"/>
  <c r="BM27" i="16"/>
  <c r="BN27" i="16"/>
  <c r="BN12" i="16"/>
  <c r="BM12" i="16"/>
  <c r="BL12" i="16"/>
  <c r="BK12" i="16"/>
  <c r="BJ12" i="16"/>
  <c r="AL13" i="16"/>
  <c r="AM13" i="16"/>
  <c r="AN13" i="16"/>
  <c r="AO13" i="16"/>
  <c r="AP13" i="16"/>
  <c r="AL14" i="16"/>
  <c r="AM14" i="16"/>
  <c r="AN14" i="16"/>
  <c r="AO14" i="16"/>
  <c r="AP14" i="16"/>
  <c r="AL15" i="16"/>
  <c r="AM15" i="16"/>
  <c r="AN15" i="16"/>
  <c r="AO15" i="16"/>
  <c r="AP15" i="16"/>
  <c r="AL16" i="16"/>
  <c r="AM16" i="16"/>
  <c r="AN16" i="16"/>
  <c r="AO16" i="16"/>
  <c r="AP16" i="16"/>
  <c r="AL17" i="16"/>
  <c r="AM17" i="16"/>
  <c r="AN17" i="16"/>
  <c r="AO17" i="16"/>
  <c r="AP17" i="16"/>
  <c r="AL18" i="16"/>
  <c r="AM18" i="16"/>
  <c r="AN18" i="16"/>
  <c r="AO18" i="16"/>
  <c r="AP18" i="16"/>
  <c r="AL19" i="16"/>
  <c r="AM19" i="16"/>
  <c r="AN19" i="16"/>
  <c r="AO19" i="16"/>
  <c r="AP19" i="16"/>
  <c r="AL20" i="16"/>
  <c r="AM20" i="16"/>
  <c r="AN20" i="16"/>
  <c r="AO20" i="16"/>
  <c r="AP20" i="16"/>
  <c r="AL21" i="16"/>
  <c r="AM21" i="16"/>
  <c r="AN21" i="16"/>
  <c r="AO21" i="16"/>
  <c r="AP21" i="16"/>
  <c r="AL22" i="16"/>
  <c r="AM22" i="16"/>
  <c r="AN22" i="16"/>
  <c r="AO22" i="16"/>
  <c r="AP22" i="16"/>
  <c r="AL23" i="16"/>
  <c r="AM23" i="16"/>
  <c r="AN23" i="16"/>
  <c r="AO23" i="16"/>
  <c r="AP23" i="16"/>
  <c r="AL24" i="16"/>
  <c r="AM24" i="16"/>
  <c r="AN24" i="16"/>
  <c r="AO24" i="16"/>
  <c r="AP24" i="16"/>
  <c r="AL25" i="16"/>
  <c r="AM25" i="16"/>
  <c r="AN25" i="16"/>
  <c r="AO25" i="16"/>
  <c r="AP25" i="16"/>
  <c r="AL26" i="16"/>
  <c r="AM26" i="16"/>
  <c r="AN26" i="16"/>
  <c r="AO26" i="16"/>
  <c r="AP26" i="16"/>
  <c r="AL27" i="16"/>
  <c r="AM27" i="16"/>
  <c r="AN27" i="16"/>
  <c r="AO27" i="16"/>
  <c r="AP27" i="16"/>
  <c r="AP12" i="16"/>
  <c r="AO12" i="16"/>
  <c r="AN12" i="16"/>
  <c r="AM12" i="16"/>
  <c r="AL12" i="16"/>
  <c r="R27" i="16"/>
  <c r="Q27" i="16"/>
  <c r="P27" i="16"/>
  <c r="O27" i="16"/>
  <c r="N27" i="16"/>
  <c r="R26" i="16"/>
  <c r="Q26" i="16"/>
  <c r="P26" i="16"/>
  <c r="O26" i="16"/>
  <c r="N26" i="16"/>
  <c r="R25" i="16"/>
  <c r="Q25" i="16"/>
  <c r="P25" i="16"/>
  <c r="O25" i="16"/>
  <c r="N25" i="16"/>
  <c r="R24" i="16"/>
  <c r="Q24" i="16"/>
  <c r="P24" i="16"/>
  <c r="O24" i="16"/>
  <c r="N24" i="16"/>
  <c r="R23" i="16"/>
  <c r="Q23" i="16"/>
  <c r="P23" i="16"/>
  <c r="O23" i="16"/>
  <c r="N23" i="16"/>
  <c r="R22" i="16"/>
  <c r="Q22" i="16"/>
  <c r="P22" i="16"/>
  <c r="O22" i="16"/>
  <c r="N22" i="16"/>
  <c r="R21" i="16"/>
  <c r="Q21" i="16"/>
  <c r="P21" i="16"/>
  <c r="O21" i="16"/>
  <c r="N21" i="16"/>
  <c r="R20" i="16"/>
  <c r="Q20" i="16"/>
  <c r="P20" i="16"/>
  <c r="O20" i="16"/>
  <c r="N20" i="16"/>
  <c r="R19" i="16"/>
  <c r="Q19" i="16"/>
  <c r="P19" i="16"/>
  <c r="O19" i="16"/>
  <c r="N19" i="16"/>
  <c r="R18" i="16"/>
  <c r="Q18" i="16"/>
  <c r="P18" i="16"/>
  <c r="O18" i="16"/>
  <c r="N18" i="16"/>
  <c r="R17" i="16"/>
  <c r="Q17" i="16"/>
  <c r="P17" i="16"/>
  <c r="O17" i="16"/>
  <c r="N17" i="16"/>
  <c r="R16" i="16"/>
  <c r="Q16" i="16"/>
  <c r="P16" i="16"/>
  <c r="O16" i="16"/>
  <c r="N16" i="16"/>
  <c r="R15" i="16"/>
  <c r="Q15" i="16"/>
  <c r="P15" i="16"/>
  <c r="O15" i="16"/>
  <c r="N15" i="16"/>
  <c r="R14" i="16"/>
  <c r="Q14" i="16"/>
  <c r="P14" i="16"/>
  <c r="O14" i="16"/>
  <c r="N14" i="16"/>
  <c r="R13" i="16"/>
  <c r="Q13" i="16"/>
  <c r="P13" i="16"/>
  <c r="O13" i="16"/>
  <c r="N13" i="16"/>
  <c r="R12" i="16"/>
  <c r="Q12" i="16"/>
  <c r="P12" i="16"/>
  <c r="O12" i="16"/>
  <c r="N12" i="16"/>
  <c r="CL27" i="15"/>
  <c r="DJ27" i="15"/>
  <c r="DI27" i="15"/>
  <c r="DH27" i="15"/>
  <c r="DG27" i="15"/>
  <c r="DF27" i="15"/>
  <c r="DJ26" i="15"/>
  <c r="DI26" i="15"/>
  <c r="DH26" i="15"/>
  <c r="DG26" i="15"/>
  <c r="DF26" i="15"/>
  <c r="DJ25" i="15"/>
  <c r="DI25" i="15"/>
  <c r="DH25" i="15"/>
  <c r="DG25" i="15"/>
  <c r="DF25" i="15"/>
  <c r="DJ24" i="15"/>
  <c r="DI24" i="15"/>
  <c r="DH24" i="15"/>
  <c r="DG24" i="15"/>
  <c r="DF24" i="15"/>
  <c r="DJ23" i="15"/>
  <c r="DI23" i="15"/>
  <c r="DH23" i="15"/>
  <c r="DG23" i="15"/>
  <c r="DF23" i="15"/>
  <c r="DJ22" i="15"/>
  <c r="DI22" i="15"/>
  <c r="DH22" i="15"/>
  <c r="DG22" i="15"/>
  <c r="DF22" i="15"/>
  <c r="DJ21" i="15"/>
  <c r="DI21" i="15"/>
  <c r="DH21" i="15"/>
  <c r="DG21" i="15"/>
  <c r="DF21" i="15"/>
  <c r="DJ20" i="15"/>
  <c r="DI20" i="15"/>
  <c r="DH20" i="15"/>
  <c r="DG20" i="15"/>
  <c r="DF20" i="15"/>
  <c r="DJ19" i="15"/>
  <c r="DI19" i="15"/>
  <c r="DH19" i="15"/>
  <c r="DG19" i="15"/>
  <c r="DF19" i="15"/>
  <c r="DJ18" i="15"/>
  <c r="DI18" i="15"/>
  <c r="DH18" i="15"/>
  <c r="DG18" i="15"/>
  <c r="DF18" i="15"/>
  <c r="DJ17" i="15"/>
  <c r="DI17" i="15"/>
  <c r="DH17" i="15"/>
  <c r="DG17" i="15"/>
  <c r="DF17" i="15"/>
  <c r="DJ16" i="15"/>
  <c r="DI16" i="15"/>
  <c r="DH16" i="15"/>
  <c r="DG16" i="15"/>
  <c r="DF16" i="15"/>
  <c r="DJ15" i="15"/>
  <c r="DI15" i="15"/>
  <c r="DH15" i="15"/>
  <c r="DG15" i="15"/>
  <c r="DF15" i="15"/>
  <c r="DJ14" i="15"/>
  <c r="DI14" i="15"/>
  <c r="DH14" i="15"/>
  <c r="DG14" i="15"/>
  <c r="DF14" i="15"/>
  <c r="DJ13" i="15"/>
  <c r="DI13" i="15"/>
  <c r="DH13" i="15"/>
  <c r="DG13" i="15"/>
  <c r="DF13" i="15"/>
  <c r="DJ12" i="15"/>
  <c r="DI12" i="15"/>
  <c r="DH12" i="15"/>
  <c r="DG12" i="15"/>
  <c r="DF12" i="15"/>
  <c r="CK27" i="15"/>
  <c r="CJ27" i="15"/>
  <c r="CI27" i="15"/>
  <c r="CH27" i="15"/>
  <c r="CL26" i="15"/>
  <c r="CK26" i="15"/>
  <c r="CJ26" i="15"/>
  <c r="CI26" i="15"/>
  <c r="CH26" i="15"/>
  <c r="CL25" i="15"/>
  <c r="CK25" i="15"/>
  <c r="CJ25" i="15"/>
  <c r="CI25" i="15"/>
  <c r="CH25" i="15"/>
  <c r="CL24" i="15"/>
  <c r="CK24" i="15"/>
  <c r="CJ24" i="15"/>
  <c r="CI24" i="15"/>
  <c r="CH24" i="15"/>
  <c r="CL23" i="15"/>
  <c r="CK23" i="15"/>
  <c r="CJ23" i="15"/>
  <c r="CI23" i="15"/>
  <c r="CH23" i="15"/>
  <c r="CL22" i="15"/>
  <c r="CK22" i="15"/>
  <c r="CJ22" i="15"/>
  <c r="CI22" i="15"/>
  <c r="CH22" i="15"/>
  <c r="CL21" i="15"/>
  <c r="CK21" i="15"/>
  <c r="CJ21" i="15"/>
  <c r="CI21" i="15"/>
  <c r="CH21" i="15"/>
  <c r="CL20" i="15"/>
  <c r="CK20" i="15"/>
  <c r="CJ20" i="15"/>
  <c r="CI20" i="15"/>
  <c r="CH20" i="15"/>
  <c r="CL19" i="15"/>
  <c r="CK19" i="15"/>
  <c r="CJ19" i="15"/>
  <c r="CI19" i="15"/>
  <c r="CH19" i="15"/>
  <c r="CL18" i="15"/>
  <c r="CK18" i="15"/>
  <c r="CJ18" i="15"/>
  <c r="CI18" i="15"/>
  <c r="CH18" i="15"/>
  <c r="CL17" i="15"/>
  <c r="CK17" i="15"/>
  <c r="CJ17" i="15"/>
  <c r="CI17" i="15"/>
  <c r="CH17" i="15"/>
  <c r="CL16" i="15"/>
  <c r="CK16" i="15"/>
  <c r="CJ16" i="15"/>
  <c r="CI16" i="15"/>
  <c r="CH16" i="15"/>
  <c r="CL15" i="15"/>
  <c r="CK15" i="15"/>
  <c r="CJ15" i="15"/>
  <c r="CI15" i="15"/>
  <c r="CH15" i="15"/>
  <c r="CL14" i="15"/>
  <c r="CK14" i="15"/>
  <c r="CJ14" i="15"/>
  <c r="CI14" i="15"/>
  <c r="CH14" i="15"/>
  <c r="CL13" i="15"/>
  <c r="CK13" i="15"/>
  <c r="CJ13" i="15"/>
  <c r="CI13" i="15"/>
  <c r="CH13" i="15"/>
  <c r="CL12" i="15"/>
  <c r="CK12" i="15"/>
  <c r="CJ12" i="15"/>
  <c r="CI12" i="15"/>
  <c r="CH12" i="15"/>
  <c r="BN27" i="15"/>
  <c r="BM27" i="15"/>
  <c r="BL27" i="15"/>
  <c r="BK27" i="15"/>
  <c r="BJ27" i="15"/>
  <c r="BN26" i="15"/>
  <c r="BM26" i="15"/>
  <c r="BL26" i="15"/>
  <c r="BK26" i="15"/>
  <c r="BJ26" i="15"/>
  <c r="BN25" i="15"/>
  <c r="BM25" i="15"/>
  <c r="BL25" i="15"/>
  <c r="BK25" i="15"/>
  <c r="BJ25" i="15"/>
  <c r="BN24" i="15"/>
  <c r="BM24" i="15"/>
  <c r="BL24" i="15"/>
  <c r="BK24" i="15"/>
  <c r="BJ24" i="15"/>
  <c r="BN23" i="15"/>
  <c r="BM23" i="15"/>
  <c r="BL23" i="15"/>
  <c r="BK23" i="15"/>
  <c r="BJ23" i="15"/>
  <c r="BN22" i="15"/>
  <c r="BM22" i="15"/>
  <c r="BL22" i="15"/>
  <c r="BK22" i="15"/>
  <c r="BJ22" i="15"/>
  <c r="BN21" i="15"/>
  <c r="BM21" i="15"/>
  <c r="BL21" i="15"/>
  <c r="BK21" i="15"/>
  <c r="BJ21" i="15"/>
  <c r="BN20" i="15"/>
  <c r="BM20" i="15"/>
  <c r="BL20" i="15"/>
  <c r="BK20" i="15"/>
  <c r="BJ20" i="15"/>
  <c r="BN19" i="15"/>
  <c r="BM19" i="15"/>
  <c r="BL19" i="15"/>
  <c r="BK19" i="15"/>
  <c r="BJ19" i="15"/>
  <c r="BN18" i="15"/>
  <c r="BM18" i="15"/>
  <c r="BL18" i="15"/>
  <c r="BK18" i="15"/>
  <c r="BJ18" i="15"/>
  <c r="BN17" i="15"/>
  <c r="BM17" i="15"/>
  <c r="BL17" i="15"/>
  <c r="BK17" i="15"/>
  <c r="BJ17" i="15"/>
  <c r="BN16" i="15"/>
  <c r="BM16" i="15"/>
  <c r="BL16" i="15"/>
  <c r="BK16" i="15"/>
  <c r="BJ16" i="15"/>
  <c r="BN15" i="15"/>
  <c r="BM15" i="15"/>
  <c r="BL15" i="15"/>
  <c r="BK15" i="15"/>
  <c r="BJ15" i="15"/>
  <c r="BN14" i="15"/>
  <c r="BM14" i="15"/>
  <c r="BL14" i="15"/>
  <c r="BK14" i="15"/>
  <c r="BJ14" i="15"/>
  <c r="BN13" i="15"/>
  <c r="BM13" i="15"/>
  <c r="BL13" i="15"/>
  <c r="BK13" i="15"/>
  <c r="BJ13" i="15"/>
  <c r="BN12" i="15"/>
  <c r="BM12" i="15"/>
  <c r="BL12" i="15"/>
  <c r="BK12" i="15"/>
  <c r="BJ12" i="15"/>
  <c r="AP27" i="15"/>
  <c r="AO27" i="15"/>
  <c r="AN27" i="15"/>
  <c r="AM27" i="15"/>
  <c r="AL27" i="15"/>
  <c r="AP26" i="15"/>
  <c r="AO26" i="15"/>
  <c r="AN26" i="15"/>
  <c r="AM26" i="15"/>
  <c r="AL26" i="15"/>
  <c r="AP25" i="15"/>
  <c r="AO25" i="15"/>
  <c r="AN25" i="15"/>
  <c r="AM25" i="15"/>
  <c r="AL25" i="15"/>
  <c r="AP24" i="15"/>
  <c r="AO24" i="15"/>
  <c r="AN24" i="15"/>
  <c r="AM24" i="15"/>
  <c r="AL24" i="15"/>
  <c r="AP23" i="15"/>
  <c r="AO23" i="15"/>
  <c r="AN23" i="15"/>
  <c r="AM23" i="15"/>
  <c r="AL23" i="15"/>
  <c r="AP22" i="15"/>
  <c r="AO22" i="15"/>
  <c r="AN22" i="15"/>
  <c r="AM22" i="15"/>
  <c r="AL22" i="15"/>
  <c r="AP21" i="15"/>
  <c r="AO21" i="15"/>
  <c r="AN21" i="15"/>
  <c r="AM21" i="15"/>
  <c r="AL21" i="15"/>
  <c r="AP20" i="15"/>
  <c r="AO20" i="15"/>
  <c r="AN20" i="15"/>
  <c r="AM20" i="15"/>
  <c r="AL20" i="15"/>
  <c r="AP19" i="15"/>
  <c r="AO19" i="15"/>
  <c r="AN19" i="15"/>
  <c r="AM19" i="15"/>
  <c r="AL19" i="15"/>
  <c r="AP18" i="15"/>
  <c r="AO18" i="15"/>
  <c r="AN18" i="15"/>
  <c r="AM18" i="15"/>
  <c r="AL18" i="15"/>
  <c r="AP17" i="15"/>
  <c r="AO17" i="15"/>
  <c r="AN17" i="15"/>
  <c r="AM17" i="15"/>
  <c r="AL17" i="15"/>
  <c r="AP16" i="15"/>
  <c r="AO16" i="15"/>
  <c r="AN16" i="15"/>
  <c r="AM16" i="15"/>
  <c r="AL16" i="15"/>
  <c r="AP15" i="15"/>
  <c r="AO15" i="15"/>
  <c r="AN15" i="15"/>
  <c r="AM15" i="15"/>
  <c r="AL15" i="15"/>
  <c r="AP14" i="15"/>
  <c r="AO14" i="15"/>
  <c r="AN14" i="15"/>
  <c r="AM14" i="15"/>
  <c r="AL14" i="15"/>
  <c r="AP13" i="15"/>
  <c r="AO13" i="15"/>
  <c r="AN13" i="15"/>
  <c r="AM13" i="15"/>
  <c r="AL13" i="15"/>
  <c r="AP12" i="15"/>
  <c r="AO12" i="15"/>
  <c r="AN12" i="15"/>
  <c r="AM12" i="15"/>
  <c r="AL12" i="15"/>
  <c r="R27" i="15"/>
  <c r="Q27" i="15"/>
  <c r="P27" i="15"/>
  <c r="O27" i="15"/>
  <c r="N27" i="15"/>
  <c r="R26" i="15"/>
  <c r="Q26" i="15"/>
  <c r="P26" i="15"/>
  <c r="O26" i="15"/>
  <c r="N26" i="15"/>
  <c r="R25" i="15"/>
  <c r="Q25" i="15"/>
  <c r="P25" i="15"/>
  <c r="O25" i="15"/>
  <c r="N25" i="15"/>
  <c r="R24" i="15"/>
  <c r="Q24" i="15"/>
  <c r="P24" i="15"/>
  <c r="O24" i="15"/>
  <c r="N24" i="15"/>
  <c r="R23" i="15"/>
  <c r="Q23" i="15"/>
  <c r="P23" i="15"/>
  <c r="O23" i="15"/>
  <c r="N23" i="15"/>
  <c r="R22" i="15"/>
  <c r="Q22" i="15"/>
  <c r="P22" i="15"/>
  <c r="O22" i="15"/>
  <c r="N22" i="15"/>
  <c r="R21" i="15"/>
  <c r="Q21" i="15"/>
  <c r="P21" i="15"/>
  <c r="O21" i="15"/>
  <c r="N21" i="15"/>
  <c r="R20" i="15"/>
  <c r="Q20" i="15"/>
  <c r="P20" i="15"/>
  <c r="O20" i="15"/>
  <c r="N20" i="15"/>
  <c r="R19" i="15"/>
  <c r="Q19" i="15"/>
  <c r="P19" i="15"/>
  <c r="O19" i="15"/>
  <c r="N19" i="15"/>
  <c r="R18" i="15"/>
  <c r="Q18" i="15"/>
  <c r="P18" i="15"/>
  <c r="O18" i="15"/>
  <c r="N18" i="15"/>
  <c r="R17" i="15"/>
  <c r="Q17" i="15"/>
  <c r="P17" i="15"/>
  <c r="O17" i="15"/>
  <c r="N17" i="15"/>
  <c r="R16" i="15"/>
  <c r="Q16" i="15"/>
  <c r="P16" i="15"/>
  <c r="O16" i="15"/>
  <c r="N16" i="15"/>
  <c r="R15" i="15"/>
  <c r="Q15" i="15"/>
  <c r="P15" i="15"/>
  <c r="O15" i="15"/>
  <c r="N15" i="15"/>
  <c r="R14" i="15"/>
  <c r="Q14" i="15"/>
  <c r="P14" i="15"/>
  <c r="O14" i="15"/>
  <c r="N14" i="15"/>
  <c r="R13" i="15"/>
  <c r="Q13" i="15"/>
  <c r="P13" i="15"/>
  <c r="O13" i="15"/>
  <c r="N13" i="15"/>
  <c r="R12" i="15"/>
  <c r="Q12" i="15"/>
  <c r="P12" i="15"/>
  <c r="O12" i="15"/>
  <c r="N12" i="15"/>
  <c r="DJ27" i="14"/>
  <c r="DI27" i="14"/>
  <c r="DH27" i="14"/>
  <c r="DG27" i="14"/>
  <c r="DF27" i="14"/>
  <c r="DJ26" i="14"/>
  <c r="DI26" i="14"/>
  <c r="DH26" i="14"/>
  <c r="DG26" i="14"/>
  <c r="DF26" i="14"/>
  <c r="DJ25" i="14"/>
  <c r="DI25" i="14"/>
  <c r="DH25" i="14"/>
  <c r="DG25" i="14"/>
  <c r="DF25" i="14"/>
  <c r="DJ24" i="14"/>
  <c r="DI24" i="14"/>
  <c r="DH24" i="14"/>
  <c r="DG24" i="14"/>
  <c r="DF24" i="14"/>
  <c r="DJ23" i="14"/>
  <c r="DI23" i="14"/>
  <c r="DH23" i="14"/>
  <c r="DG23" i="14"/>
  <c r="DF23" i="14"/>
  <c r="DJ22" i="14"/>
  <c r="DI22" i="14"/>
  <c r="DH22" i="14"/>
  <c r="DG22" i="14"/>
  <c r="DF22" i="14"/>
  <c r="DJ21" i="14"/>
  <c r="DI21" i="14"/>
  <c r="DH21" i="14"/>
  <c r="DG21" i="14"/>
  <c r="DF21" i="14"/>
  <c r="DJ20" i="14"/>
  <c r="DI20" i="14"/>
  <c r="DH20" i="14"/>
  <c r="DG20" i="14"/>
  <c r="DF20" i="14"/>
  <c r="DJ19" i="14"/>
  <c r="DI19" i="14"/>
  <c r="DH19" i="14"/>
  <c r="DG19" i="14"/>
  <c r="DF19" i="14"/>
  <c r="DJ18" i="14"/>
  <c r="DI18" i="14"/>
  <c r="DH18" i="14"/>
  <c r="DG18" i="14"/>
  <c r="DF18" i="14"/>
  <c r="DJ17" i="14"/>
  <c r="DI17" i="14"/>
  <c r="DH17" i="14"/>
  <c r="DG17" i="14"/>
  <c r="DF17" i="14"/>
  <c r="DJ16" i="14"/>
  <c r="DI16" i="14"/>
  <c r="DH16" i="14"/>
  <c r="DG16" i="14"/>
  <c r="DF16" i="14"/>
  <c r="DJ15" i="14"/>
  <c r="DI15" i="14"/>
  <c r="DH15" i="14"/>
  <c r="DG15" i="14"/>
  <c r="DF15" i="14"/>
  <c r="DJ14" i="14"/>
  <c r="DI14" i="14"/>
  <c r="DH14" i="14"/>
  <c r="DG14" i="14"/>
  <c r="DF14" i="14"/>
  <c r="DJ13" i="14"/>
  <c r="DI13" i="14"/>
  <c r="DH13" i="14"/>
  <c r="DG13" i="14"/>
  <c r="DF13" i="14"/>
  <c r="DJ12" i="14"/>
  <c r="DI12" i="14"/>
  <c r="DH12" i="14"/>
  <c r="DG12" i="14"/>
  <c r="DF12" i="14"/>
  <c r="CL27" i="14"/>
  <c r="CK27" i="14"/>
  <c r="CJ27" i="14"/>
  <c r="CI27" i="14"/>
  <c r="CH27" i="14"/>
  <c r="CL26" i="14"/>
  <c r="CK26" i="14"/>
  <c r="CJ26" i="14"/>
  <c r="CI26" i="14"/>
  <c r="CH26" i="14"/>
  <c r="CL25" i="14"/>
  <c r="CK25" i="14"/>
  <c r="CJ25" i="14"/>
  <c r="CI25" i="14"/>
  <c r="CH25" i="14"/>
  <c r="CL24" i="14"/>
  <c r="CK24" i="14"/>
  <c r="CJ24" i="14"/>
  <c r="CI24" i="14"/>
  <c r="CH24" i="14"/>
  <c r="CL23" i="14"/>
  <c r="CK23" i="14"/>
  <c r="CJ23" i="14"/>
  <c r="CI23" i="14"/>
  <c r="CH23" i="14"/>
  <c r="CL22" i="14"/>
  <c r="CK22" i="14"/>
  <c r="CJ22" i="14"/>
  <c r="CI22" i="14"/>
  <c r="CH22" i="14"/>
  <c r="CL21" i="14"/>
  <c r="CK21" i="14"/>
  <c r="CJ21" i="14"/>
  <c r="CI21" i="14"/>
  <c r="CH21" i="14"/>
  <c r="CL20" i="14"/>
  <c r="CK20" i="14"/>
  <c r="CJ20" i="14"/>
  <c r="CI20" i="14"/>
  <c r="CH20" i="14"/>
  <c r="CL19" i="14"/>
  <c r="CK19" i="14"/>
  <c r="CJ19" i="14"/>
  <c r="CI19" i="14"/>
  <c r="CH19" i="14"/>
  <c r="CL18" i="14"/>
  <c r="CK18" i="14"/>
  <c r="CJ18" i="14"/>
  <c r="CI18" i="14"/>
  <c r="CH18" i="14"/>
  <c r="CL17" i="14"/>
  <c r="CK17" i="14"/>
  <c r="CJ17" i="14"/>
  <c r="CI17" i="14"/>
  <c r="CH17" i="14"/>
  <c r="CL16" i="14"/>
  <c r="CK16" i="14"/>
  <c r="CJ16" i="14"/>
  <c r="CI16" i="14"/>
  <c r="CH16" i="14"/>
  <c r="CL15" i="14"/>
  <c r="CK15" i="14"/>
  <c r="CJ15" i="14"/>
  <c r="CI15" i="14"/>
  <c r="CH15" i="14"/>
  <c r="CL14" i="14"/>
  <c r="CK14" i="14"/>
  <c r="CJ14" i="14"/>
  <c r="CI14" i="14"/>
  <c r="CH14" i="14"/>
  <c r="CL13" i="14"/>
  <c r="CK13" i="14"/>
  <c r="CJ13" i="14"/>
  <c r="CI13" i="14"/>
  <c r="CH13" i="14"/>
  <c r="CL12" i="14"/>
  <c r="CK12" i="14"/>
  <c r="CJ12" i="14"/>
  <c r="CI12" i="14"/>
  <c r="CH12" i="14"/>
  <c r="BN27" i="14"/>
  <c r="BM27" i="14"/>
  <c r="BL27" i="14"/>
  <c r="BK27" i="14"/>
  <c r="BJ27" i="14"/>
  <c r="BN26" i="14"/>
  <c r="BM26" i="14"/>
  <c r="BL26" i="14"/>
  <c r="BK26" i="14"/>
  <c r="BJ26" i="14"/>
  <c r="BN25" i="14"/>
  <c r="BM25" i="14"/>
  <c r="BL25" i="14"/>
  <c r="BK25" i="14"/>
  <c r="BJ25" i="14"/>
  <c r="BN24" i="14"/>
  <c r="BM24" i="14"/>
  <c r="BL24" i="14"/>
  <c r="BK24" i="14"/>
  <c r="BJ24" i="14"/>
  <c r="BN23" i="14"/>
  <c r="BM23" i="14"/>
  <c r="BL23" i="14"/>
  <c r="BK23" i="14"/>
  <c r="BJ23" i="14"/>
  <c r="BN22" i="14"/>
  <c r="BM22" i="14"/>
  <c r="BL22" i="14"/>
  <c r="BK22" i="14"/>
  <c r="BJ22" i="14"/>
  <c r="BN21" i="14"/>
  <c r="BM21" i="14"/>
  <c r="BL21" i="14"/>
  <c r="BK21" i="14"/>
  <c r="BJ21" i="14"/>
  <c r="BN20" i="14"/>
  <c r="BM20" i="14"/>
  <c r="BL20" i="14"/>
  <c r="BK20" i="14"/>
  <c r="BJ20" i="14"/>
  <c r="BN19" i="14"/>
  <c r="BM19" i="14"/>
  <c r="BL19" i="14"/>
  <c r="BK19" i="14"/>
  <c r="BJ19" i="14"/>
  <c r="BN18" i="14"/>
  <c r="BM18" i="14"/>
  <c r="BL18" i="14"/>
  <c r="BK18" i="14"/>
  <c r="BJ18" i="14"/>
  <c r="BN17" i="14"/>
  <c r="BM17" i="14"/>
  <c r="BL17" i="14"/>
  <c r="BK17" i="14"/>
  <c r="BJ17" i="14"/>
  <c r="BN16" i="14"/>
  <c r="BM16" i="14"/>
  <c r="BL16" i="14"/>
  <c r="BK16" i="14"/>
  <c r="BJ16" i="14"/>
  <c r="BN15" i="14"/>
  <c r="BM15" i="14"/>
  <c r="BL15" i="14"/>
  <c r="BK15" i="14"/>
  <c r="BJ15" i="14"/>
  <c r="BN14" i="14"/>
  <c r="BM14" i="14"/>
  <c r="BL14" i="14"/>
  <c r="BK14" i="14"/>
  <c r="BJ14" i="14"/>
  <c r="BN13" i="14"/>
  <c r="BM13" i="14"/>
  <c r="BL13" i="14"/>
  <c r="BK13" i="14"/>
  <c r="BJ13" i="14"/>
  <c r="BN12" i="14"/>
  <c r="BM12" i="14"/>
  <c r="BL12" i="14"/>
  <c r="BK12" i="14"/>
  <c r="BJ12" i="14"/>
  <c r="AP27" i="14"/>
  <c r="AO27" i="14"/>
  <c r="AN27" i="14"/>
  <c r="AM27" i="14"/>
  <c r="AL27" i="14"/>
  <c r="AP26" i="14"/>
  <c r="AO26" i="14"/>
  <c r="AN26" i="14"/>
  <c r="AM26" i="14"/>
  <c r="AL26" i="14"/>
  <c r="AP25" i="14"/>
  <c r="AO25" i="14"/>
  <c r="AN25" i="14"/>
  <c r="AM25" i="14"/>
  <c r="AL25" i="14"/>
  <c r="AP24" i="14"/>
  <c r="AO24" i="14"/>
  <c r="AN24" i="14"/>
  <c r="AM24" i="14"/>
  <c r="AL24" i="14"/>
  <c r="AP23" i="14"/>
  <c r="AO23" i="14"/>
  <c r="AN23" i="14"/>
  <c r="AM23" i="14"/>
  <c r="AL23" i="14"/>
  <c r="AP22" i="14"/>
  <c r="AO22" i="14"/>
  <c r="AN22" i="14"/>
  <c r="AM22" i="14"/>
  <c r="AL22" i="14"/>
  <c r="AP21" i="14"/>
  <c r="AO21" i="14"/>
  <c r="AN21" i="14"/>
  <c r="AM21" i="14"/>
  <c r="AL21" i="14"/>
  <c r="AP20" i="14"/>
  <c r="AO20" i="14"/>
  <c r="AN20" i="14"/>
  <c r="AM20" i="14"/>
  <c r="AL20" i="14"/>
  <c r="AP19" i="14"/>
  <c r="AO19" i="14"/>
  <c r="AN19" i="14"/>
  <c r="AM19" i="14"/>
  <c r="AL19" i="14"/>
  <c r="AP18" i="14"/>
  <c r="AO18" i="14"/>
  <c r="AN18" i="14"/>
  <c r="AM18" i="14"/>
  <c r="AL18" i="14"/>
  <c r="AP17" i="14"/>
  <c r="AO17" i="14"/>
  <c r="AN17" i="14"/>
  <c r="AM17" i="14"/>
  <c r="AL17" i="14"/>
  <c r="AP16" i="14"/>
  <c r="AO16" i="14"/>
  <c r="AN16" i="14"/>
  <c r="AM16" i="14"/>
  <c r="AL16" i="14"/>
  <c r="AP15" i="14"/>
  <c r="AO15" i="14"/>
  <c r="AN15" i="14"/>
  <c r="AM15" i="14"/>
  <c r="AL15" i="14"/>
  <c r="AP14" i="14"/>
  <c r="AO14" i="14"/>
  <c r="AN14" i="14"/>
  <c r="AM14" i="14"/>
  <c r="AL14" i="14"/>
  <c r="AP13" i="14"/>
  <c r="AO13" i="14"/>
  <c r="AN13" i="14"/>
  <c r="AM13" i="14"/>
  <c r="AL13" i="14"/>
  <c r="AP12" i="14"/>
  <c r="AO12" i="14"/>
  <c r="AN12" i="14"/>
  <c r="AM12" i="14"/>
  <c r="AL12" i="14"/>
  <c r="R27" i="14"/>
  <c r="Q27" i="14"/>
  <c r="P27" i="14"/>
  <c r="O27" i="14"/>
  <c r="N27" i="14"/>
  <c r="R26" i="14"/>
  <c r="Q26" i="14"/>
  <c r="P26" i="14"/>
  <c r="O26" i="14"/>
  <c r="N26" i="14"/>
  <c r="R25" i="14"/>
  <c r="Q25" i="14"/>
  <c r="P25" i="14"/>
  <c r="O25" i="14"/>
  <c r="N25" i="14"/>
  <c r="R24" i="14"/>
  <c r="Q24" i="14"/>
  <c r="P24" i="14"/>
  <c r="O24" i="14"/>
  <c r="N24" i="14"/>
  <c r="R23" i="14"/>
  <c r="Q23" i="14"/>
  <c r="P23" i="14"/>
  <c r="O23" i="14"/>
  <c r="N23" i="14"/>
  <c r="R22" i="14"/>
  <c r="Q22" i="14"/>
  <c r="P22" i="14"/>
  <c r="O22" i="14"/>
  <c r="N22" i="14"/>
  <c r="R21" i="14"/>
  <c r="Q21" i="14"/>
  <c r="P21" i="14"/>
  <c r="O21" i="14"/>
  <c r="N21" i="14"/>
  <c r="R20" i="14"/>
  <c r="Q20" i="14"/>
  <c r="P20" i="14"/>
  <c r="O20" i="14"/>
  <c r="N20" i="14"/>
  <c r="R19" i="14"/>
  <c r="Q19" i="14"/>
  <c r="P19" i="14"/>
  <c r="O19" i="14"/>
  <c r="N19" i="14"/>
  <c r="R18" i="14"/>
  <c r="Q18" i="14"/>
  <c r="P18" i="14"/>
  <c r="O18" i="14"/>
  <c r="N18" i="14"/>
  <c r="R17" i="14"/>
  <c r="Q17" i="14"/>
  <c r="P17" i="14"/>
  <c r="O17" i="14"/>
  <c r="N17" i="14"/>
  <c r="R16" i="14"/>
  <c r="Q16" i="14"/>
  <c r="P16" i="14"/>
  <c r="O16" i="14"/>
  <c r="N16" i="14"/>
  <c r="R15" i="14"/>
  <c r="Q15" i="14"/>
  <c r="P15" i="14"/>
  <c r="O15" i="14"/>
  <c r="N15" i="14"/>
  <c r="R14" i="14"/>
  <c r="Q14" i="14"/>
  <c r="P14" i="14"/>
  <c r="O14" i="14"/>
  <c r="N14" i="14"/>
  <c r="R13" i="14"/>
  <c r="Q13" i="14"/>
  <c r="P13" i="14"/>
  <c r="O13" i="14"/>
  <c r="N13" i="14"/>
  <c r="R12" i="14"/>
  <c r="Q12" i="14"/>
  <c r="P12" i="14"/>
  <c r="O12" i="14"/>
  <c r="N12" i="14"/>
  <c r="DJ27" i="13"/>
  <c r="DI27" i="13"/>
  <c r="DH27" i="13"/>
  <c r="DG27" i="13"/>
  <c r="DF27" i="13"/>
  <c r="DJ26" i="13"/>
  <c r="DI26" i="13"/>
  <c r="DH26" i="13"/>
  <c r="DG26" i="13"/>
  <c r="DF26" i="13"/>
  <c r="DJ25" i="13"/>
  <c r="DI25" i="13"/>
  <c r="DH25" i="13"/>
  <c r="DG25" i="13"/>
  <c r="DF25" i="13"/>
  <c r="DJ24" i="13"/>
  <c r="DI24" i="13"/>
  <c r="DH24" i="13"/>
  <c r="DG24" i="13"/>
  <c r="DF24" i="13"/>
  <c r="DJ23" i="13"/>
  <c r="DI23" i="13"/>
  <c r="DH23" i="13"/>
  <c r="DG23" i="13"/>
  <c r="DF23" i="13"/>
  <c r="DJ22" i="13"/>
  <c r="DI22" i="13"/>
  <c r="DH22" i="13"/>
  <c r="DG22" i="13"/>
  <c r="DF22" i="13"/>
  <c r="DJ21" i="13"/>
  <c r="DI21" i="13"/>
  <c r="DH21" i="13"/>
  <c r="DG21" i="13"/>
  <c r="DF21" i="13"/>
  <c r="DJ20" i="13"/>
  <c r="DI20" i="13"/>
  <c r="DH20" i="13"/>
  <c r="DG20" i="13"/>
  <c r="DF20" i="13"/>
  <c r="DJ19" i="13"/>
  <c r="DI19" i="13"/>
  <c r="DH19" i="13"/>
  <c r="DG19" i="13"/>
  <c r="DF19" i="13"/>
  <c r="DJ18" i="13"/>
  <c r="DI18" i="13"/>
  <c r="DH18" i="13"/>
  <c r="DG18" i="13"/>
  <c r="DF18" i="13"/>
  <c r="DJ17" i="13"/>
  <c r="DI17" i="13"/>
  <c r="DH17" i="13"/>
  <c r="DG17" i="13"/>
  <c r="DF17" i="13"/>
  <c r="DJ16" i="13"/>
  <c r="DI16" i="13"/>
  <c r="DH16" i="13"/>
  <c r="DG16" i="13"/>
  <c r="DF16" i="13"/>
  <c r="DJ15" i="13"/>
  <c r="DI15" i="13"/>
  <c r="DH15" i="13"/>
  <c r="DG15" i="13"/>
  <c r="DF15" i="13"/>
  <c r="DJ14" i="13"/>
  <c r="DI14" i="13"/>
  <c r="DH14" i="13"/>
  <c r="DG14" i="13"/>
  <c r="DF14" i="13"/>
  <c r="DJ13" i="13"/>
  <c r="DI13" i="13"/>
  <c r="DH13" i="13"/>
  <c r="DG13" i="13"/>
  <c r="DF13" i="13"/>
  <c r="DJ12" i="13"/>
  <c r="DI12" i="13"/>
  <c r="DH12" i="13"/>
  <c r="DG12" i="13"/>
  <c r="DF12" i="13"/>
  <c r="CL27" i="13"/>
  <c r="CK27" i="13"/>
  <c r="CJ27" i="13"/>
  <c r="CI27" i="13"/>
  <c r="CH27" i="13"/>
  <c r="CL26" i="13"/>
  <c r="CK26" i="13"/>
  <c r="CJ26" i="13"/>
  <c r="CI26" i="13"/>
  <c r="CH26" i="13"/>
  <c r="CL25" i="13"/>
  <c r="CK25" i="13"/>
  <c r="CJ25" i="13"/>
  <c r="CI25" i="13"/>
  <c r="CH25" i="13"/>
  <c r="CL24" i="13"/>
  <c r="CK24" i="13"/>
  <c r="CJ24" i="13"/>
  <c r="CI24" i="13"/>
  <c r="CH24" i="13"/>
  <c r="CL23" i="13"/>
  <c r="CK23" i="13"/>
  <c r="CJ23" i="13"/>
  <c r="CI23" i="13"/>
  <c r="CH23" i="13"/>
  <c r="CL22" i="13"/>
  <c r="CK22" i="13"/>
  <c r="CJ22" i="13"/>
  <c r="CI22" i="13"/>
  <c r="CH22" i="13"/>
  <c r="CL21" i="13"/>
  <c r="CK21" i="13"/>
  <c r="CJ21" i="13"/>
  <c r="CI21" i="13"/>
  <c r="CH21" i="13"/>
  <c r="CL20" i="13"/>
  <c r="CK20" i="13"/>
  <c r="CJ20" i="13"/>
  <c r="CI20" i="13"/>
  <c r="CH20" i="13"/>
  <c r="CL19" i="13"/>
  <c r="CK19" i="13"/>
  <c r="CJ19" i="13"/>
  <c r="CI19" i="13"/>
  <c r="CH19" i="13"/>
  <c r="CL18" i="13"/>
  <c r="CK18" i="13"/>
  <c r="CJ18" i="13"/>
  <c r="CI18" i="13"/>
  <c r="CH18" i="13"/>
  <c r="CL17" i="13"/>
  <c r="CK17" i="13"/>
  <c r="CJ17" i="13"/>
  <c r="CI17" i="13"/>
  <c r="CH17" i="13"/>
  <c r="CL16" i="13"/>
  <c r="CK16" i="13"/>
  <c r="CJ16" i="13"/>
  <c r="CI16" i="13"/>
  <c r="CH16" i="13"/>
  <c r="CL15" i="13"/>
  <c r="CK15" i="13"/>
  <c r="CJ15" i="13"/>
  <c r="CI15" i="13"/>
  <c r="CH15" i="13"/>
  <c r="CL14" i="13"/>
  <c r="CK14" i="13"/>
  <c r="CJ14" i="13"/>
  <c r="CI14" i="13"/>
  <c r="CH14" i="13"/>
  <c r="CL13" i="13"/>
  <c r="CK13" i="13"/>
  <c r="CJ13" i="13"/>
  <c r="CI13" i="13"/>
  <c r="CH13" i="13"/>
  <c r="CL12" i="13"/>
  <c r="CK12" i="13"/>
  <c r="CJ12" i="13"/>
  <c r="CI12" i="13"/>
  <c r="CH12" i="13"/>
  <c r="BN27" i="13"/>
  <c r="BM27" i="13"/>
  <c r="BL27" i="13"/>
  <c r="BK27" i="13"/>
  <c r="BJ27" i="13"/>
  <c r="BN26" i="13"/>
  <c r="BM26" i="13"/>
  <c r="BL26" i="13"/>
  <c r="BK26" i="13"/>
  <c r="BJ26" i="13"/>
  <c r="BN25" i="13"/>
  <c r="BM25" i="13"/>
  <c r="BL25" i="13"/>
  <c r="BK25" i="13"/>
  <c r="BJ25" i="13"/>
  <c r="BN24" i="13"/>
  <c r="BM24" i="13"/>
  <c r="BL24" i="13"/>
  <c r="BK24" i="13"/>
  <c r="BJ24" i="13"/>
  <c r="BN23" i="13"/>
  <c r="BM23" i="13"/>
  <c r="BL23" i="13"/>
  <c r="BK23" i="13"/>
  <c r="BJ23" i="13"/>
  <c r="BN22" i="13"/>
  <c r="BM22" i="13"/>
  <c r="BL22" i="13"/>
  <c r="BK22" i="13"/>
  <c r="BJ22" i="13"/>
  <c r="BN21" i="13"/>
  <c r="BM21" i="13"/>
  <c r="BL21" i="13"/>
  <c r="BK21" i="13"/>
  <c r="BJ21" i="13"/>
  <c r="BN20" i="13"/>
  <c r="BM20" i="13"/>
  <c r="BL20" i="13"/>
  <c r="BK20" i="13"/>
  <c r="BJ20" i="13"/>
  <c r="BN19" i="13"/>
  <c r="BM19" i="13"/>
  <c r="BL19" i="13"/>
  <c r="BK19" i="13"/>
  <c r="BJ19" i="13"/>
  <c r="BN18" i="13"/>
  <c r="BM18" i="13"/>
  <c r="BL18" i="13"/>
  <c r="BK18" i="13"/>
  <c r="BJ18" i="13"/>
  <c r="BN17" i="13"/>
  <c r="BM17" i="13"/>
  <c r="BL17" i="13"/>
  <c r="BK17" i="13"/>
  <c r="BJ17" i="13"/>
  <c r="BN16" i="13"/>
  <c r="BM16" i="13"/>
  <c r="BL16" i="13"/>
  <c r="BK16" i="13"/>
  <c r="BJ16" i="13"/>
  <c r="BN15" i="13"/>
  <c r="BM15" i="13"/>
  <c r="BL15" i="13"/>
  <c r="BK15" i="13"/>
  <c r="BJ15" i="13"/>
  <c r="BN14" i="13"/>
  <c r="BM14" i="13"/>
  <c r="BL14" i="13"/>
  <c r="BK14" i="13"/>
  <c r="BJ14" i="13"/>
  <c r="BN13" i="13"/>
  <c r="BM13" i="13"/>
  <c r="BL13" i="13"/>
  <c r="BK13" i="13"/>
  <c r="BJ13" i="13"/>
  <c r="BN12" i="13"/>
  <c r="BM12" i="13"/>
  <c r="BL12" i="13"/>
  <c r="BK12" i="13"/>
  <c r="BJ12" i="13"/>
  <c r="AP27" i="13"/>
  <c r="AO27" i="13"/>
  <c r="AN27" i="13"/>
  <c r="AM27" i="13"/>
  <c r="AL27" i="13"/>
  <c r="AP26" i="13"/>
  <c r="AO26" i="13"/>
  <c r="AN26" i="13"/>
  <c r="AM26" i="13"/>
  <c r="AL26" i="13"/>
  <c r="AP25" i="13"/>
  <c r="AO25" i="13"/>
  <c r="AN25" i="13"/>
  <c r="AM25" i="13"/>
  <c r="AL25" i="13"/>
  <c r="AP24" i="13"/>
  <c r="AO24" i="13"/>
  <c r="AN24" i="13"/>
  <c r="AM24" i="13"/>
  <c r="AL24" i="13"/>
  <c r="AP23" i="13"/>
  <c r="AO23" i="13"/>
  <c r="AN23" i="13"/>
  <c r="AM23" i="13"/>
  <c r="AL23" i="13"/>
  <c r="AP22" i="13"/>
  <c r="AO22" i="13"/>
  <c r="AN22" i="13"/>
  <c r="AM22" i="13"/>
  <c r="AL22" i="13"/>
  <c r="AP21" i="13"/>
  <c r="AO21" i="13"/>
  <c r="AN21" i="13"/>
  <c r="AM21" i="13"/>
  <c r="AL21" i="13"/>
  <c r="AP20" i="13"/>
  <c r="AO20" i="13"/>
  <c r="AN20" i="13"/>
  <c r="AM20" i="13"/>
  <c r="AL20" i="13"/>
  <c r="AP19" i="13"/>
  <c r="AO19" i="13"/>
  <c r="AN19" i="13"/>
  <c r="AM19" i="13"/>
  <c r="AL19" i="13"/>
  <c r="AP18" i="13"/>
  <c r="AO18" i="13"/>
  <c r="AN18" i="13"/>
  <c r="AM18" i="13"/>
  <c r="AL18" i="13"/>
  <c r="AP17" i="13"/>
  <c r="AO17" i="13"/>
  <c r="AN17" i="13"/>
  <c r="AM17" i="13"/>
  <c r="AL17" i="13"/>
  <c r="AP16" i="13"/>
  <c r="AO16" i="13"/>
  <c r="AN16" i="13"/>
  <c r="AM16" i="13"/>
  <c r="AL16" i="13"/>
  <c r="AP15" i="13"/>
  <c r="AO15" i="13"/>
  <c r="AN15" i="13"/>
  <c r="AM15" i="13"/>
  <c r="AL15" i="13"/>
  <c r="AP14" i="13"/>
  <c r="AO14" i="13"/>
  <c r="AN14" i="13"/>
  <c r="AM14" i="13"/>
  <c r="AL14" i="13"/>
  <c r="AP13" i="13"/>
  <c r="AO13" i="13"/>
  <c r="AN13" i="13"/>
  <c r="AM13" i="13"/>
  <c r="AL13" i="13"/>
  <c r="AP12" i="13"/>
  <c r="AO12" i="13"/>
  <c r="AN12" i="13"/>
  <c r="AM12" i="13"/>
  <c r="AL12" i="13"/>
  <c r="R27" i="13"/>
  <c r="N13" i="13"/>
  <c r="O13" i="13"/>
  <c r="P13" i="13"/>
  <c r="Q13" i="13"/>
  <c r="R13" i="13"/>
  <c r="N14" i="13"/>
  <c r="O14" i="13"/>
  <c r="P14" i="13"/>
  <c r="Q14" i="13"/>
  <c r="R14" i="13"/>
  <c r="N15" i="13"/>
  <c r="O15" i="13"/>
  <c r="P15" i="13"/>
  <c r="Q15" i="13"/>
  <c r="R15" i="13"/>
  <c r="N16" i="13"/>
  <c r="O16" i="13"/>
  <c r="P16" i="13"/>
  <c r="Q16" i="13"/>
  <c r="R16" i="13"/>
  <c r="N17" i="13"/>
  <c r="O17" i="13"/>
  <c r="P17" i="13"/>
  <c r="Q17" i="13"/>
  <c r="R17" i="13"/>
  <c r="N18" i="13"/>
  <c r="O18" i="13"/>
  <c r="P18" i="13"/>
  <c r="Q18" i="13"/>
  <c r="R18" i="13"/>
  <c r="N19" i="13"/>
  <c r="O19" i="13"/>
  <c r="P19" i="13"/>
  <c r="Q19" i="13"/>
  <c r="R19" i="13"/>
  <c r="N20" i="13"/>
  <c r="O20" i="13"/>
  <c r="P20" i="13"/>
  <c r="Q20" i="13"/>
  <c r="R20" i="13"/>
  <c r="N21" i="13"/>
  <c r="O21" i="13"/>
  <c r="P21" i="13"/>
  <c r="Q21" i="13"/>
  <c r="R21" i="13"/>
  <c r="N22" i="13"/>
  <c r="O22" i="13"/>
  <c r="P22" i="13"/>
  <c r="Q22" i="13"/>
  <c r="R22" i="13"/>
  <c r="N23" i="13"/>
  <c r="O23" i="13"/>
  <c r="P23" i="13"/>
  <c r="Q23" i="13"/>
  <c r="R23" i="13"/>
  <c r="N24" i="13"/>
  <c r="O24" i="13"/>
  <c r="P24" i="13"/>
  <c r="Q24" i="13"/>
  <c r="R24" i="13"/>
  <c r="N25" i="13"/>
  <c r="O25" i="13"/>
  <c r="P25" i="13"/>
  <c r="Q25" i="13"/>
  <c r="R25" i="13"/>
  <c r="N26" i="13"/>
  <c r="O26" i="13"/>
  <c r="P26" i="13"/>
  <c r="Q26" i="13"/>
  <c r="R26" i="13"/>
  <c r="N27" i="13"/>
  <c r="O27" i="13"/>
  <c r="P27" i="13"/>
  <c r="Q27" i="13"/>
  <c r="R12" i="13"/>
  <c r="Q12" i="13"/>
  <c r="P12" i="13"/>
  <c r="O12" i="13"/>
  <c r="N12" i="13"/>
  <c r="AC66" i="10"/>
  <c r="AD66" i="10"/>
  <c r="AC67" i="10"/>
  <c r="AD67" i="10"/>
  <c r="AC68" i="10"/>
  <c r="AD68" i="10"/>
  <c r="AC69" i="10"/>
  <c r="AD69" i="10"/>
  <c r="AC70" i="10"/>
  <c r="AD70" i="10"/>
  <c r="AC71" i="10"/>
  <c r="AD71" i="10"/>
  <c r="AC72" i="10"/>
  <c r="AD72" i="10"/>
  <c r="AC73" i="10"/>
  <c r="AD73" i="10"/>
  <c r="AC74" i="10"/>
  <c r="AD74" i="10"/>
  <c r="AC75" i="10"/>
  <c r="AD75" i="10"/>
  <c r="AC76" i="10"/>
  <c r="AD76" i="10"/>
  <c r="AC77" i="10"/>
  <c r="AD77" i="10"/>
  <c r="AC78" i="10"/>
  <c r="AD78" i="10"/>
  <c r="AC79" i="10"/>
  <c r="AD79" i="10"/>
  <c r="AC80" i="10"/>
  <c r="AD80" i="10"/>
  <c r="AC65" i="10"/>
  <c r="AD65" i="10"/>
  <c r="DF114" i="16"/>
  <c r="DG114" i="16"/>
  <c r="DH114" i="16"/>
  <c r="DI114" i="16"/>
  <c r="DJ114" i="16"/>
  <c r="DF115" i="16"/>
  <c r="DG115" i="16"/>
  <c r="DH115" i="16"/>
  <c r="DI115" i="16"/>
  <c r="DJ115" i="16"/>
  <c r="DF116" i="16"/>
  <c r="DG116" i="16"/>
  <c r="DH116" i="16"/>
  <c r="DI116" i="16"/>
  <c r="DJ116" i="16"/>
  <c r="DF117" i="16"/>
  <c r="DG117" i="16"/>
  <c r="DH117" i="16"/>
  <c r="DI117" i="16"/>
  <c r="DJ117" i="16"/>
  <c r="DF118" i="16"/>
  <c r="DG118" i="16"/>
  <c r="DH118" i="16"/>
  <c r="DI118" i="16"/>
  <c r="DJ118" i="16"/>
  <c r="DF119" i="16"/>
  <c r="DG119" i="16"/>
  <c r="DH119" i="16"/>
  <c r="DI119" i="16"/>
  <c r="DJ119" i="16"/>
  <c r="DF120" i="16"/>
  <c r="DG120" i="16"/>
  <c r="DH120" i="16"/>
  <c r="DI120" i="16"/>
  <c r="DJ120" i="16"/>
  <c r="DF121" i="16"/>
  <c r="DG121" i="16"/>
  <c r="DH121" i="16"/>
  <c r="DI121" i="16"/>
  <c r="DJ121" i="16"/>
  <c r="DF122" i="16"/>
  <c r="DG122" i="16"/>
  <c r="DH122" i="16"/>
  <c r="DI122" i="16"/>
  <c r="DJ122" i="16"/>
  <c r="DF123" i="16"/>
  <c r="DG123" i="16"/>
  <c r="DH123" i="16"/>
  <c r="DI123" i="16"/>
  <c r="DJ123" i="16"/>
  <c r="DF124" i="16"/>
  <c r="DG124" i="16"/>
  <c r="DH124" i="16"/>
  <c r="DI124" i="16"/>
  <c r="DJ124" i="16"/>
  <c r="DF125" i="16"/>
  <c r="DG125" i="16"/>
  <c r="DH125" i="16"/>
  <c r="DI125" i="16"/>
  <c r="DJ125" i="16"/>
  <c r="DF126" i="16"/>
  <c r="DG126" i="16"/>
  <c r="DH126" i="16"/>
  <c r="DI126" i="16"/>
  <c r="DJ126" i="16"/>
  <c r="DF127" i="16"/>
  <c r="DG127" i="16"/>
  <c r="DH127" i="16"/>
  <c r="DI127" i="16"/>
  <c r="DJ127" i="16"/>
  <c r="DF128" i="16"/>
  <c r="DG128" i="16"/>
  <c r="DH128" i="16"/>
  <c r="DI128" i="16"/>
  <c r="DJ128" i="16"/>
  <c r="DJ113" i="16"/>
  <c r="DI113" i="16"/>
  <c r="DH113" i="16"/>
  <c r="DG113" i="16"/>
  <c r="DF113" i="16"/>
  <c r="CH114" i="16"/>
  <c r="CI114" i="16"/>
  <c r="CJ114" i="16"/>
  <c r="CK114" i="16"/>
  <c r="CL114" i="16"/>
  <c r="CH115" i="16"/>
  <c r="CI115" i="16"/>
  <c r="CJ115" i="16"/>
  <c r="CK115" i="16"/>
  <c r="CL115" i="16"/>
  <c r="CH116" i="16"/>
  <c r="CI116" i="16"/>
  <c r="CJ116" i="16"/>
  <c r="CK116" i="16"/>
  <c r="CL116" i="16"/>
  <c r="CH117" i="16"/>
  <c r="CI117" i="16"/>
  <c r="CJ117" i="16"/>
  <c r="CK117" i="16"/>
  <c r="CL117" i="16"/>
  <c r="CH118" i="16"/>
  <c r="CI118" i="16"/>
  <c r="CJ118" i="16"/>
  <c r="CK118" i="16"/>
  <c r="CL118" i="16"/>
  <c r="CH119" i="16"/>
  <c r="CI119" i="16"/>
  <c r="CJ119" i="16"/>
  <c r="CK119" i="16"/>
  <c r="CL119" i="16"/>
  <c r="CH120" i="16"/>
  <c r="CI120" i="16"/>
  <c r="CJ120" i="16"/>
  <c r="CK120" i="16"/>
  <c r="CL120" i="16"/>
  <c r="CH121" i="16"/>
  <c r="CI121" i="16"/>
  <c r="CJ121" i="16"/>
  <c r="CK121" i="16"/>
  <c r="CL121" i="16"/>
  <c r="CH122" i="16"/>
  <c r="CI122" i="16"/>
  <c r="CJ122" i="16"/>
  <c r="CK122" i="16"/>
  <c r="CL122" i="16"/>
  <c r="CH123" i="16"/>
  <c r="CI123" i="16"/>
  <c r="CJ123" i="16"/>
  <c r="CK123" i="16"/>
  <c r="CL123" i="16"/>
  <c r="CH124" i="16"/>
  <c r="CI124" i="16"/>
  <c r="CJ124" i="16"/>
  <c r="CK124" i="16"/>
  <c r="CL124" i="16"/>
  <c r="CH125" i="16"/>
  <c r="CI125" i="16"/>
  <c r="CJ125" i="16"/>
  <c r="CK125" i="16"/>
  <c r="CL125" i="16"/>
  <c r="CH126" i="16"/>
  <c r="CI126" i="16"/>
  <c r="CJ126" i="16"/>
  <c r="CK126" i="16"/>
  <c r="CL126" i="16"/>
  <c r="CH127" i="16"/>
  <c r="CI127" i="16"/>
  <c r="CJ127" i="16"/>
  <c r="CK127" i="16"/>
  <c r="CL127" i="16"/>
  <c r="CH128" i="16"/>
  <c r="CI128" i="16"/>
  <c r="CJ128" i="16"/>
  <c r="CK128" i="16"/>
  <c r="CL128" i="16"/>
  <c r="CL113" i="16"/>
  <c r="CK113" i="16"/>
  <c r="CJ113" i="16"/>
  <c r="CI113" i="16"/>
  <c r="CH113" i="16"/>
  <c r="BJ114" i="16"/>
  <c r="BK114" i="16"/>
  <c r="BL114" i="16"/>
  <c r="BM114" i="16"/>
  <c r="BN114" i="16"/>
  <c r="BJ115" i="16"/>
  <c r="BK115" i="16"/>
  <c r="BL115" i="16"/>
  <c r="BM115" i="16"/>
  <c r="BN115" i="16"/>
  <c r="BJ116" i="16"/>
  <c r="BK116" i="16"/>
  <c r="BL116" i="16"/>
  <c r="BM116" i="16"/>
  <c r="BN116" i="16"/>
  <c r="BJ117" i="16"/>
  <c r="BK117" i="16"/>
  <c r="BL117" i="16"/>
  <c r="BM117" i="16"/>
  <c r="BN117" i="16"/>
  <c r="BJ118" i="16"/>
  <c r="BK118" i="16"/>
  <c r="BL118" i="16"/>
  <c r="BM118" i="16"/>
  <c r="BN118" i="16"/>
  <c r="BJ119" i="16"/>
  <c r="BK119" i="16"/>
  <c r="BL119" i="16"/>
  <c r="BM119" i="16"/>
  <c r="BN119" i="16"/>
  <c r="BJ120" i="16"/>
  <c r="BK120" i="16"/>
  <c r="BL120" i="16"/>
  <c r="BM120" i="16"/>
  <c r="BN120" i="16"/>
  <c r="BJ121" i="16"/>
  <c r="BK121" i="16"/>
  <c r="BL121" i="16"/>
  <c r="BM121" i="16"/>
  <c r="BN121" i="16"/>
  <c r="BJ122" i="16"/>
  <c r="BK122" i="16"/>
  <c r="BL122" i="16"/>
  <c r="BM122" i="16"/>
  <c r="BN122" i="16"/>
  <c r="BJ123" i="16"/>
  <c r="BK123" i="16"/>
  <c r="BL123" i="16"/>
  <c r="BM123" i="16"/>
  <c r="BN123" i="16"/>
  <c r="BJ124" i="16"/>
  <c r="BK124" i="16"/>
  <c r="BL124" i="16"/>
  <c r="BM124" i="16"/>
  <c r="BN124" i="16"/>
  <c r="BJ125" i="16"/>
  <c r="BK125" i="16"/>
  <c r="BL125" i="16"/>
  <c r="BM125" i="16"/>
  <c r="BN125" i="16"/>
  <c r="BJ126" i="16"/>
  <c r="BK126" i="16"/>
  <c r="BL126" i="16"/>
  <c r="BM126" i="16"/>
  <c r="BN126" i="16"/>
  <c r="BJ127" i="16"/>
  <c r="BK127" i="16"/>
  <c r="BL127" i="16"/>
  <c r="BM127" i="16"/>
  <c r="BN127" i="16"/>
  <c r="BJ128" i="16"/>
  <c r="BK128" i="16"/>
  <c r="BL128" i="16"/>
  <c r="BM128" i="16"/>
  <c r="BN128" i="16"/>
  <c r="BN113" i="16"/>
  <c r="BM113" i="16"/>
  <c r="BL113" i="16"/>
  <c r="BK113" i="16"/>
  <c r="BJ113" i="16"/>
  <c r="AL114" i="16"/>
  <c r="AM114" i="16"/>
  <c r="AN114" i="16"/>
  <c r="AO114" i="16"/>
  <c r="AP114" i="16"/>
  <c r="AL115" i="16"/>
  <c r="AM115" i="16"/>
  <c r="AN115" i="16"/>
  <c r="AO115" i="16"/>
  <c r="AP115" i="16"/>
  <c r="AL116" i="16"/>
  <c r="AM116" i="16"/>
  <c r="AN116" i="16"/>
  <c r="AO116" i="16"/>
  <c r="AP116" i="16"/>
  <c r="AL117" i="16"/>
  <c r="AM117" i="16"/>
  <c r="AN117" i="16"/>
  <c r="AO117" i="16"/>
  <c r="AP117" i="16"/>
  <c r="AL118" i="16"/>
  <c r="AM118" i="16"/>
  <c r="AN118" i="16"/>
  <c r="AO118" i="16"/>
  <c r="AP118" i="16"/>
  <c r="AL119" i="16"/>
  <c r="AM119" i="16"/>
  <c r="AN119" i="16"/>
  <c r="AO119" i="16"/>
  <c r="AP119" i="16"/>
  <c r="AL120" i="16"/>
  <c r="AM120" i="16"/>
  <c r="AN120" i="16"/>
  <c r="AO120" i="16"/>
  <c r="AP120" i="16"/>
  <c r="AL121" i="16"/>
  <c r="AM121" i="16"/>
  <c r="AN121" i="16"/>
  <c r="AO121" i="16"/>
  <c r="AP121" i="16"/>
  <c r="AL122" i="16"/>
  <c r="AM122" i="16"/>
  <c r="AN122" i="16"/>
  <c r="AO122" i="16"/>
  <c r="AP122" i="16"/>
  <c r="AL123" i="16"/>
  <c r="AM123" i="16"/>
  <c r="AN123" i="16"/>
  <c r="AO123" i="16"/>
  <c r="AP123" i="16"/>
  <c r="AL124" i="16"/>
  <c r="AM124" i="16"/>
  <c r="AN124" i="16"/>
  <c r="AO124" i="16"/>
  <c r="AP124" i="16"/>
  <c r="AL125" i="16"/>
  <c r="AM125" i="16"/>
  <c r="AN125" i="16"/>
  <c r="AO125" i="16"/>
  <c r="AP125" i="16"/>
  <c r="AL126" i="16"/>
  <c r="AM126" i="16"/>
  <c r="AN126" i="16"/>
  <c r="AO126" i="16"/>
  <c r="AP126" i="16"/>
  <c r="AL127" i="16"/>
  <c r="AM127" i="16"/>
  <c r="AN127" i="16"/>
  <c r="AO127" i="16"/>
  <c r="AP127" i="16"/>
  <c r="AL128" i="16"/>
  <c r="AM128" i="16"/>
  <c r="AN128" i="16"/>
  <c r="AO128" i="16"/>
  <c r="AP128" i="16"/>
  <c r="AP113" i="16"/>
  <c r="AO113" i="16"/>
  <c r="AN113" i="16"/>
  <c r="AM113" i="16"/>
  <c r="AL113" i="16"/>
  <c r="R128" i="16"/>
  <c r="Q128" i="16"/>
  <c r="P128" i="16"/>
  <c r="O128" i="16"/>
  <c r="N128" i="16"/>
  <c r="R127" i="16"/>
  <c r="Q127" i="16"/>
  <c r="P127" i="16"/>
  <c r="O127" i="16"/>
  <c r="N127" i="16"/>
  <c r="R126" i="16"/>
  <c r="Q126" i="16"/>
  <c r="P126" i="16"/>
  <c r="O126" i="16"/>
  <c r="N126" i="16"/>
  <c r="R125" i="16"/>
  <c r="Q125" i="16"/>
  <c r="P125" i="16"/>
  <c r="O125" i="16"/>
  <c r="N125" i="16"/>
  <c r="R124" i="16"/>
  <c r="Q124" i="16"/>
  <c r="P124" i="16"/>
  <c r="O124" i="16"/>
  <c r="N124" i="16"/>
  <c r="R123" i="16"/>
  <c r="Q123" i="16"/>
  <c r="P123" i="16"/>
  <c r="O123" i="16"/>
  <c r="N123" i="16"/>
  <c r="R122" i="16"/>
  <c r="Q122" i="16"/>
  <c r="P122" i="16"/>
  <c r="O122" i="16"/>
  <c r="N122" i="16"/>
  <c r="R121" i="16"/>
  <c r="Q121" i="16"/>
  <c r="P121" i="16"/>
  <c r="O121" i="16"/>
  <c r="N121" i="16"/>
  <c r="R120" i="16"/>
  <c r="Q120" i="16"/>
  <c r="P120" i="16"/>
  <c r="O120" i="16"/>
  <c r="N120" i="16"/>
  <c r="R119" i="16"/>
  <c r="Q119" i="16"/>
  <c r="P119" i="16"/>
  <c r="O119" i="16"/>
  <c r="N119" i="16"/>
  <c r="R118" i="16"/>
  <c r="Q118" i="16"/>
  <c r="P118" i="16"/>
  <c r="O118" i="16"/>
  <c r="N118" i="16"/>
  <c r="R117" i="16"/>
  <c r="Q117" i="16"/>
  <c r="P117" i="16"/>
  <c r="O117" i="16"/>
  <c r="N117" i="16"/>
  <c r="R116" i="16"/>
  <c r="Q116" i="16"/>
  <c r="P116" i="16"/>
  <c r="O116" i="16"/>
  <c r="N116" i="16"/>
  <c r="R115" i="16"/>
  <c r="Q115" i="16"/>
  <c r="P115" i="16"/>
  <c r="O115" i="16"/>
  <c r="N115" i="16"/>
  <c r="R114" i="16"/>
  <c r="Q114" i="16"/>
  <c r="P114" i="16"/>
  <c r="O114" i="16"/>
  <c r="N114" i="16"/>
  <c r="R113" i="16"/>
  <c r="Q113" i="16"/>
  <c r="P113" i="16"/>
  <c r="O113" i="16"/>
  <c r="N113" i="16"/>
  <c r="DJ128" i="15"/>
  <c r="DI128" i="15"/>
  <c r="DH128" i="15"/>
  <c r="DG128" i="15"/>
  <c r="DF128" i="15"/>
  <c r="DJ127" i="15"/>
  <c r="DI127" i="15"/>
  <c r="DH127" i="15"/>
  <c r="DG127" i="15"/>
  <c r="DF127" i="15"/>
  <c r="DJ126" i="15"/>
  <c r="DI126" i="15"/>
  <c r="DH126" i="15"/>
  <c r="DG126" i="15"/>
  <c r="DF126" i="15"/>
  <c r="DJ125" i="15"/>
  <c r="DI125" i="15"/>
  <c r="DH125" i="15"/>
  <c r="DG125" i="15"/>
  <c r="DF125" i="15"/>
  <c r="DJ124" i="15"/>
  <c r="DI124" i="15"/>
  <c r="DH124" i="15"/>
  <c r="DG124" i="15"/>
  <c r="DF124" i="15"/>
  <c r="DJ123" i="15"/>
  <c r="DI123" i="15"/>
  <c r="DH123" i="15"/>
  <c r="DG123" i="15"/>
  <c r="DF123" i="15"/>
  <c r="DJ122" i="15"/>
  <c r="DI122" i="15"/>
  <c r="DH122" i="15"/>
  <c r="DG122" i="15"/>
  <c r="DF122" i="15"/>
  <c r="DJ121" i="15"/>
  <c r="DI121" i="15"/>
  <c r="DH121" i="15"/>
  <c r="DG121" i="15"/>
  <c r="DF121" i="15"/>
  <c r="DJ120" i="15"/>
  <c r="DI120" i="15"/>
  <c r="DH120" i="15"/>
  <c r="DG120" i="15"/>
  <c r="DF120" i="15"/>
  <c r="DJ119" i="15"/>
  <c r="DI119" i="15"/>
  <c r="DH119" i="15"/>
  <c r="DG119" i="15"/>
  <c r="DF119" i="15"/>
  <c r="DJ118" i="15"/>
  <c r="DI118" i="15"/>
  <c r="DH118" i="15"/>
  <c r="DG118" i="15"/>
  <c r="DF118" i="15"/>
  <c r="DJ117" i="15"/>
  <c r="DI117" i="15"/>
  <c r="DH117" i="15"/>
  <c r="DG117" i="15"/>
  <c r="DF117" i="15"/>
  <c r="DJ116" i="15"/>
  <c r="DI116" i="15"/>
  <c r="DH116" i="15"/>
  <c r="DG116" i="15"/>
  <c r="DF116" i="15"/>
  <c r="DJ115" i="15"/>
  <c r="DI115" i="15"/>
  <c r="DH115" i="15"/>
  <c r="DG115" i="15"/>
  <c r="DF115" i="15"/>
  <c r="DJ114" i="15"/>
  <c r="DI114" i="15"/>
  <c r="DH114" i="15"/>
  <c r="DG114" i="15"/>
  <c r="DF114" i="15"/>
  <c r="DJ113" i="15"/>
  <c r="DI113" i="15"/>
  <c r="DH113" i="15"/>
  <c r="DG113" i="15"/>
  <c r="DF113" i="15"/>
  <c r="CL128" i="15"/>
  <c r="CK128" i="15"/>
  <c r="CJ128" i="15"/>
  <c r="CI128" i="15"/>
  <c r="CH128" i="15"/>
  <c r="CL127" i="15"/>
  <c r="CK127" i="15"/>
  <c r="CJ127" i="15"/>
  <c r="CI127" i="15"/>
  <c r="CH127" i="15"/>
  <c r="CL126" i="15"/>
  <c r="CK126" i="15"/>
  <c r="CJ126" i="15"/>
  <c r="CI126" i="15"/>
  <c r="CH126" i="15"/>
  <c r="CL125" i="15"/>
  <c r="CK125" i="15"/>
  <c r="CJ125" i="15"/>
  <c r="CI125" i="15"/>
  <c r="CH125" i="15"/>
  <c r="CL124" i="15"/>
  <c r="CK124" i="15"/>
  <c r="CJ124" i="15"/>
  <c r="CI124" i="15"/>
  <c r="CH124" i="15"/>
  <c r="CL123" i="15"/>
  <c r="CK123" i="15"/>
  <c r="CJ123" i="15"/>
  <c r="CI123" i="15"/>
  <c r="CH123" i="15"/>
  <c r="CL122" i="15"/>
  <c r="CK122" i="15"/>
  <c r="CJ122" i="15"/>
  <c r="CI122" i="15"/>
  <c r="CH122" i="15"/>
  <c r="CL121" i="15"/>
  <c r="CK121" i="15"/>
  <c r="CJ121" i="15"/>
  <c r="CI121" i="15"/>
  <c r="CH121" i="15"/>
  <c r="CL120" i="15"/>
  <c r="CK120" i="15"/>
  <c r="CJ120" i="15"/>
  <c r="CI120" i="15"/>
  <c r="CH120" i="15"/>
  <c r="CL119" i="15"/>
  <c r="CK119" i="15"/>
  <c r="CJ119" i="15"/>
  <c r="CI119" i="15"/>
  <c r="CH119" i="15"/>
  <c r="CL118" i="15"/>
  <c r="CK118" i="15"/>
  <c r="CJ118" i="15"/>
  <c r="CI118" i="15"/>
  <c r="CH118" i="15"/>
  <c r="CL117" i="15"/>
  <c r="CK117" i="15"/>
  <c r="CJ117" i="15"/>
  <c r="CI117" i="15"/>
  <c r="CH117" i="15"/>
  <c r="CL116" i="15"/>
  <c r="CK116" i="15"/>
  <c r="CJ116" i="15"/>
  <c r="CI116" i="15"/>
  <c r="CH116" i="15"/>
  <c r="CL115" i="15"/>
  <c r="CK115" i="15"/>
  <c r="CJ115" i="15"/>
  <c r="CI115" i="15"/>
  <c r="CH115" i="15"/>
  <c r="CL114" i="15"/>
  <c r="CK114" i="15"/>
  <c r="CJ114" i="15"/>
  <c r="CI114" i="15"/>
  <c r="CH114" i="15"/>
  <c r="CL113" i="15"/>
  <c r="CK113" i="15"/>
  <c r="CJ113" i="15"/>
  <c r="CI113" i="15"/>
  <c r="CH113" i="15"/>
  <c r="BN128" i="15"/>
  <c r="BM128" i="15"/>
  <c r="BL128" i="15"/>
  <c r="BK128" i="15"/>
  <c r="BJ128" i="15"/>
  <c r="BN127" i="15"/>
  <c r="BM127" i="15"/>
  <c r="BL127" i="15"/>
  <c r="BK127" i="15"/>
  <c r="BJ127" i="15"/>
  <c r="BN126" i="15"/>
  <c r="BM126" i="15"/>
  <c r="BL126" i="15"/>
  <c r="BK126" i="15"/>
  <c r="BJ126" i="15"/>
  <c r="BN125" i="15"/>
  <c r="BM125" i="15"/>
  <c r="BL125" i="15"/>
  <c r="BK125" i="15"/>
  <c r="BJ125" i="15"/>
  <c r="BN124" i="15"/>
  <c r="BM124" i="15"/>
  <c r="BL124" i="15"/>
  <c r="BK124" i="15"/>
  <c r="BJ124" i="15"/>
  <c r="BN123" i="15"/>
  <c r="BM123" i="15"/>
  <c r="BL123" i="15"/>
  <c r="BK123" i="15"/>
  <c r="BJ123" i="15"/>
  <c r="BN122" i="15"/>
  <c r="BM122" i="15"/>
  <c r="BL122" i="15"/>
  <c r="BK122" i="15"/>
  <c r="BJ122" i="15"/>
  <c r="BN121" i="15"/>
  <c r="BM121" i="15"/>
  <c r="BL121" i="15"/>
  <c r="BK121" i="15"/>
  <c r="BJ121" i="15"/>
  <c r="BN120" i="15"/>
  <c r="BM120" i="15"/>
  <c r="BL120" i="15"/>
  <c r="BK120" i="15"/>
  <c r="BJ120" i="15"/>
  <c r="BN119" i="15"/>
  <c r="BM119" i="15"/>
  <c r="BL119" i="15"/>
  <c r="BK119" i="15"/>
  <c r="BJ119" i="15"/>
  <c r="BN118" i="15"/>
  <c r="BM118" i="15"/>
  <c r="BL118" i="15"/>
  <c r="BK118" i="15"/>
  <c r="BJ118" i="15"/>
  <c r="BN117" i="15"/>
  <c r="BM117" i="15"/>
  <c r="BL117" i="15"/>
  <c r="BK117" i="15"/>
  <c r="BJ117" i="15"/>
  <c r="BN116" i="15"/>
  <c r="BM116" i="15"/>
  <c r="BL116" i="15"/>
  <c r="BK116" i="15"/>
  <c r="BJ116" i="15"/>
  <c r="BN115" i="15"/>
  <c r="BM115" i="15"/>
  <c r="BL115" i="15"/>
  <c r="BK115" i="15"/>
  <c r="BJ115" i="15"/>
  <c r="BN114" i="15"/>
  <c r="BM114" i="15"/>
  <c r="BL114" i="15"/>
  <c r="BK114" i="15"/>
  <c r="BJ114" i="15"/>
  <c r="BN113" i="15"/>
  <c r="BM113" i="15"/>
  <c r="BL113" i="15"/>
  <c r="BK113" i="15"/>
  <c r="BJ113" i="15"/>
  <c r="AP128" i="15"/>
  <c r="AO128" i="15"/>
  <c r="AN128" i="15"/>
  <c r="AM128" i="15"/>
  <c r="AL128" i="15"/>
  <c r="AP127" i="15"/>
  <c r="AO127" i="15"/>
  <c r="AN127" i="15"/>
  <c r="AM127" i="15"/>
  <c r="AL127" i="15"/>
  <c r="AP126" i="15"/>
  <c r="AO126" i="15"/>
  <c r="AN126" i="15"/>
  <c r="AM126" i="15"/>
  <c r="AL126" i="15"/>
  <c r="AP125" i="15"/>
  <c r="AO125" i="15"/>
  <c r="AN125" i="15"/>
  <c r="AM125" i="15"/>
  <c r="AL125" i="15"/>
  <c r="AP124" i="15"/>
  <c r="AO124" i="15"/>
  <c r="AN124" i="15"/>
  <c r="AM124" i="15"/>
  <c r="AL124" i="15"/>
  <c r="AP123" i="15"/>
  <c r="AO123" i="15"/>
  <c r="AN123" i="15"/>
  <c r="AM123" i="15"/>
  <c r="AL123" i="15"/>
  <c r="AP122" i="15"/>
  <c r="AO122" i="15"/>
  <c r="AN122" i="15"/>
  <c r="AM122" i="15"/>
  <c r="AL122" i="15"/>
  <c r="AP121" i="15"/>
  <c r="AO121" i="15"/>
  <c r="AN121" i="15"/>
  <c r="AM121" i="15"/>
  <c r="AL121" i="15"/>
  <c r="AP120" i="15"/>
  <c r="AO120" i="15"/>
  <c r="AN120" i="15"/>
  <c r="AM120" i="15"/>
  <c r="AL120" i="15"/>
  <c r="AP119" i="15"/>
  <c r="AO119" i="15"/>
  <c r="AN119" i="15"/>
  <c r="AM119" i="15"/>
  <c r="AL119" i="15"/>
  <c r="AP118" i="15"/>
  <c r="AO118" i="15"/>
  <c r="AN118" i="15"/>
  <c r="AM118" i="15"/>
  <c r="AL118" i="15"/>
  <c r="AP117" i="15"/>
  <c r="AO117" i="15"/>
  <c r="AN117" i="15"/>
  <c r="AM117" i="15"/>
  <c r="AL117" i="15"/>
  <c r="AP116" i="15"/>
  <c r="AO116" i="15"/>
  <c r="AN116" i="15"/>
  <c r="AM116" i="15"/>
  <c r="AL116" i="15"/>
  <c r="AP115" i="15"/>
  <c r="AO115" i="15"/>
  <c r="AN115" i="15"/>
  <c r="AM115" i="15"/>
  <c r="AL115" i="15"/>
  <c r="AP114" i="15"/>
  <c r="AO114" i="15"/>
  <c r="AN114" i="15"/>
  <c r="AM114" i="15"/>
  <c r="AL114" i="15"/>
  <c r="AP113" i="15"/>
  <c r="AO113" i="15"/>
  <c r="AN113" i="15"/>
  <c r="AM113" i="15"/>
  <c r="AL113" i="15"/>
  <c r="R128" i="15"/>
  <c r="Q128" i="15"/>
  <c r="P128" i="15"/>
  <c r="O128" i="15"/>
  <c r="N128" i="15"/>
  <c r="R127" i="15"/>
  <c r="Q127" i="15"/>
  <c r="P127" i="15"/>
  <c r="O127" i="15"/>
  <c r="N127" i="15"/>
  <c r="R126" i="15"/>
  <c r="Q126" i="15"/>
  <c r="P126" i="15"/>
  <c r="O126" i="15"/>
  <c r="N126" i="15"/>
  <c r="R125" i="15"/>
  <c r="Q125" i="15"/>
  <c r="P125" i="15"/>
  <c r="O125" i="15"/>
  <c r="N125" i="15"/>
  <c r="R124" i="15"/>
  <c r="Q124" i="15"/>
  <c r="P124" i="15"/>
  <c r="O124" i="15"/>
  <c r="N124" i="15"/>
  <c r="R123" i="15"/>
  <c r="Q123" i="15"/>
  <c r="P123" i="15"/>
  <c r="O123" i="15"/>
  <c r="N123" i="15"/>
  <c r="R122" i="15"/>
  <c r="Q122" i="15"/>
  <c r="P122" i="15"/>
  <c r="O122" i="15"/>
  <c r="N122" i="15"/>
  <c r="R121" i="15"/>
  <c r="Q121" i="15"/>
  <c r="P121" i="15"/>
  <c r="O121" i="15"/>
  <c r="N121" i="15"/>
  <c r="R120" i="15"/>
  <c r="Q120" i="15"/>
  <c r="P120" i="15"/>
  <c r="O120" i="15"/>
  <c r="N120" i="15"/>
  <c r="R119" i="15"/>
  <c r="Q119" i="15"/>
  <c r="P119" i="15"/>
  <c r="O119" i="15"/>
  <c r="N119" i="15"/>
  <c r="R118" i="15"/>
  <c r="Q118" i="15"/>
  <c r="P118" i="15"/>
  <c r="O118" i="15"/>
  <c r="N118" i="15"/>
  <c r="R117" i="15"/>
  <c r="Q117" i="15"/>
  <c r="P117" i="15"/>
  <c r="O117" i="15"/>
  <c r="N117" i="15"/>
  <c r="R116" i="15"/>
  <c r="Q116" i="15"/>
  <c r="P116" i="15"/>
  <c r="O116" i="15"/>
  <c r="N116" i="15"/>
  <c r="R115" i="15"/>
  <c r="Q115" i="15"/>
  <c r="P115" i="15"/>
  <c r="O115" i="15"/>
  <c r="N115" i="15"/>
  <c r="R114" i="15"/>
  <c r="Q114" i="15"/>
  <c r="P114" i="15"/>
  <c r="O114" i="15"/>
  <c r="N114" i="15"/>
  <c r="R113" i="15"/>
  <c r="Q113" i="15"/>
  <c r="P113" i="15"/>
  <c r="O113" i="15"/>
  <c r="N113" i="15"/>
  <c r="DJ128" i="14"/>
  <c r="DI128" i="14"/>
  <c r="DH128" i="14"/>
  <c r="DG128" i="14"/>
  <c r="DF128" i="14"/>
  <c r="DJ127" i="14"/>
  <c r="DI127" i="14"/>
  <c r="DH127" i="14"/>
  <c r="DG127" i="14"/>
  <c r="DF127" i="14"/>
  <c r="DJ126" i="14"/>
  <c r="DI126" i="14"/>
  <c r="DH126" i="14"/>
  <c r="DG126" i="14"/>
  <c r="DF126" i="14"/>
  <c r="DJ125" i="14"/>
  <c r="DI125" i="14"/>
  <c r="DH125" i="14"/>
  <c r="DG125" i="14"/>
  <c r="DF125" i="14"/>
  <c r="DJ124" i="14"/>
  <c r="DI124" i="14"/>
  <c r="DH124" i="14"/>
  <c r="DG124" i="14"/>
  <c r="DF124" i="14"/>
  <c r="DJ123" i="14"/>
  <c r="DI123" i="14"/>
  <c r="DH123" i="14"/>
  <c r="DG123" i="14"/>
  <c r="DF123" i="14"/>
  <c r="DJ122" i="14"/>
  <c r="DI122" i="14"/>
  <c r="DH122" i="14"/>
  <c r="DG122" i="14"/>
  <c r="DF122" i="14"/>
  <c r="DJ121" i="14"/>
  <c r="DI121" i="14"/>
  <c r="DH121" i="14"/>
  <c r="DG121" i="14"/>
  <c r="DF121" i="14"/>
  <c r="DJ120" i="14"/>
  <c r="DI120" i="14"/>
  <c r="DH120" i="14"/>
  <c r="DG120" i="14"/>
  <c r="DF120" i="14"/>
  <c r="DJ119" i="14"/>
  <c r="DI119" i="14"/>
  <c r="DH119" i="14"/>
  <c r="DG119" i="14"/>
  <c r="DF119" i="14"/>
  <c r="DJ118" i="14"/>
  <c r="DI118" i="14"/>
  <c r="DH118" i="14"/>
  <c r="DG118" i="14"/>
  <c r="DF118" i="14"/>
  <c r="DJ117" i="14"/>
  <c r="DI117" i="14"/>
  <c r="DH117" i="14"/>
  <c r="DG117" i="14"/>
  <c r="DF117" i="14"/>
  <c r="DJ116" i="14"/>
  <c r="DI116" i="14"/>
  <c r="DH116" i="14"/>
  <c r="DG116" i="14"/>
  <c r="DF116" i="14"/>
  <c r="DJ115" i="14"/>
  <c r="DI115" i="14"/>
  <c r="DH115" i="14"/>
  <c r="DG115" i="14"/>
  <c r="DF115" i="14"/>
  <c r="DJ114" i="14"/>
  <c r="DI114" i="14"/>
  <c r="DH114" i="14"/>
  <c r="DG114" i="14"/>
  <c r="DF114" i="14"/>
  <c r="DJ113" i="14"/>
  <c r="DI113" i="14"/>
  <c r="DH113" i="14"/>
  <c r="DG113" i="14"/>
  <c r="DF113" i="14"/>
  <c r="CL128" i="14"/>
  <c r="CK128" i="14"/>
  <c r="CJ128" i="14"/>
  <c r="CI128" i="14"/>
  <c r="CH128" i="14"/>
  <c r="CL127" i="14"/>
  <c r="CK127" i="14"/>
  <c r="CJ127" i="14"/>
  <c r="CI127" i="14"/>
  <c r="CH127" i="14"/>
  <c r="CL126" i="14"/>
  <c r="CK126" i="14"/>
  <c r="CJ126" i="14"/>
  <c r="CI126" i="14"/>
  <c r="CH126" i="14"/>
  <c r="CL125" i="14"/>
  <c r="CK125" i="14"/>
  <c r="CJ125" i="14"/>
  <c r="CI125" i="14"/>
  <c r="CH125" i="14"/>
  <c r="CL124" i="14"/>
  <c r="CK124" i="14"/>
  <c r="CJ124" i="14"/>
  <c r="CI124" i="14"/>
  <c r="CH124" i="14"/>
  <c r="CL123" i="14"/>
  <c r="CK123" i="14"/>
  <c r="CJ123" i="14"/>
  <c r="CI123" i="14"/>
  <c r="CH123" i="14"/>
  <c r="CL122" i="14"/>
  <c r="CK122" i="14"/>
  <c r="CJ122" i="14"/>
  <c r="CI122" i="14"/>
  <c r="CH122" i="14"/>
  <c r="CL121" i="14"/>
  <c r="CK121" i="14"/>
  <c r="CJ121" i="14"/>
  <c r="CI121" i="14"/>
  <c r="CH121" i="14"/>
  <c r="CL120" i="14"/>
  <c r="CK120" i="14"/>
  <c r="CJ120" i="14"/>
  <c r="CI120" i="14"/>
  <c r="CH120" i="14"/>
  <c r="CL119" i="14"/>
  <c r="CK119" i="14"/>
  <c r="CJ119" i="14"/>
  <c r="CI119" i="14"/>
  <c r="CH119" i="14"/>
  <c r="CL118" i="14"/>
  <c r="CK118" i="14"/>
  <c r="CJ118" i="14"/>
  <c r="CI118" i="14"/>
  <c r="CH118" i="14"/>
  <c r="CL117" i="14"/>
  <c r="CK117" i="14"/>
  <c r="CJ117" i="14"/>
  <c r="CI117" i="14"/>
  <c r="CH117" i="14"/>
  <c r="CL116" i="14"/>
  <c r="CK116" i="14"/>
  <c r="CJ116" i="14"/>
  <c r="CI116" i="14"/>
  <c r="CH116" i="14"/>
  <c r="CL115" i="14"/>
  <c r="CK115" i="14"/>
  <c r="CJ115" i="14"/>
  <c r="CI115" i="14"/>
  <c r="CH115" i="14"/>
  <c r="CL114" i="14"/>
  <c r="CK114" i="14"/>
  <c r="CJ114" i="14"/>
  <c r="CI114" i="14"/>
  <c r="CH114" i="14"/>
  <c r="CL113" i="14"/>
  <c r="CK113" i="14"/>
  <c r="CJ113" i="14"/>
  <c r="CI113" i="14"/>
  <c r="CH113" i="14"/>
  <c r="BN128" i="14"/>
  <c r="BM128" i="14"/>
  <c r="BL128" i="14"/>
  <c r="BK128" i="14"/>
  <c r="BJ128" i="14"/>
  <c r="BN127" i="14"/>
  <c r="BM127" i="14"/>
  <c r="BL127" i="14"/>
  <c r="BK127" i="14"/>
  <c r="BJ127" i="14"/>
  <c r="BN126" i="14"/>
  <c r="BM126" i="14"/>
  <c r="BL126" i="14"/>
  <c r="BK126" i="14"/>
  <c r="BJ126" i="14"/>
  <c r="BN125" i="14"/>
  <c r="BM125" i="14"/>
  <c r="BL125" i="14"/>
  <c r="BK125" i="14"/>
  <c r="BJ125" i="14"/>
  <c r="BN124" i="14"/>
  <c r="BM124" i="14"/>
  <c r="BL124" i="14"/>
  <c r="BK124" i="14"/>
  <c r="BJ124" i="14"/>
  <c r="BN123" i="14"/>
  <c r="BM123" i="14"/>
  <c r="BL123" i="14"/>
  <c r="BK123" i="14"/>
  <c r="BJ123" i="14"/>
  <c r="BN122" i="14"/>
  <c r="BM122" i="14"/>
  <c r="BL122" i="14"/>
  <c r="BK122" i="14"/>
  <c r="BJ122" i="14"/>
  <c r="BN121" i="14"/>
  <c r="BM121" i="14"/>
  <c r="BL121" i="14"/>
  <c r="BK121" i="14"/>
  <c r="BJ121" i="14"/>
  <c r="BN120" i="14"/>
  <c r="BM120" i="14"/>
  <c r="BL120" i="14"/>
  <c r="BK120" i="14"/>
  <c r="BJ120" i="14"/>
  <c r="BN119" i="14"/>
  <c r="BM119" i="14"/>
  <c r="BL119" i="14"/>
  <c r="BK119" i="14"/>
  <c r="BJ119" i="14"/>
  <c r="BN118" i="14"/>
  <c r="BM118" i="14"/>
  <c r="BL118" i="14"/>
  <c r="BK118" i="14"/>
  <c r="BJ118" i="14"/>
  <c r="BN117" i="14"/>
  <c r="BM117" i="14"/>
  <c r="BL117" i="14"/>
  <c r="BK117" i="14"/>
  <c r="BJ117" i="14"/>
  <c r="BN116" i="14"/>
  <c r="BM116" i="14"/>
  <c r="BL116" i="14"/>
  <c r="BK116" i="14"/>
  <c r="BJ116" i="14"/>
  <c r="BN115" i="14"/>
  <c r="BM115" i="14"/>
  <c r="BL115" i="14"/>
  <c r="BK115" i="14"/>
  <c r="BJ115" i="14"/>
  <c r="BN114" i="14"/>
  <c r="BM114" i="14"/>
  <c r="BL114" i="14"/>
  <c r="BK114" i="14"/>
  <c r="BJ114" i="14"/>
  <c r="BN113" i="14"/>
  <c r="BM113" i="14"/>
  <c r="BL113" i="14"/>
  <c r="BK113" i="14"/>
  <c r="BJ113" i="14"/>
  <c r="AP128" i="14"/>
  <c r="AO128" i="14"/>
  <c r="AN128" i="14"/>
  <c r="AM128" i="14"/>
  <c r="AL128" i="14"/>
  <c r="AP127" i="14"/>
  <c r="AO127" i="14"/>
  <c r="AN127" i="14"/>
  <c r="AM127" i="14"/>
  <c r="AL127" i="14"/>
  <c r="AP126" i="14"/>
  <c r="AO126" i="14"/>
  <c r="AN126" i="14"/>
  <c r="AM126" i="14"/>
  <c r="AL126" i="14"/>
  <c r="AP125" i="14"/>
  <c r="AO125" i="14"/>
  <c r="AN125" i="14"/>
  <c r="AM125" i="14"/>
  <c r="AL125" i="14"/>
  <c r="AP124" i="14"/>
  <c r="AO124" i="14"/>
  <c r="AN124" i="14"/>
  <c r="AM124" i="14"/>
  <c r="AL124" i="14"/>
  <c r="AP123" i="14"/>
  <c r="AO123" i="14"/>
  <c r="AN123" i="14"/>
  <c r="AM123" i="14"/>
  <c r="AL123" i="14"/>
  <c r="AP122" i="14"/>
  <c r="AO122" i="14"/>
  <c r="AN122" i="14"/>
  <c r="AM122" i="14"/>
  <c r="AL122" i="14"/>
  <c r="AP121" i="14"/>
  <c r="AO121" i="14"/>
  <c r="AN121" i="14"/>
  <c r="AM121" i="14"/>
  <c r="AL121" i="14"/>
  <c r="AP120" i="14"/>
  <c r="AO120" i="14"/>
  <c r="AN120" i="14"/>
  <c r="AM120" i="14"/>
  <c r="AL120" i="14"/>
  <c r="AP119" i="14"/>
  <c r="AO119" i="14"/>
  <c r="AN119" i="14"/>
  <c r="AM119" i="14"/>
  <c r="AL119" i="14"/>
  <c r="AP118" i="14"/>
  <c r="AO118" i="14"/>
  <c r="AN118" i="14"/>
  <c r="AM118" i="14"/>
  <c r="AL118" i="14"/>
  <c r="AP117" i="14"/>
  <c r="AO117" i="14"/>
  <c r="AN117" i="14"/>
  <c r="AM117" i="14"/>
  <c r="AL117" i="14"/>
  <c r="AP116" i="14"/>
  <c r="AO116" i="14"/>
  <c r="AN116" i="14"/>
  <c r="AM116" i="14"/>
  <c r="AL116" i="14"/>
  <c r="AP115" i="14"/>
  <c r="AO115" i="14"/>
  <c r="AN115" i="14"/>
  <c r="AM115" i="14"/>
  <c r="AL115" i="14"/>
  <c r="AP114" i="14"/>
  <c r="AO114" i="14"/>
  <c r="AN114" i="14"/>
  <c r="AM114" i="14"/>
  <c r="AL114" i="14"/>
  <c r="AP113" i="14"/>
  <c r="AO113" i="14"/>
  <c r="AN113" i="14"/>
  <c r="AM113" i="14"/>
  <c r="AL113" i="14"/>
  <c r="R128" i="14"/>
  <c r="Q128" i="14"/>
  <c r="P128" i="14"/>
  <c r="O128" i="14"/>
  <c r="N128" i="14"/>
  <c r="R127" i="14"/>
  <c r="Q127" i="14"/>
  <c r="P127" i="14"/>
  <c r="O127" i="14"/>
  <c r="N127" i="14"/>
  <c r="R126" i="14"/>
  <c r="Q126" i="14"/>
  <c r="P126" i="14"/>
  <c r="O126" i="14"/>
  <c r="N126" i="14"/>
  <c r="R125" i="14"/>
  <c r="Q125" i="14"/>
  <c r="P125" i="14"/>
  <c r="O125" i="14"/>
  <c r="N125" i="14"/>
  <c r="R124" i="14"/>
  <c r="Q124" i="14"/>
  <c r="P124" i="14"/>
  <c r="O124" i="14"/>
  <c r="N124" i="14"/>
  <c r="R123" i="14"/>
  <c r="Q123" i="14"/>
  <c r="P123" i="14"/>
  <c r="O123" i="14"/>
  <c r="N123" i="14"/>
  <c r="R122" i="14"/>
  <c r="Q122" i="14"/>
  <c r="P122" i="14"/>
  <c r="O122" i="14"/>
  <c r="N122" i="14"/>
  <c r="R121" i="14"/>
  <c r="Q121" i="14"/>
  <c r="P121" i="14"/>
  <c r="O121" i="14"/>
  <c r="N121" i="14"/>
  <c r="R120" i="14"/>
  <c r="Q120" i="14"/>
  <c r="P120" i="14"/>
  <c r="O120" i="14"/>
  <c r="N120" i="14"/>
  <c r="R119" i="14"/>
  <c r="Q119" i="14"/>
  <c r="P119" i="14"/>
  <c r="O119" i="14"/>
  <c r="N119" i="14"/>
  <c r="R118" i="14"/>
  <c r="Q118" i="14"/>
  <c r="P118" i="14"/>
  <c r="O118" i="14"/>
  <c r="N118" i="14"/>
  <c r="R117" i="14"/>
  <c r="Q117" i="14"/>
  <c r="P117" i="14"/>
  <c r="O117" i="14"/>
  <c r="N117" i="14"/>
  <c r="R116" i="14"/>
  <c r="Q116" i="14"/>
  <c r="P116" i="14"/>
  <c r="O116" i="14"/>
  <c r="N116" i="14"/>
  <c r="R115" i="14"/>
  <c r="Q115" i="14"/>
  <c r="P115" i="14"/>
  <c r="O115" i="14"/>
  <c r="N115" i="14"/>
  <c r="R114" i="14"/>
  <c r="Q114" i="14"/>
  <c r="P114" i="14"/>
  <c r="O114" i="14"/>
  <c r="N114" i="14"/>
  <c r="R113" i="14"/>
  <c r="Q113" i="14"/>
  <c r="P113" i="14"/>
  <c r="O113" i="14"/>
  <c r="N113" i="14"/>
  <c r="DJ128" i="13"/>
  <c r="DI128" i="13"/>
  <c r="DH128" i="13"/>
  <c r="DG128" i="13"/>
  <c r="DF128" i="13"/>
  <c r="DJ127" i="13"/>
  <c r="DI127" i="13"/>
  <c r="DH127" i="13"/>
  <c r="DG127" i="13"/>
  <c r="DF127" i="13"/>
  <c r="DJ126" i="13"/>
  <c r="DI126" i="13"/>
  <c r="DH126" i="13"/>
  <c r="DG126" i="13"/>
  <c r="DF126" i="13"/>
  <c r="DJ125" i="13"/>
  <c r="DI125" i="13"/>
  <c r="DH125" i="13"/>
  <c r="DG125" i="13"/>
  <c r="DF125" i="13"/>
  <c r="DJ124" i="13"/>
  <c r="DI124" i="13"/>
  <c r="DH124" i="13"/>
  <c r="DG124" i="13"/>
  <c r="DF124" i="13"/>
  <c r="DJ123" i="13"/>
  <c r="DI123" i="13"/>
  <c r="DH123" i="13"/>
  <c r="DG123" i="13"/>
  <c r="DF123" i="13"/>
  <c r="DJ122" i="13"/>
  <c r="DI122" i="13"/>
  <c r="DH122" i="13"/>
  <c r="DG122" i="13"/>
  <c r="DF122" i="13"/>
  <c r="DJ121" i="13"/>
  <c r="DI121" i="13"/>
  <c r="DH121" i="13"/>
  <c r="DG121" i="13"/>
  <c r="DF121" i="13"/>
  <c r="DJ120" i="13"/>
  <c r="DI120" i="13"/>
  <c r="DH120" i="13"/>
  <c r="DG120" i="13"/>
  <c r="DF120" i="13"/>
  <c r="DJ119" i="13"/>
  <c r="DI119" i="13"/>
  <c r="DH119" i="13"/>
  <c r="DG119" i="13"/>
  <c r="DF119" i="13"/>
  <c r="DJ118" i="13"/>
  <c r="DI118" i="13"/>
  <c r="DH118" i="13"/>
  <c r="DG118" i="13"/>
  <c r="DF118" i="13"/>
  <c r="DJ117" i="13"/>
  <c r="DI117" i="13"/>
  <c r="DH117" i="13"/>
  <c r="DG117" i="13"/>
  <c r="DF117" i="13"/>
  <c r="DJ116" i="13"/>
  <c r="DI116" i="13"/>
  <c r="DH116" i="13"/>
  <c r="DG116" i="13"/>
  <c r="DF116" i="13"/>
  <c r="DJ115" i="13"/>
  <c r="DI115" i="13"/>
  <c r="DH115" i="13"/>
  <c r="DG115" i="13"/>
  <c r="DF115" i="13"/>
  <c r="DJ114" i="13"/>
  <c r="DI114" i="13"/>
  <c r="DH114" i="13"/>
  <c r="DG114" i="13"/>
  <c r="DF114" i="13"/>
  <c r="DJ113" i="13"/>
  <c r="DI113" i="13"/>
  <c r="DH113" i="13"/>
  <c r="DG113" i="13"/>
  <c r="DF113" i="13"/>
  <c r="CL128" i="13"/>
  <c r="CK128" i="13"/>
  <c r="CJ128" i="13"/>
  <c r="CI128" i="13"/>
  <c r="CH128" i="13"/>
  <c r="CL127" i="13"/>
  <c r="CK127" i="13"/>
  <c r="CJ127" i="13"/>
  <c r="CI127" i="13"/>
  <c r="CH127" i="13"/>
  <c r="CL126" i="13"/>
  <c r="CK126" i="13"/>
  <c r="CJ126" i="13"/>
  <c r="CI126" i="13"/>
  <c r="CH126" i="13"/>
  <c r="CL125" i="13"/>
  <c r="CK125" i="13"/>
  <c r="CJ125" i="13"/>
  <c r="CI125" i="13"/>
  <c r="CH125" i="13"/>
  <c r="CL124" i="13"/>
  <c r="CK124" i="13"/>
  <c r="CJ124" i="13"/>
  <c r="CI124" i="13"/>
  <c r="CH124" i="13"/>
  <c r="CL123" i="13"/>
  <c r="CK123" i="13"/>
  <c r="CJ123" i="13"/>
  <c r="CI123" i="13"/>
  <c r="CH123" i="13"/>
  <c r="CL122" i="13"/>
  <c r="CK122" i="13"/>
  <c r="CJ122" i="13"/>
  <c r="CI122" i="13"/>
  <c r="CH122" i="13"/>
  <c r="CL121" i="13"/>
  <c r="CK121" i="13"/>
  <c r="CJ121" i="13"/>
  <c r="CI121" i="13"/>
  <c r="CH121" i="13"/>
  <c r="CL120" i="13"/>
  <c r="CK120" i="13"/>
  <c r="CJ120" i="13"/>
  <c r="CI120" i="13"/>
  <c r="CH120" i="13"/>
  <c r="CL119" i="13"/>
  <c r="CK119" i="13"/>
  <c r="CJ119" i="13"/>
  <c r="CI119" i="13"/>
  <c r="CH119" i="13"/>
  <c r="CL118" i="13"/>
  <c r="CK118" i="13"/>
  <c r="CJ118" i="13"/>
  <c r="CI118" i="13"/>
  <c r="CH118" i="13"/>
  <c r="CL117" i="13"/>
  <c r="CK117" i="13"/>
  <c r="CJ117" i="13"/>
  <c r="CI117" i="13"/>
  <c r="CH117" i="13"/>
  <c r="CL116" i="13"/>
  <c r="CK116" i="13"/>
  <c r="CJ116" i="13"/>
  <c r="CI116" i="13"/>
  <c r="CH116" i="13"/>
  <c r="CL115" i="13"/>
  <c r="CK115" i="13"/>
  <c r="CJ115" i="13"/>
  <c r="CI115" i="13"/>
  <c r="CH115" i="13"/>
  <c r="CL114" i="13"/>
  <c r="CK114" i="13"/>
  <c r="CJ114" i="13"/>
  <c r="CI114" i="13"/>
  <c r="CH114" i="13"/>
  <c r="CL113" i="13"/>
  <c r="CK113" i="13"/>
  <c r="CJ113" i="13"/>
  <c r="CI113" i="13"/>
  <c r="CH113" i="13"/>
  <c r="BN128" i="13"/>
  <c r="BM128" i="13"/>
  <c r="BL128" i="13"/>
  <c r="BK128" i="13"/>
  <c r="BJ128" i="13"/>
  <c r="BN127" i="13"/>
  <c r="BM127" i="13"/>
  <c r="BL127" i="13"/>
  <c r="BK127" i="13"/>
  <c r="BJ127" i="13"/>
  <c r="BN126" i="13"/>
  <c r="BM126" i="13"/>
  <c r="BL126" i="13"/>
  <c r="BK126" i="13"/>
  <c r="BJ126" i="13"/>
  <c r="BN125" i="13"/>
  <c r="BM125" i="13"/>
  <c r="BL125" i="13"/>
  <c r="BK125" i="13"/>
  <c r="BJ125" i="13"/>
  <c r="BN124" i="13"/>
  <c r="BM124" i="13"/>
  <c r="BL124" i="13"/>
  <c r="BK124" i="13"/>
  <c r="BJ124" i="13"/>
  <c r="BN123" i="13"/>
  <c r="BM123" i="13"/>
  <c r="BL123" i="13"/>
  <c r="BK123" i="13"/>
  <c r="BJ123" i="13"/>
  <c r="BN122" i="13"/>
  <c r="BM122" i="13"/>
  <c r="BL122" i="13"/>
  <c r="BK122" i="13"/>
  <c r="BJ122" i="13"/>
  <c r="BN121" i="13"/>
  <c r="BM121" i="13"/>
  <c r="BL121" i="13"/>
  <c r="BK121" i="13"/>
  <c r="BJ121" i="13"/>
  <c r="BN120" i="13"/>
  <c r="BM120" i="13"/>
  <c r="BL120" i="13"/>
  <c r="BK120" i="13"/>
  <c r="BJ120" i="13"/>
  <c r="BN119" i="13"/>
  <c r="BM119" i="13"/>
  <c r="BL119" i="13"/>
  <c r="BK119" i="13"/>
  <c r="BJ119" i="13"/>
  <c r="BN118" i="13"/>
  <c r="BM118" i="13"/>
  <c r="BL118" i="13"/>
  <c r="BK118" i="13"/>
  <c r="BJ118" i="13"/>
  <c r="BN117" i="13"/>
  <c r="BM117" i="13"/>
  <c r="BL117" i="13"/>
  <c r="BK117" i="13"/>
  <c r="BJ117" i="13"/>
  <c r="BN116" i="13"/>
  <c r="BM116" i="13"/>
  <c r="BL116" i="13"/>
  <c r="BK116" i="13"/>
  <c r="BJ116" i="13"/>
  <c r="BN115" i="13"/>
  <c r="BM115" i="13"/>
  <c r="BL115" i="13"/>
  <c r="BK115" i="13"/>
  <c r="BJ115" i="13"/>
  <c r="BN114" i="13"/>
  <c r="BM114" i="13"/>
  <c r="BL114" i="13"/>
  <c r="BK114" i="13"/>
  <c r="BJ114" i="13"/>
  <c r="BN113" i="13"/>
  <c r="BM113" i="13"/>
  <c r="BL113" i="13"/>
  <c r="BK113" i="13"/>
  <c r="BJ113" i="13"/>
  <c r="AP128" i="13"/>
  <c r="AO128" i="13"/>
  <c r="AN128" i="13"/>
  <c r="AM128" i="13"/>
  <c r="AL128" i="13"/>
  <c r="AP127" i="13"/>
  <c r="AO127" i="13"/>
  <c r="AN127" i="13"/>
  <c r="AM127" i="13"/>
  <c r="AL127" i="13"/>
  <c r="AP126" i="13"/>
  <c r="AO126" i="13"/>
  <c r="AN126" i="13"/>
  <c r="AM126" i="13"/>
  <c r="AL126" i="13"/>
  <c r="AP125" i="13"/>
  <c r="AO125" i="13"/>
  <c r="AN125" i="13"/>
  <c r="AM125" i="13"/>
  <c r="AL125" i="13"/>
  <c r="AP124" i="13"/>
  <c r="AO124" i="13"/>
  <c r="AN124" i="13"/>
  <c r="AM124" i="13"/>
  <c r="AL124" i="13"/>
  <c r="AP123" i="13"/>
  <c r="AO123" i="13"/>
  <c r="AN123" i="13"/>
  <c r="AM123" i="13"/>
  <c r="AL123" i="13"/>
  <c r="AP122" i="13"/>
  <c r="AO122" i="13"/>
  <c r="AN122" i="13"/>
  <c r="AM122" i="13"/>
  <c r="AL122" i="13"/>
  <c r="AP121" i="13"/>
  <c r="AO121" i="13"/>
  <c r="AN121" i="13"/>
  <c r="AM121" i="13"/>
  <c r="AL121" i="13"/>
  <c r="AP120" i="13"/>
  <c r="AO120" i="13"/>
  <c r="AN120" i="13"/>
  <c r="AM120" i="13"/>
  <c r="AL120" i="13"/>
  <c r="AP119" i="13"/>
  <c r="AO119" i="13"/>
  <c r="AN119" i="13"/>
  <c r="AM119" i="13"/>
  <c r="AL119" i="13"/>
  <c r="AP118" i="13"/>
  <c r="AO118" i="13"/>
  <c r="AN118" i="13"/>
  <c r="AM118" i="13"/>
  <c r="AL118" i="13"/>
  <c r="AP117" i="13"/>
  <c r="AO117" i="13"/>
  <c r="AN117" i="13"/>
  <c r="AM117" i="13"/>
  <c r="AL117" i="13"/>
  <c r="AP116" i="13"/>
  <c r="AO116" i="13"/>
  <c r="AN116" i="13"/>
  <c r="AM116" i="13"/>
  <c r="AL116" i="13"/>
  <c r="AP115" i="13"/>
  <c r="AO115" i="13"/>
  <c r="AN115" i="13"/>
  <c r="AM115" i="13"/>
  <c r="AL115" i="13"/>
  <c r="AP114" i="13"/>
  <c r="AO114" i="13"/>
  <c r="AN114" i="13"/>
  <c r="AM114" i="13"/>
  <c r="AL114" i="13"/>
  <c r="AP113" i="13"/>
  <c r="AO113" i="13"/>
  <c r="AN113" i="13"/>
  <c r="AM113" i="13"/>
  <c r="AL113" i="13"/>
  <c r="R128" i="13"/>
  <c r="N128" i="13"/>
  <c r="O128" i="13"/>
  <c r="P128" i="13"/>
  <c r="Q128" i="13"/>
  <c r="N114" i="13"/>
  <c r="O114" i="13"/>
  <c r="P114" i="13"/>
  <c r="Q114" i="13"/>
  <c r="R114" i="13"/>
  <c r="N115" i="13"/>
  <c r="O115" i="13"/>
  <c r="P115" i="13"/>
  <c r="Q115" i="13"/>
  <c r="R115" i="13"/>
  <c r="N116" i="13"/>
  <c r="O116" i="13"/>
  <c r="P116" i="13"/>
  <c r="Q116" i="13"/>
  <c r="R116" i="13"/>
  <c r="N117" i="13"/>
  <c r="O117" i="13"/>
  <c r="P117" i="13"/>
  <c r="Q117" i="13"/>
  <c r="R117" i="13"/>
  <c r="N118" i="13"/>
  <c r="O118" i="13"/>
  <c r="P118" i="13"/>
  <c r="Q118" i="13"/>
  <c r="R118" i="13"/>
  <c r="N119" i="13"/>
  <c r="O119" i="13"/>
  <c r="P119" i="13"/>
  <c r="Q119" i="13"/>
  <c r="R119" i="13"/>
  <c r="N120" i="13"/>
  <c r="O120" i="13"/>
  <c r="P120" i="13"/>
  <c r="Q120" i="13"/>
  <c r="R120" i="13"/>
  <c r="N121" i="13"/>
  <c r="O121" i="13"/>
  <c r="P121" i="13"/>
  <c r="Q121" i="13"/>
  <c r="R121" i="13"/>
  <c r="N122" i="13"/>
  <c r="O122" i="13"/>
  <c r="P122" i="13"/>
  <c r="Q122" i="13"/>
  <c r="R122" i="13"/>
  <c r="N123" i="13"/>
  <c r="O123" i="13"/>
  <c r="P123" i="13"/>
  <c r="Q123" i="13"/>
  <c r="R123" i="13"/>
  <c r="N124" i="13"/>
  <c r="O124" i="13"/>
  <c r="P124" i="13"/>
  <c r="Q124" i="13"/>
  <c r="R124" i="13"/>
  <c r="N125" i="13"/>
  <c r="O125" i="13"/>
  <c r="P125" i="13"/>
  <c r="Q125" i="13"/>
  <c r="R125" i="13"/>
  <c r="N126" i="13"/>
  <c r="O126" i="13"/>
  <c r="P126" i="13"/>
  <c r="Q126" i="13"/>
  <c r="R126" i="13"/>
  <c r="N127" i="13"/>
  <c r="O127" i="13"/>
  <c r="P127" i="13"/>
  <c r="Q127" i="13"/>
  <c r="R127" i="13"/>
  <c r="R113" i="13"/>
  <c r="Q113" i="13"/>
  <c r="P113" i="13"/>
  <c r="O113" i="13"/>
  <c r="N113" i="13"/>
  <c r="AC40" i="10"/>
  <c r="AD40" i="10"/>
  <c r="AC41" i="10"/>
  <c r="AD41" i="10"/>
  <c r="AC42" i="10"/>
  <c r="AD42" i="10"/>
  <c r="AC43" i="10"/>
  <c r="AD43" i="10"/>
  <c r="AC44" i="10"/>
  <c r="AD44" i="10"/>
  <c r="AC45" i="10"/>
  <c r="AD45" i="10"/>
  <c r="AC46" i="10"/>
  <c r="AD46" i="10"/>
  <c r="AC47" i="10"/>
  <c r="AD47" i="10"/>
  <c r="AC48" i="10"/>
  <c r="AD48" i="10"/>
  <c r="AC49" i="10"/>
  <c r="AD49" i="10"/>
  <c r="AC50" i="10"/>
  <c r="AD50" i="10"/>
  <c r="AC51" i="10"/>
  <c r="AD51" i="10"/>
  <c r="AC52" i="10"/>
  <c r="AD52" i="10"/>
  <c r="AC53" i="10"/>
  <c r="AD53" i="10"/>
  <c r="AC54" i="10"/>
  <c r="AD54" i="10"/>
  <c r="AC39" i="10"/>
  <c r="AD39" i="10"/>
  <c r="DF89" i="16"/>
  <c r="DG89" i="16"/>
  <c r="DH89" i="16"/>
  <c r="DI89" i="16"/>
  <c r="DJ89" i="16"/>
  <c r="DF90" i="16"/>
  <c r="DG90" i="16"/>
  <c r="DH90" i="16"/>
  <c r="DI90" i="16"/>
  <c r="DJ90" i="16"/>
  <c r="DF91" i="16"/>
  <c r="DG91" i="16"/>
  <c r="DH91" i="16"/>
  <c r="DI91" i="16"/>
  <c r="DJ91" i="16"/>
  <c r="DF92" i="16"/>
  <c r="DG92" i="16"/>
  <c r="DH92" i="16"/>
  <c r="DI92" i="16"/>
  <c r="DJ92" i="16"/>
  <c r="DF93" i="16"/>
  <c r="DG93" i="16"/>
  <c r="DH93" i="16"/>
  <c r="DI93" i="16"/>
  <c r="DJ93" i="16"/>
  <c r="DF94" i="16"/>
  <c r="DG94" i="16"/>
  <c r="DH94" i="16"/>
  <c r="DI94" i="16"/>
  <c r="DJ94" i="16"/>
  <c r="DF95" i="16"/>
  <c r="DG95" i="16"/>
  <c r="DH95" i="16"/>
  <c r="DI95" i="16"/>
  <c r="DJ95" i="16"/>
  <c r="DF96" i="16"/>
  <c r="DG96" i="16"/>
  <c r="DH96" i="16"/>
  <c r="DI96" i="16"/>
  <c r="DJ96" i="16"/>
  <c r="DF97" i="16"/>
  <c r="DG97" i="16"/>
  <c r="DH97" i="16"/>
  <c r="DI97" i="16"/>
  <c r="DJ97" i="16"/>
  <c r="DF98" i="16"/>
  <c r="DG98" i="16"/>
  <c r="DH98" i="16"/>
  <c r="DI98" i="16"/>
  <c r="DJ98" i="16"/>
  <c r="DF99" i="16"/>
  <c r="DG99" i="16"/>
  <c r="DH99" i="16"/>
  <c r="DI99" i="16"/>
  <c r="DJ99" i="16"/>
  <c r="DF100" i="16"/>
  <c r="DG100" i="16"/>
  <c r="DH100" i="16"/>
  <c r="DI100" i="16"/>
  <c r="DJ100" i="16"/>
  <c r="DF101" i="16"/>
  <c r="DG101" i="16"/>
  <c r="DH101" i="16"/>
  <c r="DI101" i="16"/>
  <c r="DJ101" i="16"/>
  <c r="DF102" i="16"/>
  <c r="DG102" i="16"/>
  <c r="DH102" i="16"/>
  <c r="DI102" i="16"/>
  <c r="DJ102" i="16"/>
  <c r="DF103" i="16"/>
  <c r="DG103" i="16"/>
  <c r="DH103" i="16"/>
  <c r="DI103" i="16"/>
  <c r="DJ103" i="16"/>
  <c r="DJ88" i="16"/>
  <c r="DI88" i="16"/>
  <c r="DH88" i="16"/>
  <c r="DG88" i="16"/>
  <c r="DF88" i="16"/>
  <c r="CH89" i="16"/>
  <c r="CI89" i="16"/>
  <c r="CJ89" i="16"/>
  <c r="CK89" i="16"/>
  <c r="CL89" i="16"/>
  <c r="CH90" i="16"/>
  <c r="CI90" i="16"/>
  <c r="CJ90" i="16"/>
  <c r="CK90" i="16"/>
  <c r="CL90" i="16"/>
  <c r="CH91" i="16"/>
  <c r="CI91" i="16"/>
  <c r="CJ91" i="16"/>
  <c r="CK91" i="16"/>
  <c r="CL91" i="16"/>
  <c r="CH92" i="16"/>
  <c r="CI92" i="16"/>
  <c r="CJ92" i="16"/>
  <c r="CK92" i="16"/>
  <c r="CL92" i="16"/>
  <c r="CH93" i="16"/>
  <c r="CI93" i="16"/>
  <c r="CJ93" i="16"/>
  <c r="CK93" i="16"/>
  <c r="CL93" i="16"/>
  <c r="CH94" i="16"/>
  <c r="CI94" i="16"/>
  <c r="CJ94" i="16"/>
  <c r="CK94" i="16"/>
  <c r="CL94" i="16"/>
  <c r="CH95" i="16"/>
  <c r="CI95" i="16"/>
  <c r="CJ95" i="16"/>
  <c r="CK95" i="16"/>
  <c r="CL95" i="16"/>
  <c r="CH96" i="16"/>
  <c r="CI96" i="16"/>
  <c r="CJ96" i="16"/>
  <c r="CK96" i="16"/>
  <c r="CL96" i="16"/>
  <c r="CH97" i="16"/>
  <c r="CI97" i="16"/>
  <c r="CJ97" i="16"/>
  <c r="CK97" i="16"/>
  <c r="CL97" i="16"/>
  <c r="CH98" i="16"/>
  <c r="CI98" i="16"/>
  <c r="CJ98" i="16"/>
  <c r="CK98" i="16"/>
  <c r="CL98" i="16"/>
  <c r="CH99" i="16"/>
  <c r="CI99" i="16"/>
  <c r="CJ99" i="16"/>
  <c r="CK99" i="16"/>
  <c r="CL99" i="16"/>
  <c r="CH100" i="16"/>
  <c r="CI100" i="16"/>
  <c r="CJ100" i="16"/>
  <c r="CK100" i="16"/>
  <c r="CL100" i="16"/>
  <c r="CH101" i="16"/>
  <c r="CI101" i="16"/>
  <c r="CJ101" i="16"/>
  <c r="CK101" i="16"/>
  <c r="CL101" i="16"/>
  <c r="CH102" i="16"/>
  <c r="CI102" i="16"/>
  <c r="CJ102" i="16"/>
  <c r="CK102" i="16"/>
  <c r="CL102" i="16"/>
  <c r="CH103" i="16"/>
  <c r="CI103" i="16"/>
  <c r="CJ103" i="16"/>
  <c r="CK103" i="16"/>
  <c r="CL103" i="16"/>
  <c r="CL88" i="16"/>
  <c r="CK88" i="16"/>
  <c r="CJ88" i="16"/>
  <c r="CI88" i="16"/>
  <c r="CH88" i="16"/>
  <c r="BJ89" i="16"/>
  <c r="BK89" i="16"/>
  <c r="BL89" i="16"/>
  <c r="BM89" i="16"/>
  <c r="BN89" i="16"/>
  <c r="BJ90" i="16"/>
  <c r="BK90" i="16"/>
  <c r="BL90" i="16"/>
  <c r="BM90" i="16"/>
  <c r="BN90" i="16"/>
  <c r="BJ91" i="16"/>
  <c r="BK91" i="16"/>
  <c r="BL91" i="16"/>
  <c r="BM91" i="16"/>
  <c r="BN91" i="16"/>
  <c r="BJ92" i="16"/>
  <c r="BK92" i="16"/>
  <c r="BL92" i="16"/>
  <c r="BM92" i="16"/>
  <c r="BN92" i="16"/>
  <c r="BJ93" i="16"/>
  <c r="BK93" i="16"/>
  <c r="BL93" i="16"/>
  <c r="BM93" i="16"/>
  <c r="BN93" i="16"/>
  <c r="BJ94" i="16"/>
  <c r="BK94" i="16"/>
  <c r="BL94" i="16"/>
  <c r="BM94" i="16"/>
  <c r="BN94" i="16"/>
  <c r="BJ95" i="16"/>
  <c r="BK95" i="16"/>
  <c r="BL95" i="16"/>
  <c r="BM95" i="16"/>
  <c r="BN95" i="16"/>
  <c r="BJ96" i="16"/>
  <c r="BK96" i="16"/>
  <c r="BL96" i="16"/>
  <c r="BM96" i="16"/>
  <c r="BN96" i="16"/>
  <c r="BJ97" i="16"/>
  <c r="BK97" i="16"/>
  <c r="BL97" i="16"/>
  <c r="BM97" i="16"/>
  <c r="BN97" i="16"/>
  <c r="BJ98" i="16"/>
  <c r="BK98" i="16"/>
  <c r="BL98" i="16"/>
  <c r="BM98" i="16"/>
  <c r="BN98" i="16"/>
  <c r="BJ99" i="16"/>
  <c r="BK99" i="16"/>
  <c r="BL99" i="16"/>
  <c r="BM99" i="16"/>
  <c r="BN99" i="16"/>
  <c r="BJ100" i="16"/>
  <c r="BK100" i="16"/>
  <c r="BL100" i="16"/>
  <c r="BM100" i="16"/>
  <c r="BN100" i="16"/>
  <c r="BJ101" i="16"/>
  <c r="BK101" i="16"/>
  <c r="BL101" i="16"/>
  <c r="BM101" i="16"/>
  <c r="BN101" i="16"/>
  <c r="BJ102" i="16"/>
  <c r="BK102" i="16"/>
  <c r="BL102" i="16"/>
  <c r="BM102" i="16"/>
  <c r="BN102" i="16"/>
  <c r="BJ103" i="16"/>
  <c r="BK103" i="16"/>
  <c r="BL103" i="16"/>
  <c r="BM103" i="16"/>
  <c r="BN103" i="16"/>
  <c r="BN88" i="16"/>
  <c r="BM88" i="16"/>
  <c r="BL88" i="16"/>
  <c r="BK88" i="16"/>
  <c r="BJ88" i="16"/>
  <c r="AP103" i="16"/>
  <c r="AL89" i="16"/>
  <c r="AM89" i="16"/>
  <c r="AN89" i="16"/>
  <c r="AO89" i="16"/>
  <c r="AP89" i="16"/>
  <c r="AL90" i="16"/>
  <c r="AM90" i="16"/>
  <c r="AN90" i="16"/>
  <c r="AO90" i="16"/>
  <c r="AP90" i="16"/>
  <c r="AL91" i="16"/>
  <c r="AM91" i="16"/>
  <c r="AN91" i="16"/>
  <c r="AO91" i="16"/>
  <c r="AP91" i="16"/>
  <c r="AL92" i="16"/>
  <c r="AM92" i="16"/>
  <c r="AN92" i="16"/>
  <c r="AO92" i="16"/>
  <c r="AP92" i="16"/>
  <c r="AL93" i="16"/>
  <c r="AM93" i="16"/>
  <c r="AN93" i="16"/>
  <c r="AO93" i="16"/>
  <c r="AP93" i="16"/>
  <c r="AL94" i="16"/>
  <c r="AM94" i="16"/>
  <c r="AN94" i="16"/>
  <c r="AO94" i="16"/>
  <c r="AP94" i="16"/>
  <c r="AL95" i="16"/>
  <c r="AM95" i="16"/>
  <c r="AN95" i="16"/>
  <c r="AO95" i="16"/>
  <c r="AP95" i="16"/>
  <c r="AL96" i="16"/>
  <c r="AM96" i="16"/>
  <c r="AN96" i="16"/>
  <c r="AO96" i="16"/>
  <c r="AP96" i="16"/>
  <c r="AL97" i="16"/>
  <c r="AM97" i="16"/>
  <c r="AN97" i="16"/>
  <c r="AO97" i="16"/>
  <c r="AP97" i="16"/>
  <c r="AL98" i="16"/>
  <c r="AM98" i="16"/>
  <c r="AN98" i="16"/>
  <c r="AO98" i="16"/>
  <c r="AP98" i="16"/>
  <c r="AL99" i="16"/>
  <c r="AM99" i="16"/>
  <c r="AN99" i="16"/>
  <c r="AO99" i="16"/>
  <c r="AP99" i="16"/>
  <c r="AL100" i="16"/>
  <c r="AM100" i="16"/>
  <c r="AN100" i="16"/>
  <c r="AO100" i="16"/>
  <c r="AP100" i="16"/>
  <c r="AL101" i="16"/>
  <c r="AM101" i="16"/>
  <c r="AN101" i="16"/>
  <c r="AO101" i="16"/>
  <c r="AP101" i="16"/>
  <c r="AL102" i="16"/>
  <c r="AM102" i="16"/>
  <c r="AN102" i="16"/>
  <c r="AO102" i="16"/>
  <c r="AP102" i="16"/>
  <c r="AL103" i="16"/>
  <c r="AM103" i="16"/>
  <c r="AN103" i="16"/>
  <c r="AO103" i="16"/>
  <c r="AP88" i="16"/>
  <c r="AO88" i="16"/>
  <c r="AN88" i="16"/>
  <c r="AM88" i="16"/>
  <c r="AL88" i="16"/>
  <c r="R103" i="16"/>
  <c r="Q103" i="16"/>
  <c r="P103" i="16"/>
  <c r="O103" i="16"/>
  <c r="N103" i="16"/>
  <c r="R102" i="16"/>
  <c r="Q102" i="16"/>
  <c r="P102" i="16"/>
  <c r="O102" i="16"/>
  <c r="N102" i="16"/>
  <c r="R101" i="16"/>
  <c r="Q101" i="16"/>
  <c r="P101" i="16"/>
  <c r="O101" i="16"/>
  <c r="N101" i="16"/>
  <c r="R100" i="16"/>
  <c r="Q100" i="16"/>
  <c r="P100" i="16"/>
  <c r="O100" i="16"/>
  <c r="N100" i="16"/>
  <c r="R99" i="16"/>
  <c r="Q99" i="16"/>
  <c r="P99" i="16"/>
  <c r="O99" i="16"/>
  <c r="N99" i="16"/>
  <c r="R98" i="16"/>
  <c r="Q98" i="16"/>
  <c r="P98" i="16"/>
  <c r="O98" i="16"/>
  <c r="N98" i="16"/>
  <c r="R97" i="16"/>
  <c r="Q97" i="16"/>
  <c r="P97" i="16"/>
  <c r="O97" i="16"/>
  <c r="N97" i="16"/>
  <c r="R96" i="16"/>
  <c r="Q96" i="16"/>
  <c r="P96" i="16"/>
  <c r="O96" i="16"/>
  <c r="N96" i="16"/>
  <c r="R95" i="16"/>
  <c r="Q95" i="16"/>
  <c r="P95" i="16"/>
  <c r="O95" i="16"/>
  <c r="N95" i="16"/>
  <c r="R94" i="16"/>
  <c r="Q94" i="16"/>
  <c r="P94" i="16"/>
  <c r="O94" i="16"/>
  <c r="N94" i="16"/>
  <c r="R93" i="16"/>
  <c r="Q93" i="16"/>
  <c r="P93" i="16"/>
  <c r="O93" i="16"/>
  <c r="N93" i="16"/>
  <c r="R92" i="16"/>
  <c r="Q92" i="16"/>
  <c r="P92" i="16"/>
  <c r="O92" i="16"/>
  <c r="N92" i="16"/>
  <c r="R91" i="16"/>
  <c r="Q91" i="16"/>
  <c r="P91" i="16"/>
  <c r="O91" i="16"/>
  <c r="N91" i="16"/>
  <c r="R90" i="16"/>
  <c r="Q90" i="16"/>
  <c r="P90" i="16"/>
  <c r="O90" i="16"/>
  <c r="N90" i="16"/>
  <c r="R89" i="16"/>
  <c r="Q89" i="16"/>
  <c r="P89" i="16"/>
  <c r="O89" i="16"/>
  <c r="N89" i="16"/>
  <c r="R88" i="16"/>
  <c r="Q88" i="16"/>
  <c r="P88" i="16"/>
  <c r="O88" i="16"/>
  <c r="N88" i="16"/>
  <c r="DJ103" i="15"/>
  <c r="DI103" i="15"/>
  <c r="DH103" i="15"/>
  <c r="DG103" i="15"/>
  <c r="DF103" i="15"/>
  <c r="DJ102" i="15"/>
  <c r="DI102" i="15"/>
  <c r="DH102" i="15"/>
  <c r="DG102" i="15"/>
  <c r="DF102" i="15"/>
  <c r="DJ101" i="15"/>
  <c r="DI101" i="15"/>
  <c r="DH101" i="15"/>
  <c r="DG101" i="15"/>
  <c r="DF101" i="15"/>
  <c r="DJ100" i="15"/>
  <c r="DI100" i="15"/>
  <c r="DH100" i="15"/>
  <c r="DG100" i="15"/>
  <c r="DF100" i="15"/>
  <c r="DJ99" i="15"/>
  <c r="DI99" i="15"/>
  <c r="DH99" i="15"/>
  <c r="DG99" i="15"/>
  <c r="DF99" i="15"/>
  <c r="DJ98" i="15"/>
  <c r="DI98" i="15"/>
  <c r="DH98" i="15"/>
  <c r="DG98" i="15"/>
  <c r="DF98" i="15"/>
  <c r="DJ97" i="15"/>
  <c r="DI97" i="15"/>
  <c r="DH97" i="15"/>
  <c r="DG97" i="15"/>
  <c r="DF97" i="15"/>
  <c r="DJ96" i="15"/>
  <c r="DI96" i="15"/>
  <c r="DH96" i="15"/>
  <c r="DG96" i="15"/>
  <c r="DF96" i="15"/>
  <c r="DJ95" i="15"/>
  <c r="DI95" i="15"/>
  <c r="DH95" i="15"/>
  <c r="DG95" i="15"/>
  <c r="DF95" i="15"/>
  <c r="DJ94" i="15"/>
  <c r="DI94" i="15"/>
  <c r="DH94" i="15"/>
  <c r="DG94" i="15"/>
  <c r="DF94" i="15"/>
  <c r="DJ93" i="15"/>
  <c r="DI93" i="15"/>
  <c r="DH93" i="15"/>
  <c r="DG93" i="15"/>
  <c r="DF93" i="15"/>
  <c r="DJ92" i="15"/>
  <c r="DI92" i="15"/>
  <c r="DH92" i="15"/>
  <c r="DG92" i="15"/>
  <c r="DF92" i="15"/>
  <c r="DJ91" i="15"/>
  <c r="DI91" i="15"/>
  <c r="DH91" i="15"/>
  <c r="DG91" i="15"/>
  <c r="DF91" i="15"/>
  <c r="DJ90" i="15"/>
  <c r="DI90" i="15"/>
  <c r="DH90" i="15"/>
  <c r="DG90" i="15"/>
  <c r="DF90" i="15"/>
  <c r="DJ89" i="15"/>
  <c r="DI89" i="15"/>
  <c r="DH89" i="15"/>
  <c r="DG89" i="15"/>
  <c r="DF89" i="15"/>
  <c r="DJ88" i="15"/>
  <c r="DI88" i="15"/>
  <c r="DH88" i="15"/>
  <c r="DG88" i="15"/>
  <c r="DF88" i="15"/>
  <c r="CL103" i="15"/>
  <c r="CK103" i="15"/>
  <c r="CJ103" i="15"/>
  <c r="CI103" i="15"/>
  <c r="CH103" i="15"/>
  <c r="CL102" i="15"/>
  <c r="CK102" i="15"/>
  <c r="CJ102" i="15"/>
  <c r="CI102" i="15"/>
  <c r="CH102" i="15"/>
  <c r="CL101" i="15"/>
  <c r="CK101" i="15"/>
  <c r="CJ101" i="15"/>
  <c r="CI101" i="15"/>
  <c r="CH101" i="15"/>
  <c r="CL100" i="15"/>
  <c r="CK100" i="15"/>
  <c r="CJ100" i="15"/>
  <c r="CI100" i="15"/>
  <c r="CH100" i="15"/>
  <c r="CL99" i="15"/>
  <c r="CK99" i="15"/>
  <c r="CJ99" i="15"/>
  <c r="CI99" i="15"/>
  <c r="CH99" i="15"/>
  <c r="CL98" i="15"/>
  <c r="CK98" i="15"/>
  <c r="CJ98" i="15"/>
  <c r="CI98" i="15"/>
  <c r="CH98" i="15"/>
  <c r="CL97" i="15"/>
  <c r="CK97" i="15"/>
  <c r="CJ97" i="15"/>
  <c r="CI97" i="15"/>
  <c r="CH97" i="15"/>
  <c r="CL96" i="15"/>
  <c r="CK96" i="15"/>
  <c r="CJ96" i="15"/>
  <c r="CI96" i="15"/>
  <c r="CH96" i="15"/>
  <c r="CL95" i="15"/>
  <c r="CK95" i="15"/>
  <c r="CJ95" i="15"/>
  <c r="CI95" i="15"/>
  <c r="CH95" i="15"/>
  <c r="CL94" i="15"/>
  <c r="CK94" i="15"/>
  <c r="CJ94" i="15"/>
  <c r="CI94" i="15"/>
  <c r="CH94" i="15"/>
  <c r="CL93" i="15"/>
  <c r="CK93" i="15"/>
  <c r="CJ93" i="15"/>
  <c r="CI93" i="15"/>
  <c r="CH93" i="15"/>
  <c r="CL92" i="15"/>
  <c r="CK92" i="15"/>
  <c r="CJ92" i="15"/>
  <c r="CI92" i="15"/>
  <c r="CH92" i="15"/>
  <c r="CL91" i="15"/>
  <c r="CK91" i="15"/>
  <c r="CJ91" i="15"/>
  <c r="CI91" i="15"/>
  <c r="CH91" i="15"/>
  <c r="CL90" i="15"/>
  <c r="CK90" i="15"/>
  <c r="CJ90" i="15"/>
  <c r="CI90" i="15"/>
  <c r="CH90" i="15"/>
  <c r="CL89" i="15"/>
  <c r="CK89" i="15"/>
  <c r="CJ89" i="15"/>
  <c r="CI89" i="15"/>
  <c r="CH89" i="15"/>
  <c r="CL88" i="15"/>
  <c r="CK88" i="15"/>
  <c r="CJ88" i="15"/>
  <c r="CI88" i="15"/>
  <c r="CH88" i="15"/>
  <c r="BN103" i="15"/>
  <c r="BM103" i="15"/>
  <c r="BL103" i="15"/>
  <c r="BK103" i="15"/>
  <c r="BJ103" i="15"/>
  <c r="BN102" i="15"/>
  <c r="BM102" i="15"/>
  <c r="BL102" i="15"/>
  <c r="BK102" i="15"/>
  <c r="BJ102" i="15"/>
  <c r="BN101" i="15"/>
  <c r="BM101" i="15"/>
  <c r="BL101" i="15"/>
  <c r="BK101" i="15"/>
  <c r="BJ101" i="15"/>
  <c r="BN100" i="15"/>
  <c r="BM100" i="15"/>
  <c r="BL100" i="15"/>
  <c r="BK100" i="15"/>
  <c r="BJ100" i="15"/>
  <c r="BN99" i="15"/>
  <c r="BM99" i="15"/>
  <c r="BL99" i="15"/>
  <c r="BK99" i="15"/>
  <c r="BJ99" i="15"/>
  <c r="BN98" i="15"/>
  <c r="BM98" i="15"/>
  <c r="BL98" i="15"/>
  <c r="BK98" i="15"/>
  <c r="BJ98" i="15"/>
  <c r="BN97" i="15"/>
  <c r="BM97" i="15"/>
  <c r="BL97" i="15"/>
  <c r="BK97" i="15"/>
  <c r="BJ97" i="15"/>
  <c r="BN96" i="15"/>
  <c r="BM96" i="15"/>
  <c r="BL96" i="15"/>
  <c r="BK96" i="15"/>
  <c r="BJ96" i="15"/>
  <c r="BN95" i="15"/>
  <c r="BM95" i="15"/>
  <c r="BL95" i="15"/>
  <c r="BK95" i="15"/>
  <c r="BJ95" i="15"/>
  <c r="BN94" i="15"/>
  <c r="BM94" i="15"/>
  <c r="BL94" i="15"/>
  <c r="BK94" i="15"/>
  <c r="BJ94" i="15"/>
  <c r="BN93" i="15"/>
  <c r="BM93" i="15"/>
  <c r="BL93" i="15"/>
  <c r="BK93" i="15"/>
  <c r="BJ93" i="15"/>
  <c r="BN92" i="15"/>
  <c r="BM92" i="15"/>
  <c r="BL92" i="15"/>
  <c r="BK92" i="15"/>
  <c r="BJ92" i="15"/>
  <c r="BN91" i="15"/>
  <c r="BM91" i="15"/>
  <c r="BL91" i="15"/>
  <c r="BK91" i="15"/>
  <c r="BJ91" i="15"/>
  <c r="BN90" i="15"/>
  <c r="BM90" i="15"/>
  <c r="BL90" i="15"/>
  <c r="BK90" i="15"/>
  <c r="BJ90" i="15"/>
  <c r="BN89" i="15"/>
  <c r="BM89" i="15"/>
  <c r="BL89" i="15"/>
  <c r="BK89" i="15"/>
  <c r="BJ89" i="15"/>
  <c r="BN88" i="15"/>
  <c r="BM88" i="15"/>
  <c r="BL88" i="15"/>
  <c r="BK88" i="15"/>
  <c r="BJ88" i="15"/>
  <c r="AP103" i="15"/>
  <c r="AO103" i="15"/>
  <c r="AN103" i="15"/>
  <c r="AM103" i="15"/>
  <c r="AL103" i="15"/>
  <c r="AP102" i="15"/>
  <c r="AO102" i="15"/>
  <c r="AN102" i="15"/>
  <c r="AM102" i="15"/>
  <c r="AL102" i="15"/>
  <c r="AP101" i="15"/>
  <c r="AO101" i="15"/>
  <c r="AN101" i="15"/>
  <c r="AM101" i="15"/>
  <c r="AL101" i="15"/>
  <c r="AP100" i="15"/>
  <c r="AO100" i="15"/>
  <c r="AN100" i="15"/>
  <c r="AM100" i="15"/>
  <c r="AL100" i="15"/>
  <c r="AP99" i="15"/>
  <c r="AO99" i="15"/>
  <c r="AN99" i="15"/>
  <c r="AM99" i="15"/>
  <c r="AL99" i="15"/>
  <c r="AP98" i="15"/>
  <c r="AO98" i="15"/>
  <c r="AN98" i="15"/>
  <c r="AM98" i="15"/>
  <c r="AL98" i="15"/>
  <c r="AP97" i="15"/>
  <c r="AO97" i="15"/>
  <c r="AN97" i="15"/>
  <c r="AM97" i="15"/>
  <c r="AL97" i="15"/>
  <c r="AP96" i="15"/>
  <c r="AO96" i="15"/>
  <c r="AN96" i="15"/>
  <c r="AM96" i="15"/>
  <c r="AL96" i="15"/>
  <c r="AP95" i="15"/>
  <c r="AO95" i="15"/>
  <c r="AN95" i="15"/>
  <c r="AM95" i="15"/>
  <c r="AL95" i="15"/>
  <c r="AP94" i="15"/>
  <c r="AO94" i="15"/>
  <c r="AN94" i="15"/>
  <c r="AM94" i="15"/>
  <c r="AL94" i="15"/>
  <c r="AP93" i="15"/>
  <c r="AO93" i="15"/>
  <c r="AN93" i="15"/>
  <c r="AM93" i="15"/>
  <c r="AL93" i="15"/>
  <c r="AP92" i="15"/>
  <c r="AO92" i="15"/>
  <c r="AN92" i="15"/>
  <c r="AM92" i="15"/>
  <c r="AL92" i="15"/>
  <c r="AP91" i="15"/>
  <c r="AO91" i="15"/>
  <c r="AN91" i="15"/>
  <c r="AM91" i="15"/>
  <c r="AL91" i="15"/>
  <c r="AP90" i="15"/>
  <c r="AO90" i="15"/>
  <c r="AN90" i="15"/>
  <c r="AM90" i="15"/>
  <c r="AL90" i="15"/>
  <c r="AP89" i="15"/>
  <c r="AO89" i="15"/>
  <c r="AN89" i="15"/>
  <c r="AM89" i="15"/>
  <c r="AL89" i="15"/>
  <c r="AP88" i="15"/>
  <c r="AO88" i="15"/>
  <c r="AN88" i="15"/>
  <c r="AM88" i="15"/>
  <c r="AL88" i="15"/>
  <c r="R103" i="15"/>
  <c r="Q103" i="15"/>
  <c r="P103" i="15"/>
  <c r="O103" i="15"/>
  <c r="N103" i="15"/>
  <c r="R102" i="15"/>
  <c r="Q102" i="15"/>
  <c r="P102" i="15"/>
  <c r="O102" i="15"/>
  <c r="N102" i="15"/>
  <c r="R101" i="15"/>
  <c r="Q101" i="15"/>
  <c r="P101" i="15"/>
  <c r="O101" i="15"/>
  <c r="N101" i="15"/>
  <c r="R100" i="15"/>
  <c r="Q100" i="15"/>
  <c r="P100" i="15"/>
  <c r="O100" i="15"/>
  <c r="N100" i="15"/>
  <c r="R99" i="15"/>
  <c r="Q99" i="15"/>
  <c r="P99" i="15"/>
  <c r="O99" i="15"/>
  <c r="N99" i="15"/>
  <c r="R98" i="15"/>
  <c r="Q98" i="15"/>
  <c r="P98" i="15"/>
  <c r="O98" i="15"/>
  <c r="N98" i="15"/>
  <c r="R97" i="15"/>
  <c r="Q97" i="15"/>
  <c r="P97" i="15"/>
  <c r="O97" i="15"/>
  <c r="N97" i="15"/>
  <c r="R96" i="15"/>
  <c r="Q96" i="15"/>
  <c r="P96" i="15"/>
  <c r="O96" i="15"/>
  <c r="N96" i="15"/>
  <c r="R95" i="15"/>
  <c r="Q95" i="15"/>
  <c r="P95" i="15"/>
  <c r="O95" i="15"/>
  <c r="N95" i="15"/>
  <c r="R94" i="15"/>
  <c r="Q94" i="15"/>
  <c r="P94" i="15"/>
  <c r="O94" i="15"/>
  <c r="N94" i="15"/>
  <c r="R93" i="15"/>
  <c r="Q93" i="15"/>
  <c r="P93" i="15"/>
  <c r="O93" i="15"/>
  <c r="N93" i="15"/>
  <c r="R92" i="15"/>
  <c r="Q92" i="15"/>
  <c r="P92" i="15"/>
  <c r="O92" i="15"/>
  <c r="N92" i="15"/>
  <c r="R91" i="15"/>
  <c r="Q91" i="15"/>
  <c r="P91" i="15"/>
  <c r="O91" i="15"/>
  <c r="N91" i="15"/>
  <c r="R90" i="15"/>
  <c r="Q90" i="15"/>
  <c r="P90" i="15"/>
  <c r="O90" i="15"/>
  <c r="N90" i="15"/>
  <c r="R89" i="15"/>
  <c r="Q89" i="15"/>
  <c r="P89" i="15"/>
  <c r="O89" i="15"/>
  <c r="N89" i="15"/>
  <c r="R88" i="15"/>
  <c r="Q88" i="15"/>
  <c r="P88" i="15"/>
  <c r="O88" i="15"/>
  <c r="N88" i="15"/>
  <c r="DJ103" i="14"/>
  <c r="DI103" i="14"/>
  <c r="DH103" i="14"/>
  <c r="DG103" i="14"/>
  <c r="DF103" i="14"/>
  <c r="DJ102" i="14"/>
  <c r="DI102" i="14"/>
  <c r="DH102" i="14"/>
  <c r="DG102" i="14"/>
  <c r="DF102" i="14"/>
  <c r="DJ101" i="14"/>
  <c r="DI101" i="14"/>
  <c r="DH101" i="14"/>
  <c r="DG101" i="14"/>
  <c r="DF101" i="14"/>
  <c r="DJ100" i="14"/>
  <c r="DI100" i="14"/>
  <c r="DH100" i="14"/>
  <c r="DG100" i="14"/>
  <c r="DF100" i="14"/>
  <c r="DJ99" i="14"/>
  <c r="DI99" i="14"/>
  <c r="DH99" i="14"/>
  <c r="DG99" i="14"/>
  <c r="DF99" i="14"/>
  <c r="DJ98" i="14"/>
  <c r="DI98" i="14"/>
  <c r="DH98" i="14"/>
  <c r="DG98" i="14"/>
  <c r="DF98" i="14"/>
  <c r="DJ97" i="14"/>
  <c r="DI97" i="14"/>
  <c r="DH97" i="14"/>
  <c r="DG97" i="14"/>
  <c r="DF97" i="14"/>
  <c r="DJ96" i="14"/>
  <c r="DI96" i="14"/>
  <c r="DH96" i="14"/>
  <c r="DG96" i="14"/>
  <c r="DF96" i="14"/>
  <c r="DJ95" i="14"/>
  <c r="DI95" i="14"/>
  <c r="DH95" i="14"/>
  <c r="DG95" i="14"/>
  <c r="DF95" i="14"/>
  <c r="DJ94" i="14"/>
  <c r="DI94" i="14"/>
  <c r="DH94" i="14"/>
  <c r="DG94" i="14"/>
  <c r="DF94" i="14"/>
  <c r="DJ93" i="14"/>
  <c r="DI93" i="14"/>
  <c r="DH93" i="14"/>
  <c r="DG93" i="14"/>
  <c r="DF93" i="14"/>
  <c r="DJ92" i="14"/>
  <c r="DI92" i="14"/>
  <c r="DH92" i="14"/>
  <c r="DG92" i="14"/>
  <c r="DF92" i="14"/>
  <c r="DJ91" i="14"/>
  <c r="DI91" i="14"/>
  <c r="DH91" i="14"/>
  <c r="DG91" i="14"/>
  <c r="DF91" i="14"/>
  <c r="DJ90" i="14"/>
  <c r="DI90" i="14"/>
  <c r="DH90" i="14"/>
  <c r="DG90" i="14"/>
  <c r="DF90" i="14"/>
  <c r="DJ89" i="14"/>
  <c r="DI89" i="14"/>
  <c r="DH89" i="14"/>
  <c r="DG89" i="14"/>
  <c r="DF89" i="14"/>
  <c r="DJ88" i="14"/>
  <c r="DI88" i="14"/>
  <c r="DH88" i="14"/>
  <c r="DG88" i="14"/>
  <c r="DF88" i="14"/>
  <c r="CL103" i="14"/>
  <c r="CK103" i="14"/>
  <c r="CJ103" i="14"/>
  <c r="CI103" i="14"/>
  <c r="CH103" i="14"/>
  <c r="CL102" i="14"/>
  <c r="CK102" i="14"/>
  <c r="CJ102" i="14"/>
  <c r="CI102" i="14"/>
  <c r="CH102" i="14"/>
  <c r="CL101" i="14"/>
  <c r="CK101" i="14"/>
  <c r="CJ101" i="14"/>
  <c r="CI101" i="14"/>
  <c r="CH101" i="14"/>
  <c r="CL100" i="14"/>
  <c r="CK100" i="14"/>
  <c r="CJ100" i="14"/>
  <c r="CI100" i="14"/>
  <c r="CH100" i="14"/>
  <c r="CL99" i="14"/>
  <c r="CK99" i="14"/>
  <c r="CJ99" i="14"/>
  <c r="CI99" i="14"/>
  <c r="CH99" i="14"/>
  <c r="CL98" i="14"/>
  <c r="CK98" i="14"/>
  <c r="CJ98" i="14"/>
  <c r="CI98" i="14"/>
  <c r="CH98" i="14"/>
  <c r="CL97" i="14"/>
  <c r="CK97" i="14"/>
  <c r="CJ97" i="14"/>
  <c r="CI97" i="14"/>
  <c r="CH97" i="14"/>
  <c r="CL96" i="14"/>
  <c r="CK96" i="14"/>
  <c r="CJ96" i="14"/>
  <c r="CI96" i="14"/>
  <c r="CH96" i="14"/>
  <c r="CL95" i="14"/>
  <c r="CK95" i="14"/>
  <c r="CJ95" i="14"/>
  <c r="CI95" i="14"/>
  <c r="CH95" i="14"/>
  <c r="CL94" i="14"/>
  <c r="CK94" i="14"/>
  <c r="CJ94" i="14"/>
  <c r="CI94" i="14"/>
  <c r="CH94" i="14"/>
  <c r="CL93" i="14"/>
  <c r="CK93" i="14"/>
  <c r="CJ93" i="14"/>
  <c r="CI93" i="14"/>
  <c r="CH93" i="14"/>
  <c r="CL92" i="14"/>
  <c r="CK92" i="14"/>
  <c r="CJ92" i="14"/>
  <c r="CI92" i="14"/>
  <c r="CH92" i="14"/>
  <c r="CL91" i="14"/>
  <c r="CK91" i="14"/>
  <c r="CJ91" i="14"/>
  <c r="CI91" i="14"/>
  <c r="CH91" i="14"/>
  <c r="CL90" i="14"/>
  <c r="CK90" i="14"/>
  <c r="CJ90" i="14"/>
  <c r="CI90" i="14"/>
  <c r="CH90" i="14"/>
  <c r="CL89" i="14"/>
  <c r="CK89" i="14"/>
  <c r="CJ89" i="14"/>
  <c r="CI89" i="14"/>
  <c r="CH89" i="14"/>
  <c r="CL88" i="14"/>
  <c r="CK88" i="14"/>
  <c r="CJ88" i="14"/>
  <c r="CI88" i="14"/>
  <c r="CH88" i="14"/>
  <c r="BN103" i="14"/>
  <c r="BM103" i="14"/>
  <c r="BL103" i="14"/>
  <c r="BK103" i="14"/>
  <c r="BJ103" i="14"/>
  <c r="BN102" i="14"/>
  <c r="BM102" i="14"/>
  <c r="BL102" i="14"/>
  <c r="BK102" i="14"/>
  <c r="BJ102" i="14"/>
  <c r="BN101" i="14"/>
  <c r="BM101" i="14"/>
  <c r="BL101" i="14"/>
  <c r="BK101" i="14"/>
  <c r="BJ101" i="14"/>
  <c r="BN100" i="14"/>
  <c r="BM100" i="14"/>
  <c r="BL100" i="14"/>
  <c r="BK100" i="14"/>
  <c r="BJ100" i="14"/>
  <c r="BN99" i="14"/>
  <c r="BM99" i="14"/>
  <c r="BL99" i="14"/>
  <c r="BK99" i="14"/>
  <c r="BJ99" i="14"/>
  <c r="BN98" i="14"/>
  <c r="BM98" i="14"/>
  <c r="BL98" i="14"/>
  <c r="BK98" i="14"/>
  <c r="BJ98" i="14"/>
  <c r="BN97" i="14"/>
  <c r="BM97" i="14"/>
  <c r="BL97" i="14"/>
  <c r="BK97" i="14"/>
  <c r="BJ97" i="14"/>
  <c r="BN96" i="14"/>
  <c r="BM96" i="14"/>
  <c r="BL96" i="14"/>
  <c r="BK96" i="14"/>
  <c r="BJ96" i="14"/>
  <c r="BN95" i="14"/>
  <c r="BM95" i="14"/>
  <c r="BL95" i="14"/>
  <c r="BK95" i="14"/>
  <c r="BJ95" i="14"/>
  <c r="BN94" i="14"/>
  <c r="BM94" i="14"/>
  <c r="BL94" i="14"/>
  <c r="BK94" i="14"/>
  <c r="BJ94" i="14"/>
  <c r="BN93" i="14"/>
  <c r="BM93" i="14"/>
  <c r="BL93" i="14"/>
  <c r="BK93" i="14"/>
  <c r="BJ93" i="14"/>
  <c r="BN92" i="14"/>
  <c r="BM92" i="14"/>
  <c r="BL92" i="14"/>
  <c r="BK92" i="14"/>
  <c r="BJ92" i="14"/>
  <c r="BN91" i="14"/>
  <c r="BM91" i="14"/>
  <c r="BL91" i="14"/>
  <c r="BK91" i="14"/>
  <c r="BJ91" i="14"/>
  <c r="BN90" i="14"/>
  <c r="BM90" i="14"/>
  <c r="BL90" i="14"/>
  <c r="BK90" i="14"/>
  <c r="BJ90" i="14"/>
  <c r="BN89" i="14"/>
  <c r="BM89" i="14"/>
  <c r="BL89" i="14"/>
  <c r="BK89" i="14"/>
  <c r="BJ89" i="14"/>
  <c r="BN88" i="14"/>
  <c r="BM88" i="14"/>
  <c r="BL88" i="14"/>
  <c r="BK88" i="14"/>
  <c r="BJ88" i="14"/>
  <c r="AP103" i="14"/>
  <c r="AO103" i="14"/>
  <c r="AN103" i="14"/>
  <c r="AM103" i="14"/>
  <c r="AL103" i="14"/>
  <c r="AP102" i="14"/>
  <c r="AO102" i="14"/>
  <c r="AN102" i="14"/>
  <c r="AM102" i="14"/>
  <c r="AL102" i="14"/>
  <c r="AP101" i="14"/>
  <c r="AO101" i="14"/>
  <c r="AN101" i="14"/>
  <c r="AM101" i="14"/>
  <c r="AL101" i="14"/>
  <c r="AP100" i="14"/>
  <c r="AO100" i="14"/>
  <c r="AN100" i="14"/>
  <c r="AM100" i="14"/>
  <c r="AL100" i="14"/>
  <c r="AP99" i="14"/>
  <c r="AO99" i="14"/>
  <c r="AN99" i="14"/>
  <c r="AM99" i="14"/>
  <c r="AL99" i="14"/>
  <c r="AP98" i="14"/>
  <c r="AO98" i="14"/>
  <c r="AN98" i="14"/>
  <c r="AM98" i="14"/>
  <c r="AL98" i="14"/>
  <c r="AP97" i="14"/>
  <c r="AO97" i="14"/>
  <c r="AN97" i="14"/>
  <c r="AM97" i="14"/>
  <c r="AL97" i="14"/>
  <c r="AP96" i="14"/>
  <c r="AO96" i="14"/>
  <c r="AN96" i="14"/>
  <c r="AM96" i="14"/>
  <c r="AL96" i="14"/>
  <c r="AP95" i="14"/>
  <c r="AO95" i="14"/>
  <c r="AN95" i="14"/>
  <c r="AM95" i="14"/>
  <c r="AL95" i="14"/>
  <c r="AP94" i="14"/>
  <c r="AO94" i="14"/>
  <c r="AN94" i="14"/>
  <c r="AM94" i="14"/>
  <c r="AL94" i="14"/>
  <c r="AP93" i="14"/>
  <c r="AO93" i="14"/>
  <c r="AN93" i="14"/>
  <c r="AM93" i="14"/>
  <c r="AL93" i="14"/>
  <c r="AP92" i="14"/>
  <c r="AO92" i="14"/>
  <c r="AN92" i="14"/>
  <c r="AM92" i="14"/>
  <c r="AL92" i="14"/>
  <c r="AP91" i="14"/>
  <c r="AO91" i="14"/>
  <c r="AN91" i="14"/>
  <c r="AM91" i="14"/>
  <c r="AL91" i="14"/>
  <c r="AP90" i="14"/>
  <c r="AO90" i="14"/>
  <c r="AN90" i="14"/>
  <c r="AM90" i="14"/>
  <c r="AL90" i="14"/>
  <c r="AP89" i="14"/>
  <c r="AO89" i="14"/>
  <c r="AN89" i="14"/>
  <c r="AM89" i="14"/>
  <c r="AL89" i="14"/>
  <c r="AP88" i="14"/>
  <c r="AO88" i="14"/>
  <c r="AN88" i="14"/>
  <c r="AM88" i="14"/>
  <c r="AL88" i="14"/>
  <c r="R103" i="14"/>
  <c r="Q103" i="14"/>
  <c r="P103" i="14"/>
  <c r="O103" i="14"/>
  <c r="N103" i="14"/>
  <c r="R102" i="14"/>
  <c r="Q102" i="14"/>
  <c r="P102" i="14"/>
  <c r="O102" i="14"/>
  <c r="N102" i="14"/>
  <c r="R101" i="14"/>
  <c r="Q101" i="14"/>
  <c r="P101" i="14"/>
  <c r="O101" i="14"/>
  <c r="N101" i="14"/>
  <c r="R100" i="14"/>
  <c r="Q100" i="14"/>
  <c r="P100" i="14"/>
  <c r="O100" i="14"/>
  <c r="N100" i="14"/>
  <c r="R99" i="14"/>
  <c r="Q99" i="14"/>
  <c r="P99" i="14"/>
  <c r="O99" i="14"/>
  <c r="N99" i="14"/>
  <c r="R98" i="14"/>
  <c r="Q98" i="14"/>
  <c r="P98" i="14"/>
  <c r="O98" i="14"/>
  <c r="N98" i="14"/>
  <c r="R97" i="14"/>
  <c r="Q97" i="14"/>
  <c r="P97" i="14"/>
  <c r="O97" i="14"/>
  <c r="N97" i="14"/>
  <c r="R96" i="14"/>
  <c r="Q96" i="14"/>
  <c r="P96" i="14"/>
  <c r="O96" i="14"/>
  <c r="N96" i="14"/>
  <c r="R95" i="14"/>
  <c r="Q95" i="14"/>
  <c r="P95" i="14"/>
  <c r="O95" i="14"/>
  <c r="N95" i="14"/>
  <c r="R94" i="14"/>
  <c r="Q94" i="14"/>
  <c r="P94" i="14"/>
  <c r="O94" i="14"/>
  <c r="N94" i="14"/>
  <c r="R93" i="14"/>
  <c r="Q93" i="14"/>
  <c r="P93" i="14"/>
  <c r="O93" i="14"/>
  <c r="N93" i="14"/>
  <c r="R92" i="14"/>
  <c r="Q92" i="14"/>
  <c r="P92" i="14"/>
  <c r="O92" i="14"/>
  <c r="N92" i="14"/>
  <c r="R91" i="14"/>
  <c r="Q91" i="14"/>
  <c r="P91" i="14"/>
  <c r="O91" i="14"/>
  <c r="N91" i="14"/>
  <c r="R90" i="14"/>
  <c r="Q90" i="14"/>
  <c r="P90" i="14"/>
  <c r="O90" i="14"/>
  <c r="N90" i="14"/>
  <c r="R89" i="14"/>
  <c r="Q89" i="14"/>
  <c r="P89" i="14"/>
  <c r="O89" i="14"/>
  <c r="N89" i="14"/>
  <c r="R88" i="14"/>
  <c r="Q88" i="14"/>
  <c r="P88" i="14"/>
  <c r="O88" i="14"/>
  <c r="N88" i="14"/>
  <c r="DJ103" i="13"/>
  <c r="DI103" i="13"/>
  <c r="DH103" i="13"/>
  <c r="DG103" i="13"/>
  <c r="DF103" i="13"/>
  <c r="DJ102" i="13"/>
  <c r="DI102" i="13"/>
  <c r="DH102" i="13"/>
  <c r="DG102" i="13"/>
  <c r="DF102" i="13"/>
  <c r="DJ101" i="13"/>
  <c r="DI101" i="13"/>
  <c r="DH101" i="13"/>
  <c r="DG101" i="13"/>
  <c r="DF101" i="13"/>
  <c r="DJ100" i="13"/>
  <c r="DI100" i="13"/>
  <c r="DH100" i="13"/>
  <c r="DG100" i="13"/>
  <c r="DF100" i="13"/>
  <c r="DJ99" i="13"/>
  <c r="DI99" i="13"/>
  <c r="DH99" i="13"/>
  <c r="DG99" i="13"/>
  <c r="DF99" i="13"/>
  <c r="DJ98" i="13"/>
  <c r="DI98" i="13"/>
  <c r="DH98" i="13"/>
  <c r="DG98" i="13"/>
  <c r="DF98" i="13"/>
  <c r="DJ97" i="13"/>
  <c r="DI97" i="13"/>
  <c r="DH97" i="13"/>
  <c r="DG97" i="13"/>
  <c r="DF97" i="13"/>
  <c r="DJ96" i="13"/>
  <c r="DI96" i="13"/>
  <c r="DH96" i="13"/>
  <c r="DG96" i="13"/>
  <c r="DF96" i="13"/>
  <c r="DJ95" i="13"/>
  <c r="DI95" i="13"/>
  <c r="DH95" i="13"/>
  <c r="DG95" i="13"/>
  <c r="DF95" i="13"/>
  <c r="DJ94" i="13"/>
  <c r="DI94" i="13"/>
  <c r="DH94" i="13"/>
  <c r="DG94" i="13"/>
  <c r="DF94" i="13"/>
  <c r="DJ93" i="13"/>
  <c r="DI93" i="13"/>
  <c r="DH93" i="13"/>
  <c r="DG93" i="13"/>
  <c r="DF93" i="13"/>
  <c r="DJ92" i="13"/>
  <c r="DI92" i="13"/>
  <c r="DH92" i="13"/>
  <c r="DG92" i="13"/>
  <c r="DF92" i="13"/>
  <c r="DJ91" i="13"/>
  <c r="DI91" i="13"/>
  <c r="DH91" i="13"/>
  <c r="DG91" i="13"/>
  <c r="DF91" i="13"/>
  <c r="DJ90" i="13"/>
  <c r="DI90" i="13"/>
  <c r="DH90" i="13"/>
  <c r="DG90" i="13"/>
  <c r="DF90" i="13"/>
  <c r="DJ89" i="13"/>
  <c r="DI89" i="13"/>
  <c r="DH89" i="13"/>
  <c r="DG89" i="13"/>
  <c r="DF89" i="13"/>
  <c r="DJ88" i="13"/>
  <c r="DI88" i="13"/>
  <c r="DH88" i="13"/>
  <c r="DG88" i="13"/>
  <c r="DF88" i="13"/>
  <c r="CL103" i="13"/>
  <c r="CK103" i="13"/>
  <c r="CJ103" i="13"/>
  <c r="CI103" i="13"/>
  <c r="CH103" i="13"/>
  <c r="CL102" i="13"/>
  <c r="CK102" i="13"/>
  <c r="CJ102" i="13"/>
  <c r="CI102" i="13"/>
  <c r="CH102" i="13"/>
  <c r="CL101" i="13"/>
  <c r="CK101" i="13"/>
  <c r="CJ101" i="13"/>
  <c r="CI101" i="13"/>
  <c r="CH101" i="13"/>
  <c r="CL100" i="13"/>
  <c r="CK100" i="13"/>
  <c r="CJ100" i="13"/>
  <c r="CI100" i="13"/>
  <c r="CH100" i="13"/>
  <c r="CL99" i="13"/>
  <c r="CK99" i="13"/>
  <c r="CJ99" i="13"/>
  <c r="CI99" i="13"/>
  <c r="CH99" i="13"/>
  <c r="CL98" i="13"/>
  <c r="CK98" i="13"/>
  <c r="CJ98" i="13"/>
  <c r="CI98" i="13"/>
  <c r="CH98" i="13"/>
  <c r="CL97" i="13"/>
  <c r="CK97" i="13"/>
  <c r="CJ97" i="13"/>
  <c r="CI97" i="13"/>
  <c r="CH97" i="13"/>
  <c r="CL96" i="13"/>
  <c r="CK96" i="13"/>
  <c r="CJ96" i="13"/>
  <c r="CI96" i="13"/>
  <c r="CH96" i="13"/>
  <c r="CL95" i="13"/>
  <c r="CK95" i="13"/>
  <c r="CJ95" i="13"/>
  <c r="CI95" i="13"/>
  <c r="CH95" i="13"/>
  <c r="CL94" i="13"/>
  <c r="CK94" i="13"/>
  <c r="CJ94" i="13"/>
  <c r="CI94" i="13"/>
  <c r="CH94" i="13"/>
  <c r="CL93" i="13"/>
  <c r="CK93" i="13"/>
  <c r="CJ93" i="13"/>
  <c r="CI93" i="13"/>
  <c r="CH93" i="13"/>
  <c r="CL92" i="13"/>
  <c r="CK92" i="13"/>
  <c r="CJ92" i="13"/>
  <c r="CI92" i="13"/>
  <c r="CH92" i="13"/>
  <c r="CL91" i="13"/>
  <c r="CK91" i="13"/>
  <c r="CJ91" i="13"/>
  <c r="CI91" i="13"/>
  <c r="CH91" i="13"/>
  <c r="CL90" i="13"/>
  <c r="CK90" i="13"/>
  <c r="CJ90" i="13"/>
  <c r="CI90" i="13"/>
  <c r="CH90" i="13"/>
  <c r="CL89" i="13"/>
  <c r="CK89" i="13"/>
  <c r="CJ89" i="13"/>
  <c r="CI89" i="13"/>
  <c r="CH89" i="13"/>
  <c r="CL88" i="13"/>
  <c r="CK88" i="13"/>
  <c r="CJ88" i="13"/>
  <c r="CI88" i="13"/>
  <c r="CH88" i="13"/>
  <c r="BN103" i="13"/>
  <c r="BM103" i="13"/>
  <c r="BL103" i="13"/>
  <c r="BK103" i="13"/>
  <c r="BJ103" i="13"/>
  <c r="BN102" i="13"/>
  <c r="BM102" i="13"/>
  <c r="BL102" i="13"/>
  <c r="BK102" i="13"/>
  <c r="BJ102" i="13"/>
  <c r="BN101" i="13"/>
  <c r="BM101" i="13"/>
  <c r="BL101" i="13"/>
  <c r="BK101" i="13"/>
  <c r="BJ101" i="13"/>
  <c r="BN100" i="13"/>
  <c r="BM100" i="13"/>
  <c r="BL100" i="13"/>
  <c r="BK100" i="13"/>
  <c r="BJ100" i="13"/>
  <c r="BN99" i="13"/>
  <c r="BM99" i="13"/>
  <c r="BL99" i="13"/>
  <c r="BK99" i="13"/>
  <c r="BJ99" i="13"/>
  <c r="BN98" i="13"/>
  <c r="BM98" i="13"/>
  <c r="BL98" i="13"/>
  <c r="BK98" i="13"/>
  <c r="BJ98" i="13"/>
  <c r="BN97" i="13"/>
  <c r="BM97" i="13"/>
  <c r="BL97" i="13"/>
  <c r="BK97" i="13"/>
  <c r="BJ97" i="13"/>
  <c r="BN96" i="13"/>
  <c r="BM96" i="13"/>
  <c r="BL96" i="13"/>
  <c r="BK96" i="13"/>
  <c r="BJ96" i="13"/>
  <c r="BN95" i="13"/>
  <c r="BM95" i="13"/>
  <c r="BL95" i="13"/>
  <c r="BK95" i="13"/>
  <c r="BJ95" i="13"/>
  <c r="BN94" i="13"/>
  <c r="BM94" i="13"/>
  <c r="BL94" i="13"/>
  <c r="BK94" i="13"/>
  <c r="BJ94" i="13"/>
  <c r="BN93" i="13"/>
  <c r="BM93" i="13"/>
  <c r="BL93" i="13"/>
  <c r="BK93" i="13"/>
  <c r="BJ93" i="13"/>
  <c r="BN92" i="13"/>
  <c r="BM92" i="13"/>
  <c r="BL92" i="13"/>
  <c r="BK92" i="13"/>
  <c r="BJ92" i="13"/>
  <c r="BN91" i="13"/>
  <c r="BM91" i="13"/>
  <c r="BL91" i="13"/>
  <c r="BK91" i="13"/>
  <c r="BJ91" i="13"/>
  <c r="BN90" i="13"/>
  <c r="BM90" i="13"/>
  <c r="BL90" i="13"/>
  <c r="BK90" i="13"/>
  <c r="BJ90" i="13"/>
  <c r="BN89" i="13"/>
  <c r="BM89" i="13"/>
  <c r="BL89" i="13"/>
  <c r="BK89" i="13"/>
  <c r="BJ89" i="13"/>
  <c r="BN88" i="13"/>
  <c r="BM88" i="13"/>
  <c r="BL88" i="13"/>
  <c r="BK88" i="13"/>
  <c r="BJ88" i="13"/>
  <c r="AP103" i="13"/>
  <c r="AO103" i="13"/>
  <c r="AN103" i="13"/>
  <c r="AM103" i="13"/>
  <c r="AL103" i="13"/>
  <c r="AP102" i="13"/>
  <c r="AO102" i="13"/>
  <c r="AN102" i="13"/>
  <c r="AM102" i="13"/>
  <c r="AL102" i="13"/>
  <c r="AP101" i="13"/>
  <c r="AO101" i="13"/>
  <c r="AN101" i="13"/>
  <c r="AM101" i="13"/>
  <c r="AL101" i="13"/>
  <c r="AP100" i="13"/>
  <c r="AO100" i="13"/>
  <c r="AN100" i="13"/>
  <c r="AM100" i="13"/>
  <c r="AL100" i="13"/>
  <c r="AP99" i="13"/>
  <c r="AO99" i="13"/>
  <c r="AN99" i="13"/>
  <c r="AM99" i="13"/>
  <c r="AL99" i="13"/>
  <c r="AP98" i="13"/>
  <c r="AO98" i="13"/>
  <c r="AN98" i="13"/>
  <c r="AM98" i="13"/>
  <c r="AL98" i="13"/>
  <c r="AP97" i="13"/>
  <c r="AO97" i="13"/>
  <c r="AN97" i="13"/>
  <c r="AM97" i="13"/>
  <c r="AL97" i="13"/>
  <c r="AP96" i="13"/>
  <c r="AO96" i="13"/>
  <c r="AN96" i="13"/>
  <c r="AM96" i="13"/>
  <c r="AL96" i="13"/>
  <c r="AP95" i="13"/>
  <c r="AO95" i="13"/>
  <c r="AN95" i="13"/>
  <c r="AM95" i="13"/>
  <c r="AL95" i="13"/>
  <c r="AP94" i="13"/>
  <c r="AO94" i="13"/>
  <c r="AN94" i="13"/>
  <c r="AM94" i="13"/>
  <c r="AL94" i="13"/>
  <c r="AP93" i="13"/>
  <c r="AO93" i="13"/>
  <c r="AN93" i="13"/>
  <c r="AM93" i="13"/>
  <c r="AL93" i="13"/>
  <c r="AP92" i="13"/>
  <c r="AO92" i="13"/>
  <c r="AN92" i="13"/>
  <c r="AM92" i="13"/>
  <c r="AL92" i="13"/>
  <c r="AP91" i="13"/>
  <c r="AO91" i="13"/>
  <c r="AN91" i="13"/>
  <c r="AM91" i="13"/>
  <c r="AL91" i="13"/>
  <c r="AP90" i="13"/>
  <c r="AO90" i="13"/>
  <c r="AN90" i="13"/>
  <c r="AM90" i="13"/>
  <c r="AL90" i="13"/>
  <c r="AP89" i="13"/>
  <c r="AO89" i="13"/>
  <c r="AN89" i="13"/>
  <c r="AM89" i="13"/>
  <c r="AL89" i="13"/>
  <c r="AP88" i="13"/>
  <c r="AO88" i="13"/>
  <c r="AN88" i="13"/>
  <c r="AM88" i="13"/>
  <c r="AL88" i="13"/>
  <c r="N89" i="13"/>
  <c r="O89" i="13"/>
  <c r="P89" i="13"/>
  <c r="Q89" i="13"/>
  <c r="R89" i="13"/>
  <c r="N90" i="13"/>
  <c r="O90" i="13"/>
  <c r="P90" i="13"/>
  <c r="Q90" i="13"/>
  <c r="R90" i="13"/>
  <c r="N91" i="13"/>
  <c r="O91" i="13"/>
  <c r="P91" i="13"/>
  <c r="Q91" i="13"/>
  <c r="R91" i="13"/>
  <c r="N92" i="13"/>
  <c r="O92" i="13"/>
  <c r="P92" i="13"/>
  <c r="Q92" i="13"/>
  <c r="R92" i="13"/>
  <c r="N93" i="13"/>
  <c r="O93" i="13"/>
  <c r="P93" i="13"/>
  <c r="Q93" i="13"/>
  <c r="R93" i="13"/>
  <c r="N94" i="13"/>
  <c r="O94" i="13"/>
  <c r="P94" i="13"/>
  <c r="Q94" i="13"/>
  <c r="R94" i="13"/>
  <c r="N95" i="13"/>
  <c r="O95" i="13"/>
  <c r="P95" i="13"/>
  <c r="Q95" i="13"/>
  <c r="R95" i="13"/>
  <c r="N96" i="13"/>
  <c r="O96" i="13"/>
  <c r="P96" i="13"/>
  <c r="Q96" i="13"/>
  <c r="R96" i="13"/>
  <c r="N97" i="13"/>
  <c r="O97" i="13"/>
  <c r="P97" i="13"/>
  <c r="Q97" i="13"/>
  <c r="R97" i="13"/>
  <c r="N98" i="13"/>
  <c r="O98" i="13"/>
  <c r="P98" i="13"/>
  <c r="Q98" i="13"/>
  <c r="R98" i="13"/>
  <c r="N99" i="13"/>
  <c r="O99" i="13"/>
  <c r="P99" i="13"/>
  <c r="Q99" i="13"/>
  <c r="R99" i="13"/>
  <c r="N100" i="13"/>
  <c r="O100" i="13"/>
  <c r="P100" i="13"/>
  <c r="Q100" i="13"/>
  <c r="R100" i="13"/>
  <c r="N101" i="13"/>
  <c r="O101" i="13"/>
  <c r="P101" i="13"/>
  <c r="Q101" i="13"/>
  <c r="R101" i="13"/>
  <c r="N102" i="13"/>
  <c r="O102" i="13"/>
  <c r="P102" i="13"/>
  <c r="Q102" i="13"/>
  <c r="R102" i="13"/>
  <c r="N103" i="13"/>
  <c r="O103" i="13"/>
  <c r="P103" i="13"/>
  <c r="Q103" i="13"/>
  <c r="R103" i="13"/>
  <c r="R88" i="13"/>
  <c r="Q88" i="13"/>
  <c r="P88" i="13"/>
  <c r="O88" i="13"/>
  <c r="N88" i="13"/>
  <c r="AC14" i="10"/>
  <c r="AD14" i="10"/>
  <c r="AC15" i="10"/>
  <c r="AD15" i="10"/>
  <c r="AC16" i="10"/>
  <c r="AD16" i="10"/>
  <c r="AC17" i="10"/>
  <c r="AD17" i="10"/>
  <c r="AC18" i="10"/>
  <c r="AD18" i="10"/>
  <c r="AC19" i="10"/>
  <c r="AD19" i="10"/>
  <c r="AC20" i="10"/>
  <c r="AD20" i="10"/>
  <c r="AC21" i="10"/>
  <c r="AD21" i="10"/>
  <c r="AC22" i="10"/>
  <c r="AD22" i="10"/>
  <c r="AC23" i="10"/>
  <c r="AD23" i="10"/>
  <c r="AC24" i="10"/>
  <c r="AD24" i="10"/>
  <c r="AC25" i="10"/>
  <c r="AD25" i="10"/>
  <c r="AC26" i="10"/>
  <c r="AD26" i="10"/>
  <c r="AC27" i="10"/>
  <c r="AD27" i="10"/>
  <c r="AC28" i="10"/>
  <c r="AD28" i="10"/>
  <c r="AD13" i="10"/>
  <c r="AC13" i="10"/>
  <c r="DH153" i="16"/>
  <c r="DE139" i="16"/>
  <c r="DF139" i="16"/>
  <c r="DG139" i="16"/>
  <c r="DH139" i="16"/>
  <c r="DI139" i="16"/>
  <c r="DE140" i="16"/>
  <c r="DF140" i="16"/>
  <c r="DG140" i="16"/>
  <c r="DH140" i="16"/>
  <c r="DI140" i="16"/>
  <c r="DE141" i="16"/>
  <c r="DF141" i="16"/>
  <c r="DG141" i="16"/>
  <c r="DH141" i="16"/>
  <c r="DI141" i="16"/>
  <c r="DE142" i="16"/>
  <c r="DF142" i="16"/>
  <c r="DG142" i="16"/>
  <c r="DH142" i="16"/>
  <c r="DI142" i="16"/>
  <c r="DE143" i="16"/>
  <c r="DF143" i="16"/>
  <c r="DG143" i="16"/>
  <c r="DH143" i="16"/>
  <c r="DI143" i="16"/>
  <c r="DE144" i="16"/>
  <c r="DF144" i="16"/>
  <c r="DG144" i="16"/>
  <c r="DH144" i="16"/>
  <c r="DI144" i="16"/>
  <c r="DE145" i="16"/>
  <c r="DF145" i="16"/>
  <c r="DG145" i="16"/>
  <c r="DH145" i="16"/>
  <c r="DI145" i="16"/>
  <c r="DE146" i="16"/>
  <c r="DF146" i="16"/>
  <c r="DG146" i="16"/>
  <c r="DH146" i="16"/>
  <c r="DI146" i="16"/>
  <c r="DE147" i="16"/>
  <c r="DF147" i="16"/>
  <c r="DG147" i="16"/>
  <c r="DH147" i="16"/>
  <c r="DI147" i="16"/>
  <c r="DE148" i="16"/>
  <c r="DF148" i="16"/>
  <c r="DG148" i="16"/>
  <c r="DH148" i="16"/>
  <c r="DI148" i="16"/>
  <c r="DE149" i="16"/>
  <c r="DF149" i="16"/>
  <c r="DG149" i="16"/>
  <c r="DH149" i="16"/>
  <c r="DI149" i="16"/>
  <c r="DE150" i="16"/>
  <c r="DF150" i="16"/>
  <c r="DG150" i="16"/>
  <c r="DH150" i="16"/>
  <c r="DI150" i="16"/>
  <c r="DE151" i="16"/>
  <c r="DF151" i="16"/>
  <c r="DG151" i="16"/>
  <c r="DH151" i="16"/>
  <c r="DI151" i="16"/>
  <c r="DE152" i="16"/>
  <c r="DF152" i="16"/>
  <c r="DG152" i="16"/>
  <c r="DH152" i="16"/>
  <c r="DI152" i="16"/>
  <c r="DE153" i="16"/>
  <c r="DF153" i="16"/>
  <c r="DG153" i="16"/>
  <c r="DI153" i="16"/>
  <c r="DI138" i="16"/>
  <c r="DH138" i="16"/>
  <c r="DG138" i="16"/>
  <c r="DF138" i="16"/>
  <c r="DE138" i="16"/>
  <c r="CG139" i="16"/>
  <c r="CH139" i="16"/>
  <c r="CI139" i="16"/>
  <c r="CJ139" i="16"/>
  <c r="CK139" i="16"/>
  <c r="CG140" i="16"/>
  <c r="CH140" i="16"/>
  <c r="CI140" i="16"/>
  <c r="CJ140" i="16"/>
  <c r="CK140" i="16"/>
  <c r="CG141" i="16"/>
  <c r="CH141" i="16"/>
  <c r="CI141" i="16"/>
  <c r="CJ141" i="16"/>
  <c r="CK141" i="16"/>
  <c r="CG142" i="16"/>
  <c r="CH142" i="16"/>
  <c r="CI142" i="16"/>
  <c r="CJ142" i="16"/>
  <c r="CK142" i="16"/>
  <c r="CG143" i="16"/>
  <c r="CH143" i="16"/>
  <c r="CI143" i="16"/>
  <c r="CJ143" i="16"/>
  <c r="CK143" i="16"/>
  <c r="CG144" i="16"/>
  <c r="CH144" i="16"/>
  <c r="CI144" i="16"/>
  <c r="CJ144" i="16"/>
  <c r="CK144" i="16"/>
  <c r="CG145" i="16"/>
  <c r="CH145" i="16"/>
  <c r="CI145" i="16"/>
  <c r="CJ145" i="16"/>
  <c r="CK145" i="16"/>
  <c r="CG146" i="16"/>
  <c r="CH146" i="16"/>
  <c r="CI146" i="16"/>
  <c r="CJ146" i="16"/>
  <c r="CK146" i="16"/>
  <c r="CG147" i="16"/>
  <c r="CH147" i="16"/>
  <c r="CI147" i="16"/>
  <c r="CJ147" i="16"/>
  <c r="CK147" i="16"/>
  <c r="CG148" i="16"/>
  <c r="CH148" i="16"/>
  <c r="CI148" i="16"/>
  <c r="CJ148" i="16"/>
  <c r="CK148" i="16"/>
  <c r="CG149" i="16"/>
  <c r="CH149" i="16"/>
  <c r="CI149" i="16"/>
  <c r="CJ149" i="16"/>
  <c r="CK149" i="16"/>
  <c r="CG150" i="16"/>
  <c r="CH150" i="16"/>
  <c r="CI150" i="16"/>
  <c r="CJ150" i="16"/>
  <c r="CK150" i="16"/>
  <c r="CG151" i="16"/>
  <c r="CH151" i="16"/>
  <c r="CI151" i="16"/>
  <c r="CJ151" i="16"/>
  <c r="CK151" i="16"/>
  <c r="CG152" i="16"/>
  <c r="CH152" i="16"/>
  <c r="CI152" i="16"/>
  <c r="CJ152" i="16"/>
  <c r="CK152" i="16"/>
  <c r="CG153" i="16"/>
  <c r="CH153" i="16"/>
  <c r="CI153" i="16"/>
  <c r="CJ153" i="16"/>
  <c r="CK153" i="16"/>
  <c r="CK138" i="16"/>
  <c r="CJ138" i="16"/>
  <c r="CI138" i="16"/>
  <c r="CH138" i="16"/>
  <c r="CG138" i="16"/>
  <c r="BI139" i="16"/>
  <c r="BJ139" i="16"/>
  <c r="BK139" i="16"/>
  <c r="BL139" i="16"/>
  <c r="BM139" i="16"/>
  <c r="BI140" i="16"/>
  <c r="BJ140" i="16"/>
  <c r="BK140" i="16"/>
  <c r="BL140" i="16"/>
  <c r="BM140" i="16"/>
  <c r="BI141" i="16"/>
  <c r="BJ141" i="16"/>
  <c r="BK141" i="16"/>
  <c r="BL141" i="16"/>
  <c r="BM141" i="16"/>
  <c r="BI142" i="16"/>
  <c r="BJ142" i="16"/>
  <c r="BK142" i="16"/>
  <c r="BL142" i="16"/>
  <c r="BM142" i="16"/>
  <c r="BI143" i="16"/>
  <c r="BJ143" i="16"/>
  <c r="BK143" i="16"/>
  <c r="BL143" i="16"/>
  <c r="BM143" i="16"/>
  <c r="BI144" i="16"/>
  <c r="BJ144" i="16"/>
  <c r="BK144" i="16"/>
  <c r="BL144" i="16"/>
  <c r="BM144" i="16"/>
  <c r="BI145" i="16"/>
  <c r="BJ145" i="16"/>
  <c r="BK145" i="16"/>
  <c r="BL145" i="16"/>
  <c r="BM145" i="16"/>
  <c r="BI146" i="16"/>
  <c r="BJ146" i="16"/>
  <c r="BK146" i="16"/>
  <c r="BL146" i="16"/>
  <c r="BM146" i="16"/>
  <c r="BI147" i="16"/>
  <c r="BJ147" i="16"/>
  <c r="BK147" i="16"/>
  <c r="BL147" i="16"/>
  <c r="BM147" i="16"/>
  <c r="BI148" i="16"/>
  <c r="BJ148" i="16"/>
  <c r="BK148" i="16"/>
  <c r="BL148" i="16"/>
  <c r="BM148" i="16"/>
  <c r="BI149" i="16"/>
  <c r="BJ149" i="16"/>
  <c r="BK149" i="16"/>
  <c r="BL149" i="16"/>
  <c r="BM149" i="16"/>
  <c r="BI150" i="16"/>
  <c r="BJ150" i="16"/>
  <c r="BK150" i="16"/>
  <c r="BL150" i="16"/>
  <c r="BM150" i="16"/>
  <c r="BI151" i="16"/>
  <c r="BJ151" i="16"/>
  <c r="BK151" i="16"/>
  <c r="BL151" i="16"/>
  <c r="BM151" i="16"/>
  <c r="BI152" i="16"/>
  <c r="BJ152" i="16"/>
  <c r="BK152" i="16"/>
  <c r="BL152" i="16"/>
  <c r="BM152" i="16"/>
  <c r="BI153" i="16"/>
  <c r="BJ153" i="16"/>
  <c r="BK153" i="16"/>
  <c r="BL153" i="16"/>
  <c r="BM153" i="16"/>
  <c r="BM138" i="16"/>
  <c r="BL138" i="16"/>
  <c r="BK138" i="16"/>
  <c r="BJ138" i="16"/>
  <c r="BI138" i="16"/>
  <c r="AK139" i="16"/>
  <c r="AL139" i="16"/>
  <c r="AM139" i="16"/>
  <c r="AN139" i="16"/>
  <c r="AO139" i="16"/>
  <c r="AK140" i="16"/>
  <c r="AL140" i="16"/>
  <c r="AM140" i="16"/>
  <c r="AN140" i="16"/>
  <c r="AO140" i="16"/>
  <c r="AK141" i="16"/>
  <c r="AL141" i="16"/>
  <c r="AM141" i="16"/>
  <c r="AN141" i="16"/>
  <c r="AO141" i="16"/>
  <c r="AK142" i="16"/>
  <c r="AL142" i="16"/>
  <c r="AM142" i="16"/>
  <c r="AN142" i="16"/>
  <c r="AO142" i="16"/>
  <c r="AK143" i="16"/>
  <c r="AL143" i="16"/>
  <c r="AM143" i="16"/>
  <c r="AN143" i="16"/>
  <c r="AO143" i="16"/>
  <c r="AK144" i="16"/>
  <c r="AL144" i="16"/>
  <c r="AM144" i="16"/>
  <c r="AN144" i="16"/>
  <c r="AO144" i="16"/>
  <c r="AK145" i="16"/>
  <c r="AL145" i="16"/>
  <c r="AM145" i="16"/>
  <c r="AN145" i="16"/>
  <c r="AO145" i="16"/>
  <c r="AK146" i="16"/>
  <c r="AL146" i="16"/>
  <c r="AM146" i="16"/>
  <c r="AN146" i="16"/>
  <c r="AO146" i="16"/>
  <c r="AK147" i="16"/>
  <c r="AL147" i="16"/>
  <c r="AM147" i="16"/>
  <c r="AN147" i="16"/>
  <c r="AO147" i="16"/>
  <c r="AK148" i="16"/>
  <c r="AL148" i="16"/>
  <c r="AM148" i="16"/>
  <c r="AN148" i="16"/>
  <c r="AO148" i="16"/>
  <c r="AK149" i="16"/>
  <c r="AL149" i="16"/>
  <c r="AM149" i="16"/>
  <c r="AN149" i="16"/>
  <c r="AO149" i="16"/>
  <c r="AK150" i="16"/>
  <c r="AL150" i="16"/>
  <c r="AM150" i="16"/>
  <c r="AN150" i="16"/>
  <c r="AO150" i="16"/>
  <c r="AK151" i="16"/>
  <c r="AL151" i="16"/>
  <c r="AM151" i="16"/>
  <c r="AN151" i="16"/>
  <c r="AO151" i="16"/>
  <c r="AK152" i="16"/>
  <c r="AL152" i="16"/>
  <c r="AM152" i="16"/>
  <c r="AN152" i="16"/>
  <c r="AO152" i="16"/>
  <c r="AK153" i="16"/>
  <c r="AL153" i="16"/>
  <c r="AM153" i="16"/>
  <c r="AN153" i="16"/>
  <c r="AO153" i="16"/>
  <c r="AO138" i="16"/>
  <c r="AN138" i="16"/>
  <c r="AM138" i="16"/>
  <c r="AL138" i="16"/>
  <c r="AK138" i="16"/>
  <c r="Q153" i="16"/>
  <c r="M138" i="16"/>
  <c r="P153" i="16"/>
  <c r="O153" i="16"/>
  <c r="N153" i="16"/>
  <c r="M153" i="16"/>
  <c r="Q152" i="16"/>
  <c r="P152" i="16"/>
  <c r="O152" i="16"/>
  <c r="N152" i="16"/>
  <c r="M152" i="16"/>
  <c r="Q151" i="16"/>
  <c r="P151" i="16"/>
  <c r="O151" i="16"/>
  <c r="N151" i="16"/>
  <c r="M151" i="16"/>
  <c r="Q150" i="16"/>
  <c r="P150" i="16"/>
  <c r="O150" i="16"/>
  <c r="N150" i="16"/>
  <c r="M150" i="16"/>
  <c r="Q149" i="16"/>
  <c r="P149" i="16"/>
  <c r="O149" i="16"/>
  <c r="N149" i="16"/>
  <c r="M149" i="16"/>
  <c r="Q148" i="16"/>
  <c r="P148" i="16"/>
  <c r="O148" i="16"/>
  <c r="N148" i="16"/>
  <c r="M148" i="16"/>
  <c r="Q147" i="16"/>
  <c r="P147" i="16"/>
  <c r="O147" i="16"/>
  <c r="N147" i="16"/>
  <c r="M147" i="16"/>
  <c r="Q146" i="16"/>
  <c r="P146" i="16"/>
  <c r="O146" i="16"/>
  <c r="N146" i="16"/>
  <c r="M146" i="16"/>
  <c r="Q145" i="16"/>
  <c r="P145" i="16"/>
  <c r="O145" i="16"/>
  <c r="N145" i="16"/>
  <c r="M145" i="16"/>
  <c r="Q144" i="16"/>
  <c r="P144" i="16"/>
  <c r="O144" i="16"/>
  <c r="N144" i="16"/>
  <c r="M144" i="16"/>
  <c r="Q143" i="16"/>
  <c r="P143" i="16"/>
  <c r="O143" i="16"/>
  <c r="N143" i="16"/>
  <c r="M143" i="16"/>
  <c r="Q142" i="16"/>
  <c r="P142" i="16"/>
  <c r="O142" i="16"/>
  <c r="N142" i="16"/>
  <c r="M142" i="16"/>
  <c r="Q141" i="16"/>
  <c r="P141" i="16"/>
  <c r="O141" i="16"/>
  <c r="N141" i="16"/>
  <c r="M141" i="16"/>
  <c r="Q140" i="16"/>
  <c r="P140" i="16"/>
  <c r="O140" i="16"/>
  <c r="N140" i="16"/>
  <c r="M140" i="16"/>
  <c r="Q139" i="16"/>
  <c r="P139" i="16"/>
  <c r="O139" i="16"/>
  <c r="N139" i="16"/>
  <c r="M139" i="16"/>
  <c r="Q138" i="16"/>
  <c r="P138" i="16"/>
  <c r="O138" i="16"/>
  <c r="N138" i="16"/>
  <c r="DI153" i="15"/>
  <c r="DH153" i="15"/>
  <c r="DG153" i="15"/>
  <c r="DF153" i="15"/>
  <c r="DE153" i="15"/>
  <c r="DI152" i="15"/>
  <c r="DH152" i="15"/>
  <c r="DG152" i="15"/>
  <c r="DF152" i="15"/>
  <c r="DE152" i="15"/>
  <c r="DI151" i="15"/>
  <c r="DH151" i="15"/>
  <c r="DG151" i="15"/>
  <c r="DF151" i="15"/>
  <c r="DE151" i="15"/>
  <c r="DI150" i="15"/>
  <c r="DH150" i="15"/>
  <c r="DG150" i="15"/>
  <c r="DF150" i="15"/>
  <c r="DE150" i="15"/>
  <c r="DI149" i="15"/>
  <c r="DH149" i="15"/>
  <c r="DG149" i="15"/>
  <c r="DF149" i="15"/>
  <c r="DE149" i="15"/>
  <c r="DI148" i="15"/>
  <c r="DH148" i="15"/>
  <c r="DG148" i="15"/>
  <c r="DF148" i="15"/>
  <c r="DE148" i="15"/>
  <c r="DI147" i="15"/>
  <c r="DH147" i="15"/>
  <c r="DG147" i="15"/>
  <c r="DF147" i="15"/>
  <c r="DE147" i="15"/>
  <c r="DI146" i="15"/>
  <c r="DH146" i="15"/>
  <c r="DG146" i="15"/>
  <c r="DF146" i="15"/>
  <c r="DE146" i="15"/>
  <c r="DI145" i="15"/>
  <c r="DH145" i="15"/>
  <c r="DG145" i="15"/>
  <c r="DF145" i="15"/>
  <c r="DE145" i="15"/>
  <c r="DI144" i="15"/>
  <c r="DH144" i="15"/>
  <c r="DG144" i="15"/>
  <c r="DF144" i="15"/>
  <c r="DE144" i="15"/>
  <c r="DI143" i="15"/>
  <c r="DH143" i="15"/>
  <c r="DG143" i="15"/>
  <c r="DF143" i="15"/>
  <c r="DE143" i="15"/>
  <c r="DI142" i="15"/>
  <c r="DH142" i="15"/>
  <c r="DG142" i="15"/>
  <c r="DF142" i="15"/>
  <c r="DE142" i="15"/>
  <c r="DI141" i="15"/>
  <c r="DH141" i="15"/>
  <c r="DG141" i="15"/>
  <c r="DF141" i="15"/>
  <c r="DE141" i="15"/>
  <c r="DI140" i="15"/>
  <c r="DH140" i="15"/>
  <c r="DG140" i="15"/>
  <c r="DF140" i="15"/>
  <c r="DE140" i="15"/>
  <c r="DI139" i="15"/>
  <c r="DH139" i="15"/>
  <c r="DG139" i="15"/>
  <c r="DF139" i="15"/>
  <c r="DE139" i="15"/>
  <c r="DI138" i="15"/>
  <c r="DH138" i="15"/>
  <c r="DG138" i="15"/>
  <c r="DF138" i="15"/>
  <c r="DE138" i="15"/>
  <c r="CK153" i="15"/>
  <c r="CJ153" i="15"/>
  <c r="CI153" i="15"/>
  <c r="CH153" i="15"/>
  <c r="CG153" i="15"/>
  <c r="CK152" i="15"/>
  <c r="CJ152" i="15"/>
  <c r="CI152" i="15"/>
  <c r="CH152" i="15"/>
  <c r="CG152" i="15"/>
  <c r="CK151" i="15"/>
  <c r="CJ151" i="15"/>
  <c r="CI151" i="15"/>
  <c r="CH151" i="15"/>
  <c r="CG151" i="15"/>
  <c r="CK150" i="15"/>
  <c r="CJ150" i="15"/>
  <c r="CI150" i="15"/>
  <c r="CH150" i="15"/>
  <c r="CG150" i="15"/>
  <c r="CK149" i="15"/>
  <c r="CJ149" i="15"/>
  <c r="CI149" i="15"/>
  <c r="CH149" i="15"/>
  <c r="CG149" i="15"/>
  <c r="CK148" i="15"/>
  <c r="CJ148" i="15"/>
  <c r="CI148" i="15"/>
  <c r="CH148" i="15"/>
  <c r="CG148" i="15"/>
  <c r="CK147" i="15"/>
  <c r="CJ147" i="15"/>
  <c r="CI147" i="15"/>
  <c r="CH147" i="15"/>
  <c r="CG147" i="15"/>
  <c r="CK146" i="15"/>
  <c r="CJ146" i="15"/>
  <c r="CI146" i="15"/>
  <c r="CH146" i="15"/>
  <c r="CG146" i="15"/>
  <c r="CK145" i="15"/>
  <c r="CJ145" i="15"/>
  <c r="CI145" i="15"/>
  <c r="CH145" i="15"/>
  <c r="CG145" i="15"/>
  <c r="CK144" i="15"/>
  <c r="CJ144" i="15"/>
  <c r="CI144" i="15"/>
  <c r="CH144" i="15"/>
  <c r="CG144" i="15"/>
  <c r="CK143" i="15"/>
  <c r="CJ143" i="15"/>
  <c r="CI143" i="15"/>
  <c r="CH143" i="15"/>
  <c r="CG143" i="15"/>
  <c r="CK142" i="15"/>
  <c r="CJ142" i="15"/>
  <c r="CI142" i="15"/>
  <c r="CH142" i="15"/>
  <c r="CG142" i="15"/>
  <c r="CK141" i="15"/>
  <c r="CJ141" i="15"/>
  <c r="CI141" i="15"/>
  <c r="CH141" i="15"/>
  <c r="CG141" i="15"/>
  <c r="CK140" i="15"/>
  <c r="CJ140" i="15"/>
  <c r="CI140" i="15"/>
  <c r="CH140" i="15"/>
  <c r="CG140" i="15"/>
  <c r="CK139" i="15"/>
  <c r="CJ139" i="15"/>
  <c r="CI139" i="15"/>
  <c r="CH139" i="15"/>
  <c r="CG139" i="15"/>
  <c r="CK138" i="15"/>
  <c r="CJ138" i="15"/>
  <c r="CI138" i="15"/>
  <c r="CH138" i="15"/>
  <c r="CG138" i="15"/>
  <c r="BM153" i="15"/>
  <c r="BL153" i="15"/>
  <c r="BK153" i="15"/>
  <c r="BJ153" i="15"/>
  <c r="BI153" i="15"/>
  <c r="BM152" i="15"/>
  <c r="BL152" i="15"/>
  <c r="BK152" i="15"/>
  <c r="BJ152" i="15"/>
  <c r="BI152" i="15"/>
  <c r="BM151" i="15"/>
  <c r="BL151" i="15"/>
  <c r="BK151" i="15"/>
  <c r="BJ151" i="15"/>
  <c r="BI151" i="15"/>
  <c r="BM150" i="15"/>
  <c r="BL150" i="15"/>
  <c r="BK150" i="15"/>
  <c r="BJ150" i="15"/>
  <c r="BI150" i="15"/>
  <c r="BM149" i="15"/>
  <c r="BL149" i="15"/>
  <c r="BK149" i="15"/>
  <c r="BJ149" i="15"/>
  <c r="BI149" i="15"/>
  <c r="BM148" i="15"/>
  <c r="BL148" i="15"/>
  <c r="BK148" i="15"/>
  <c r="BJ148" i="15"/>
  <c r="BI148" i="15"/>
  <c r="BM147" i="15"/>
  <c r="BL147" i="15"/>
  <c r="BK147" i="15"/>
  <c r="BJ147" i="15"/>
  <c r="BI147" i="15"/>
  <c r="BM146" i="15"/>
  <c r="BL146" i="15"/>
  <c r="BK146" i="15"/>
  <c r="BJ146" i="15"/>
  <c r="BI146" i="15"/>
  <c r="BM145" i="15"/>
  <c r="BL145" i="15"/>
  <c r="BK145" i="15"/>
  <c r="BJ145" i="15"/>
  <c r="BI145" i="15"/>
  <c r="BM144" i="15"/>
  <c r="BL144" i="15"/>
  <c r="BK144" i="15"/>
  <c r="BJ144" i="15"/>
  <c r="BI144" i="15"/>
  <c r="BM143" i="15"/>
  <c r="BL143" i="15"/>
  <c r="BK143" i="15"/>
  <c r="BJ143" i="15"/>
  <c r="BI143" i="15"/>
  <c r="BM142" i="15"/>
  <c r="BL142" i="15"/>
  <c r="BK142" i="15"/>
  <c r="BJ142" i="15"/>
  <c r="BI142" i="15"/>
  <c r="BM141" i="15"/>
  <c r="BL141" i="15"/>
  <c r="BK141" i="15"/>
  <c r="BJ141" i="15"/>
  <c r="BI141" i="15"/>
  <c r="BM140" i="15"/>
  <c r="BL140" i="15"/>
  <c r="BK140" i="15"/>
  <c r="BJ140" i="15"/>
  <c r="BI140" i="15"/>
  <c r="BM139" i="15"/>
  <c r="BL139" i="15"/>
  <c r="BK139" i="15"/>
  <c r="BJ139" i="15"/>
  <c r="BI139" i="15"/>
  <c r="BM138" i="15"/>
  <c r="BL138" i="15"/>
  <c r="BK138" i="15"/>
  <c r="BJ138" i="15"/>
  <c r="BI138" i="15"/>
  <c r="AO153" i="15"/>
  <c r="AN153" i="15"/>
  <c r="AM153" i="15"/>
  <c r="AL153" i="15"/>
  <c r="AK153" i="15"/>
  <c r="AO152" i="15"/>
  <c r="AN152" i="15"/>
  <c r="AM152" i="15"/>
  <c r="AL152" i="15"/>
  <c r="AK152" i="15"/>
  <c r="AO151" i="15"/>
  <c r="AN151" i="15"/>
  <c r="AM151" i="15"/>
  <c r="AL151" i="15"/>
  <c r="AK151" i="15"/>
  <c r="AO150" i="15"/>
  <c r="AN150" i="15"/>
  <c r="AM150" i="15"/>
  <c r="AL150" i="15"/>
  <c r="AK150" i="15"/>
  <c r="AO149" i="15"/>
  <c r="AN149" i="15"/>
  <c r="AM149" i="15"/>
  <c r="AL149" i="15"/>
  <c r="AK149" i="15"/>
  <c r="AO148" i="15"/>
  <c r="AN148" i="15"/>
  <c r="AM148" i="15"/>
  <c r="AL148" i="15"/>
  <c r="AK148" i="15"/>
  <c r="AO147" i="15"/>
  <c r="AN147" i="15"/>
  <c r="AM147" i="15"/>
  <c r="AL147" i="15"/>
  <c r="AK147" i="15"/>
  <c r="AO146" i="15"/>
  <c r="AN146" i="15"/>
  <c r="AM146" i="15"/>
  <c r="AL146" i="15"/>
  <c r="AK146" i="15"/>
  <c r="AO145" i="15"/>
  <c r="AN145" i="15"/>
  <c r="AM145" i="15"/>
  <c r="AL145" i="15"/>
  <c r="AK145" i="15"/>
  <c r="AO144" i="15"/>
  <c r="AN144" i="15"/>
  <c r="AM144" i="15"/>
  <c r="AL144" i="15"/>
  <c r="AK144" i="15"/>
  <c r="AO143" i="15"/>
  <c r="AN143" i="15"/>
  <c r="AM143" i="15"/>
  <c r="AL143" i="15"/>
  <c r="AK143" i="15"/>
  <c r="AO142" i="15"/>
  <c r="AN142" i="15"/>
  <c r="AM142" i="15"/>
  <c r="AL142" i="15"/>
  <c r="AK142" i="15"/>
  <c r="AO141" i="15"/>
  <c r="AN141" i="15"/>
  <c r="AM141" i="15"/>
  <c r="AL141" i="15"/>
  <c r="AK141" i="15"/>
  <c r="AO140" i="15"/>
  <c r="AN140" i="15"/>
  <c r="AM140" i="15"/>
  <c r="AL140" i="15"/>
  <c r="AK140" i="15"/>
  <c r="AO139" i="15"/>
  <c r="AN139" i="15"/>
  <c r="AM139" i="15"/>
  <c r="AL139" i="15"/>
  <c r="AK139" i="15"/>
  <c r="AO138" i="15"/>
  <c r="AN138" i="15"/>
  <c r="AM138" i="15"/>
  <c r="AL138" i="15"/>
  <c r="AK138" i="15"/>
  <c r="Q153" i="15"/>
  <c r="P153" i="15"/>
  <c r="O153" i="15"/>
  <c r="N153" i="15"/>
  <c r="M153" i="15"/>
  <c r="Q152" i="15"/>
  <c r="P152" i="15"/>
  <c r="O152" i="15"/>
  <c r="N152" i="15"/>
  <c r="M152" i="15"/>
  <c r="Q151" i="15"/>
  <c r="P151" i="15"/>
  <c r="O151" i="15"/>
  <c r="N151" i="15"/>
  <c r="M151" i="15"/>
  <c r="Q150" i="15"/>
  <c r="P150" i="15"/>
  <c r="O150" i="15"/>
  <c r="N150" i="15"/>
  <c r="M150" i="15"/>
  <c r="Q149" i="15"/>
  <c r="P149" i="15"/>
  <c r="O149" i="15"/>
  <c r="N149" i="15"/>
  <c r="M149" i="15"/>
  <c r="Q148" i="15"/>
  <c r="P148" i="15"/>
  <c r="O148" i="15"/>
  <c r="N148" i="15"/>
  <c r="M148" i="15"/>
  <c r="Q147" i="15"/>
  <c r="P147" i="15"/>
  <c r="O147" i="15"/>
  <c r="N147" i="15"/>
  <c r="M147" i="15"/>
  <c r="Q146" i="15"/>
  <c r="P146" i="15"/>
  <c r="O146" i="15"/>
  <c r="N146" i="15"/>
  <c r="M146" i="15"/>
  <c r="Q145" i="15"/>
  <c r="P145" i="15"/>
  <c r="O145" i="15"/>
  <c r="N145" i="15"/>
  <c r="M145" i="15"/>
  <c r="Q144" i="15"/>
  <c r="P144" i="15"/>
  <c r="O144" i="15"/>
  <c r="N144" i="15"/>
  <c r="M144" i="15"/>
  <c r="Q143" i="15"/>
  <c r="P143" i="15"/>
  <c r="O143" i="15"/>
  <c r="N143" i="15"/>
  <c r="M143" i="15"/>
  <c r="Q142" i="15"/>
  <c r="P142" i="15"/>
  <c r="O142" i="15"/>
  <c r="N142" i="15"/>
  <c r="M142" i="15"/>
  <c r="Q141" i="15"/>
  <c r="P141" i="15"/>
  <c r="O141" i="15"/>
  <c r="N141" i="15"/>
  <c r="M141" i="15"/>
  <c r="Q140" i="15"/>
  <c r="P140" i="15"/>
  <c r="O140" i="15"/>
  <c r="N140" i="15"/>
  <c r="M140" i="15"/>
  <c r="Q139" i="15"/>
  <c r="P139" i="15"/>
  <c r="O139" i="15"/>
  <c r="N139" i="15"/>
  <c r="M139" i="15"/>
  <c r="Q138" i="15"/>
  <c r="P138" i="15"/>
  <c r="O138" i="15"/>
  <c r="N138" i="15"/>
  <c r="M138" i="15"/>
  <c r="DI153" i="14"/>
  <c r="DH153" i="14"/>
  <c r="DG153" i="14"/>
  <c r="DF153" i="14"/>
  <c r="DE153" i="14"/>
  <c r="DI152" i="14"/>
  <c r="DH152" i="14"/>
  <c r="DG152" i="14"/>
  <c r="DF152" i="14"/>
  <c r="DE152" i="14"/>
  <c r="DI151" i="14"/>
  <c r="DH151" i="14"/>
  <c r="DG151" i="14"/>
  <c r="DF151" i="14"/>
  <c r="DE151" i="14"/>
  <c r="DI150" i="14"/>
  <c r="DH150" i="14"/>
  <c r="DG150" i="14"/>
  <c r="DF150" i="14"/>
  <c r="DE150" i="14"/>
  <c r="DI149" i="14"/>
  <c r="DH149" i="14"/>
  <c r="DG149" i="14"/>
  <c r="DF149" i="14"/>
  <c r="DE149" i="14"/>
  <c r="DI148" i="14"/>
  <c r="DH148" i="14"/>
  <c r="DG148" i="14"/>
  <c r="DF148" i="14"/>
  <c r="DE148" i="14"/>
  <c r="DI147" i="14"/>
  <c r="DH147" i="14"/>
  <c r="DG147" i="14"/>
  <c r="DF147" i="14"/>
  <c r="DE147" i="14"/>
  <c r="DI146" i="14"/>
  <c r="DH146" i="14"/>
  <c r="DG146" i="14"/>
  <c r="DF146" i="14"/>
  <c r="DE146" i="14"/>
  <c r="DI145" i="14"/>
  <c r="DH145" i="14"/>
  <c r="DG145" i="14"/>
  <c r="DF145" i="14"/>
  <c r="DE145" i="14"/>
  <c r="DI144" i="14"/>
  <c r="DH144" i="14"/>
  <c r="DG144" i="14"/>
  <c r="DF144" i="14"/>
  <c r="DE144" i="14"/>
  <c r="DI143" i="14"/>
  <c r="DH143" i="14"/>
  <c r="DG143" i="14"/>
  <c r="DF143" i="14"/>
  <c r="DE143" i="14"/>
  <c r="DI142" i="14"/>
  <c r="DH142" i="14"/>
  <c r="DG142" i="14"/>
  <c r="DF142" i="14"/>
  <c r="DE142" i="14"/>
  <c r="DI141" i="14"/>
  <c r="DH141" i="14"/>
  <c r="DG141" i="14"/>
  <c r="DF141" i="14"/>
  <c r="DE141" i="14"/>
  <c r="DI140" i="14"/>
  <c r="DH140" i="14"/>
  <c r="DG140" i="14"/>
  <c r="DF140" i="14"/>
  <c r="DE140" i="14"/>
  <c r="DI139" i="14"/>
  <c r="DH139" i="14"/>
  <c r="DG139" i="14"/>
  <c r="DF139" i="14"/>
  <c r="DE139" i="14"/>
  <c r="DI138" i="14"/>
  <c r="DH138" i="14"/>
  <c r="DG138" i="14"/>
  <c r="DF138" i="14"/>
  <c r="DE138" i="14"/>
  <c r="CK153" i="14"/>
  <c r="CJ153" i="14"/>
  <c r="CI153" i="14"/>
  <c r="CH153" i="14"/>
  <c r="CG153" i="14"/>
  <c r="CK152" i="14"/>
  <c r="CJ152" i="14"/>
  <c r="CI152" i="14"/>
  <c r="CH152" i="14"/>
  <c r="CG152" i="14"/>
  <c r="CK151" i="14"/>
  <c r="CJ151" i="14"/>
  <c r="CI151" i="14"/>
  <c r="CH151" i="14"/>
  <c r="CG151" i="14"/>
  <c r="CK150" i="14"/>
  <c r="CJ150" i="14"/>
  <c r="CI150" i="14"/>
  <c r="CH150" i="14"/>
  <c r="CG150" i="14"/>
  <c r="CK149" i="14"/>
  <c r="CJ149" i="14"/>
  <c r="CI149" i="14"/>
  <c r="CH149" i="14"/>
  <c r="CG149" i="14"/>
  <c r="CK148" i="14"/>
  <c r="CJ148" i="14"/>
  <c r="CI148" i="14"/>
  <c r="CH148" i="14"/>
  <c r="CG148" i="14"/>
  <c r="CK147" i="14"/>
  <c r="CJ147" i="14"/>
  <c r="CI147" i="14"/>
  <c r="CH147" i="14"/>
  <c r="CG147" i="14"/>
  <c r="CK146" i="14"/>
  <c r="CJ146" i="14"/>
  <c r="CI146" i="14"/>
  <c r="CH146" i="14"/>
  <c r="CG146" i="14"/>
  <c r="CK145" i="14"/>
  <c r="CJ145" i="14"/>
  <c r="CI145" i="14"/>
  <c r="CH145" i="14"/>
  <c r="CG145" i="14"/>
  <c r="CK144" i="14"/>
  <c r="CJ144" i="14"/>
  <c r="CI144" i="14"/>
  <c r="CH144" i="14"/>
  <c r="CG144" i="14"/>
  <c r="CK143" i="14"/>
  <c r="CJ143" i="14"/>
  <c r="CI143" i="14"/>
  <c r="CH143" i="14"/>
  <c r="CG143" i="14"/>
  <c r="CK142" i="14"/>
  <c r="CJ142" i="14"/>
  <c r="CI142" i="14"/>
  <c r="CH142" i="14"/>
  <c r="CG142" i="14"/>
  <c r="CK141" i="14"/>
  <c r="CJ141" i="14"/>
  <c r="CI141" i="14"/>
  <c r="CH141" i="14"/>
  <c r="CG141" i="14"/>
  <c r="CK140" i="14"/>
  <c r="CJ140" i="14"/>
  <c r="CI140" i="14"/>
  <c r="CH140" i="14"/>
  <c r="CG140" i="14"/>
  <c r="CK139" i="14"/>
  <c r="CJ139" i="14"/>
  <c r="CI139" i="14"/>
  <c r="CH139" i="14"/>
  <c r="CG139" i="14"/>
  <c r="CK138" i="14"/>
  <c r="CJ138" i="14"/>
  <c r="CI138" i="14"/>
  <c r="CH138" i="14"/>
  <c r="CG138" i="14"/>
  <c r="BM153" i="14"/>
  <c r="BL153" i="14"/>
  <c r="BK153" i="14"/>
  <c r="BJ153" i="14"/>
  <c r="BI153" i="14"/>
  <c r="BM152" i="14"/>
  <c r="BL152" i="14"/>
  <c r="BK152" i="14"/>
  <c r="BJ152" i="14"/>
  <c r="BI152" i="14"/>
  <c r="BM151" i="14"/>
  <c r="BL151" i="14"/>
  <c r="BK151" i="14"/>
  <c r="BJ151" i="14"/>
  <c r="BI151" i="14"/>
  <c r="BM150" i="14"/>
  <c r="BL150" i="14"/>
  <c r="BK150" i="14"/>
  <c r="BJ150" i="14"/>
  <c r="BI150" i="14"/>
  <c r="BM149" i="14"/>
  <c r="BL149" i="14"/>
  <c r="BK149" i="14"/>
  <c r="BJ149" i="14"/>
  <c r="BI149" i="14"/>
  <c r="BM148" i="14"/>
  <c r="BL148" i="14"/>
  <c r="BK148" i="14"/>
  <c r="BJ148" i="14"/>
  <c r="BI148" i="14"/>
  <c r="BM147" i="14"/>
  <c r="BL147" i="14"/>
  <c r="BK147" i="14"/>
  <c r="BJ147" i="14"/>
  <c r="BI147" i="14"/>
  <c r="BM146" i="14"/>
  <c r="BL146" i="14"/>
  <c r="BK146" i="14"/>
  <c r="BJ146" i="14"/>
  <c r="BI146" i="14"/>
  <c r="BM145" i="14"/>
  <c r="BL145" i="14"/>
  <c r="BK145" i="14"/>
  <c r="BJ145" i="14"/>
  <c r="BI145" i="14"/>
  <c r="BM144" i="14"/>
  <c r="BL144" i="14"/>
  <c r="BK144" i="14"/>
  <c r="BJ144" i="14"/>
  <c r="BI144" i="14"/>
  <c r="BM143" i="14"/>
  <c r="BL143" i="14"/>
  <c r="BK143" i="14"/>
  <c r="BJ143" i="14"/>
  <c r="BI143" i="14"/>
  <c r="BM142" i="14"/>
  <c r="BL142" i="14"/>
  <c r="BK142" i="14"/>
  <c r="BJ142" i="14"/>
  <c r="BI142" i="14"/>
  <c r="BM141" i="14"/>
  <c r="BL141" i="14"/>
  <c r="BK141" i="14"/>
  <c r="BJ141" i="14"/>
  <c r="BI141" i="14"/>
  <c r="BM140" i="14"/>
  <c r="BL140" i="14"/>
  <c r="BK140" i="14"/>
  <c r="BJ140" i="14"/>
  <c r="BI140" i="14"/>
  <c r="BM139" i="14"/>
  <c r="BL139" i="14"/>
  <c r="BK139" i="14"/>
  <c r="BJ139" i="14"/>
  <c r="BI139" i="14"/>
  <c r="BM138" i="14"/>
  <c r="BL138" i="14"/>
  <c r="BK138" i="14"/>
  <c r="BJ138" i="14"/>
  <c r="BI138" i="14"/>
  <c r="AO153" i="14"/>
  <c r="AN153" i="14"/>
  <c r="AM153" i="14"/>
  <c r="AL153" i="14"/>
  <c r="AK153" i="14"/>
  <c r="AO152" i="14"/>
  <c r="AN152" i="14"/>
  <c r="AM152" i="14"/>
  <c r="AL152" i="14"/>
  <c r="AK152" i="14"/>
  <c r="AO151" i="14"/>
  <c r="AN151" i="14"/>
  <c r="AM151" i="14"/>
  <c r="AL151" i="14"/>
  <c r="AK151" i="14"/>
  <c r="AO150" i="14"/>
  <c r="AN150" i="14"/>
  <c r="AM150" i="14"/>
  <c r="AL150" i="14"/>
  <c r="AK150" i="14"/>
  <c r="AO149" i="14"/>
  <c r="AN149" i="14"/>
  <c r="AM149" i="14"/>
  <c r="AL149" i="14"/>
  <c r="AK149" i="14"/>
  <c r="AO148" i="14"/>
  <c r="AN148" i="14"/>
  <c r="AM148" i="14"/>
  <c r="AL148" i="14"/>
  <c r="AK148" i="14"/>
  <c r="AO147" i="14"/>
  <c r="AN147" i="14"/>
  <c r="AM147" i="14"/>
  <c r="AL147" i="14"/>
  <c r="AK147" i="14"/>
  <c r="AO146" i="14"/>
  <c r="AN146" i="14"/>
  <c r="AM146" i="14"/>
  <c r="AL146" i="14"/>
  <c r="AK146" i="14"/>
  <c r="AO145" i="14"/>
  <c r="AN145" i="14"/>
  <c r="AM145" i="14"/>
  <c r="AL145" i="14"/>
  <c r="AK145" i="14"/>
  <c r="AO144" i="14"/>
  <c r="AN144" i="14"/>
  <c r="AM144" i="14"/>
  <c r="AL144" i="14"/>
  <c r="AK144" i="14"/>
  <c r="AO143" i="14"/>
  <c r="AN143" i="14"/>
  <c r="AM143" i="14"/>
  <c r="AL143" i="14"/>
  <c r="AK143" i="14"/>
  <c r="AO142" i="14"/>
  <c r="AN142" i="14"/>
  <c r="AM142" i="14"/>
  <c r="AL142" i="14"/>
  <c r="AK142" i="14"/>
  <c r="AO141" i="14"/>
  <c r="AN141" i="14"/>
  <c r="AM141" i="14"/>
  <c r="AL141" i="14"/>
  <c r="AK141" i="14"/>
  <c r="AO140" i="14"/>
  <c r="AN140" i="14"/>
  <c r="AM140" i="14"/>
  <c r="AL140" i="14"/>
  <c r="AK140" i="14"/>
  <c r="AO139" i="14"/>
  <c r="AN139" i="14"/>
  <c r="AM139" i="14"/>
  <c r="AL139" i="14"/>
  <c r="AK139" i="14"/>
  <c r="AO138" i="14"/>
  <c r="AN138" i="14"/>
  <c r="AM138" i="14"/>
  <c r="AL138" i="14"/>
  <c r="AK138" i="14"/>
  <c r="Q153" i="14"/>
  <c r="P153" i="14"/>
  <c r="O153" i="14"/>
  <c r="N153" i="14"/>
  <c r="M153" i="14"/>
  <c r="Q152" i="14"/>
  <c r="P152" i="14"/>
  <c r="O152" i="14"/>
  <c r="N152" i="14"/>
  <c r="M152" i="14"/>
  <c r="Q151" i="14"/>
  <c r="P151" i="14"/>
  <c r="O151" i="14"/>
  <c r="N151" i="14"/>
  <c r="M151" i="14"/>
  <c r="Q150" i="14"/>
  <c r="P150" i="14"/>
  <c r="O150" i="14"/>
  <c r="N150" i="14"/>
  <c r="M150" i="14"/>
  <c r="Q149" i="14"/>
  <c r="P149" i="14"/>
  <c r="O149" i="14"/>
  <c r="N149" i="14"/>
  <c r="M149" i="14"/>
  <c r="Q148" i="14"/>
  <c r="P148" i="14"/>
  <c r="O148" i="14"/>
  <c r="N148" i="14"/>
  <c r="M148" i="14"/>
  <c r="Q147" i="14"/>
  <c r="P147" i="14"/>
  <c r="O147" i="14"/>
  <c r="N147" i="14"/>
  <c r="M147" i="14"/>
  <c r="Q146" i="14"/>
  <c r="P146" i="14"/>
  <c r="O146" i="14"/>
  <c r="N146" i="14"/>
  <c r="M146" i="14"/>
  <c r="Q145" i="14"/>
  <c r="P145" i="14"/>
  <c r="O145" i="14"/>
  <c r="N145" i="14"/>
  <c r="M145" i="14"/>
  <c r="Q144" i="14"/>
  <c r="P144" i="14"/>
  <c r="O144" i="14"/>
  <c r="N144" i="14"/>
  <c r="M144" i="14"/>
  <c r="Q143" i="14"/>
  <c r="P143" i="14"/>
  <c r="O143" i="14"/>
  <c r="N143" i="14"/>
  <c r="M143" i="14"/>
  <c r="Q142" i="14"/>
  <c r="P142" i="14"/>
  <c r="O142" i="14"/>
  <c r="N142" i="14"/>
  <c r="M142" i="14"/>
  <c r="Q141" i="14"/>
  <c r="P141" i="14"/>
  <c r="O141" i="14"/>
  <c r="N141" i="14"/>
  <c r="M141" i="14"/>
  <c r="Q140" i="14"/>
  <c r="P140" i="14"/>
  <c r="O140" i="14"/>
  <c r="N140" i="14"/>
  <c r="M140" i="14"/>
  <c r="Q139" i="14"/>
  <c r="P139" i="14"/>
  <c r="O139" i="14"/>
  <c r="N139" i="14"/>
  <c r="M139" i="14"/>
  <c r="Q138" i="14"/>
  <c r="P138" i="14"/>
  <c r="O138" i="14"/>
  <c r="N138" i="14"/>
  <c r="M138" i="14"/>
  <c r="DI153" i="13"/>
  <c r="DH153" i="13"/>
  <c r="DG153" i="13"/>
  <c r="DF153" i="13"/>
  <c r="DE153" i="13"/>
  <c r="DI152" i="13"/>
  <c r="DH152" i="13"/>
  <c r="DG152" i="13"/>
  <c r="DF152" i="13"/>
  <c r="DE152" i="13"/>
  <c r="DI151" i="13"/>
  <c r="DH151" i="13"/>
  <c r="DG151" i="13"/>
  <c r="DF151" i="13"/>
  <c r="DE151" i="13"/>
  <c r="DI150" i="13"/>
  <c r="DH150" i="13"/>
  <c r="DG150" i="13"/>
  <c r="DF150" i="13"/>
  <c r="DE150" i="13"/>
  <c r="DI149" i="13"/>
  <c r="DH149" i="13"/>
  <c r="DG149" i="13"/>
  <c r="DF149" i="13"/>
  <c r="DE149" i="13"/>
  <c r="DI148" i="13"/>
  <c r="DH148" i="13"/>
  <c r="DG148" i="13"/>
  <c r="DF148" i="13"/>
  <c r="DE148" i="13"/>
  <c r="DI147" i="13"/>
  <c r="DH147" i="13"/>
  <c r="DG147" i="13"/>
  <c r="DF147" i="13"/>
  <c r="DE147" i="13"/>
  <c r="DI146" i="13"/>
  <c r="DH146" i="13"/>
  <c r="DG146" i="13"/>
  <c r="DF146" i="13"/>
  <c r="DE146" i="13"/>
  <c r="DI145" i="13"/>
  <c r="DH145" i="13"/>
  <c r="DG145" i="13"/>
  <c r="DF145" i="13"/>
  <c r="DE145" i="13"/>
  <c r="DI144" i="13"/>
  <c r="DH144" i="13"/>
  <c r="DG144" i="13"/>
  <c r="DF144" i="13"/>
  <c r="DE144" i="13"/>
  <c r="DI143" i="13"/>
  <c r="DH143" i="13"/>
  <c r="DG143" i="13"/>
  <c r="DF143" i="13"/>
  <c r="DE143" i="13"/>
  <c r="DI142" i="13"/>
  <c r="DH142" i="13"/>
  <c r="DG142" i="13"/>
  <c r="DF142" i="13"/>
  <c r="DE142" i="13"/>
  <c r="DI141" i="13"/>
  <c r="DH141" i="13"/>
  <c r="DG141" i="13"/>
  <c r="DF141" i="13"/>
  <c r="DE141" i="13"/>
  <c r="DI140" i="13"/>
  <c r="DH140" i="13"/>
  <c r="DG140" i="13"/>
  <c r="DF140" i="13"/>
  <c r="DE140" i="13"/>
  <c r="DI139" i="13"/>
  <c r="DH139" i="13"/>
  <c r="DG139" i="13"/>
  <c r="DF139" i="13"/>
  <c r="DE139" i="13"/>
  <c r="DI138" i="13"/>
  <c r="DH138" i="13"/>
  <c r="DG138" i="13"/>
  <c r="DF138" i="13"/>
  <c r="DE138" i="13"/>
  <c r="CK153" i="13"/>
  <c r="CJ153" i="13"/>
  <c r="CI153" i="13"/>
  <c r="CH153" i="13"/>
  <c r="CG153" i="13"/>
  <c r="CK152" i="13"/>
  <c r="CJ152" i="13"/>
  <c r="CI152" i="13"/>
  <c r="CH152" i="13"/>
  <c r="CG152" i="13"/>
  <c r="CK151" i="13"/>
  <c r="CJ151" i="13"/>
  <c r="CI151" i="13"/>
  <c r="CH151" i="13"/>
  <c r="CG151" i="13"/>
  <c r="CK150" i="13"/>
  <c r="CJ150" i="13"/>
  <c r="CI150" i="13"/>
  <c r="CH150" i="13"/>
  <c r="CG150" i="13"/>
  <c r="CK149" i="13"/>
  <c r="CJ149" i="13"/>
  <c r="CI149" i="13"/>
  <c r="CH149" i="13"/>
  <c r="CG149" i="13"/>
  <c r="CK148" i="13"/>
  <c r="CJ148" i="13"/>
  <c r="CI148" i="13"/>
  <c r="CH148" i="13"/>
  <c r="CG148" i="13"/>
  <c r="CK147" i="13"/>
  <c r="CJ147" i="13"/>
  <c r="CI147" i="13"/>
  <c r="CH147" i="13"/>
  <c r="CG147" i="13"/>
  <c r="CK146" i="13"/>
  <c r="CJ146" i="13"/>
  <c r="CI146" i="13"/>
  <c r="CH146" i="13"/>
  <c r="CG146" i="13"/>
  <c r="CK145" i="13"/>
  <c r="CJ145" i="13"/>
  <c r="CI145" i="13"/>
  <c r="CH145" i="13"/>
  <c r="CG145" i="13"/>
  <c r="CK144" i="13"/>
  <c r="CJ144" i="13"/>
  <c r="CI144" i="13"/>
  <c r="CH144" i="13"/>
  <c r="CG144" i="13"/>
  <c r="CK143" i="13"/>
  <c r="CJ143" i="13"/>
  <c r="CI143" i="13"/>
  <c r="CH143" i="13"/>
  <c r="CG143" i="13"/>
  <c r="CK142" i="13"/>
  <c r="CJ142" i="13"/>
  <c r="CI142" i="13"/>
  <c r="CH142" i="13"/>
  <c r="CG142" i="13"/>
  <c r="CK141" i="13"/>
  <c r="CJ141" i="13"/>
  <c r="CI141" i="13"/>
  <c r="CH141" i="13"/>
  <c r="CG141" i="13"/>
  <c r="CK140" i="13"/>
  <c r="CJ140" i="13"/>
  <c r="CI140" i="13"/>
  <c r="CH140" i="13"/>
  <c r="CG140" i="13"/>
  <c r="CK139" i="13"/>
  <c r="CJ139" i="13"/>
  <c r="CI139" i="13"/>
  <c r="CH139" i="13"/>
  <c r="CG139" i="13"/>
  <c r="CK138" i="13"/>
  <c r="CJ138" i="13"/>
  <c r="CI138" i="13"/>
  <c r="CH138" i="13"/>
  <c r="CG138" i="13"/>
  <c r="BM153" i="13"/>
  <c r="BL153" i="13"/>
  <c r="BK153" i="13"/>
  <c r="BJ153" i="13"/>
  <c r="BI153" i="13"/>
  <c r="BM152" i="13"/>
  <c r="BL152" i="13"/>
  <c r="BK152" i="13"/>
  <c r="BJ152" i="13"/>
  <c r="BI152" i="13"/>
  <c r="BM151" i="13"/>
  <c r="BL151" i="13"/>
  <c r="BK151" i="13"/>
  <c r="BJ151" i="13"/>
  <c r="BI151" i="13"/>
  <c r="BM150" i="13"/>
  <c r="BL150" i="13"/>
  <c r="BK150" i="13"/>
  <c r="BJ150" i="13"/>
  <c r="BI150" i="13"/>
  <c r="BM149" i="13"/>
  <c r="BL149" i="13"/>
  <c r="BK149" i="13"/>
  <c r="BJ149" i="13"/>
  <c r="BI149" i="13"/>
  <c r="BM148" i="13"/>
  <c r="BL148" i="13"/>
  <c r="BK148" i="13"/>
  <c r="BJ148" i="13"/>
  <c r="BI148" i="13"/>
  <c r="BM147" i="13"/>
  <c r="BL147" i="13"/>
  <c r="BK147" i="13"/>
  <c r="BJ147" i="13"/>
  <c r="BI147" i="13"/>
  <c r="BM146" i="13"/>
  <c r="BL146" i="13"/>
  <c r="BK146" i="13"/>
  <c r="BJ146" i="13"/>
  <c r="BI146" i="13"/>
  <c r="BM145" i="13"/>
  <c r="BL145" i="13"/>
  <c r="BK145" i="13"/>
  <c r="BJ145" i="13"/>
  <c r="BI145" i="13"/>
  <c r="BM144" i="13"/>
  <c r="BL144" i="13"/>
  <c r="BK144" i="13"/>
  <c r="BJ144" i="13"/>
  <c r="BI144" i="13"/>
  <c r="BM143" i="13"/>
  <c r="BL143" i="13"/>
  <c r="BK143" i="13"/>
  <c r="BJ143" i="13"/>
  <c r="BI143" i="13"/>
  <c r="BM142" i="13"/>
  <c r="BL142" i="13"/>
  <c r="BK142" i="13"/>
  <c r="BJ142" i="13"/>
  <c r="BI142" i="13"/>
  <c r="BM141" i="13"/>
  <c r="BL141" i="13"/>
  <c r="BK141" i="13"/>
  <c r="BJ141" i="13"/>
  <c r="BI141" i="13"/>
  <c r="BM140" i="13"/>
  <c r="BL140" i="13"/>
  <c r="BK140" i="13"/>
  <c r="BJ140" i="13"/>
  <c r="BI140" i="13"/>
  <c r="BM139" i="13"/>
  <c r="BL139" i="13"/>
  <c r="BK139" i="13"/>
  <c r="BJ139" i="13"/>
  <c r="BI139" i="13"/>
  <c r="BM138" i="13"/>
  <c r="BL138" i="13"/>
  <c r="BK138" i="13"/>
  <c r="BJ138" i="13"/>
  <c r="BI138" i="13"/>
  <c r="AO153" i="13"/>
  <c r="AN153" i="13"/>
  <c r="AM153" i="13"/>
  <c r="AL153" i="13"/>
  <c r="AK153" i="13"/>
  <c r="AO152" i="13"/>
  <c r="AN152" i="13"/>
  <c r="AM152" i="13"/>
  <c r="AL152" i="13"/>
  <c r="AK152" i="13"/>
  <c r="AO151" i="13"/>
  <c r="AN151" i="13"/>
  <c r="AM151" i="13"/>
  <c r="AL151" i="13"/>
  <c r="AK151" i="13"/>
  <c r="AO150" i="13"/>
  <c r="AN150" i="13"/>
  <c r="AM150" i="13"/>
  <c r="AL150" i="13"/>
  <c r="AK150" i="13"/>
  <c r="AO149" i="13"/>
  <c r="AN149" i="13"/>
  <c r="AM149" i="13"/>
  <c r="AL149" i="13"/>
  <c r="AK149" i="13"/>
  <c r="AO148" i="13"/>
  <c r="AN148" i="13"/>
  <c r="AM148" i="13"/>
  <c r="AL148" i="13"/>
  <c r="AK148" i="13"/>
  <c r="AO147" i="13"/>
  <c r="AN147" i="13"/>
  <c r="AM147" i="13"/>
  <c r="AL147" i="13"/>
  <c r="AK147" i="13"/>
  <c r="AO146" i="13"/>
  <c r="AN146" i="13"/>
  <c r="AM146" i="13"/>
  <c r="AL146" i="13"/>
  <c r="AK146" i="13"/>
  <c r="AO145" i="13"/>
  <c r="AN145" i="13"/>
  <c r="AM145" i="13"/>
  <c r="AL145" i="13"/>
  <c r="AK145" i="13"/>
  <c r="AO144" i="13"/>
  <c r="AN144" i="13"/>
  <c r="AM144" i="13"/>
  <c r="AL144" i="13"/>
  <c r="AK144" i="13"/>
  <c r="AO143" i="13"/>
  <c r="AN143" i="13"/>
  <c r="AM143" i="13"/>
  <c r="AL143" i="13"/>
  <c r="AK143" i="13"/>
  <c r="AO142" i="13"/>
  <c r="AN142" i="13"/>
  <c r="AM142" i="13"/>
  <c r="AL142" i="13"/>
  <c r="AK142" i="13"/>
  <c r="AO141" i="13"/>
  <c r="AN141" i="13"/>
  <c r="AM141" i="13"/>
  <c r="AL141" i="13"/>
  <c r="AK141" i="13"/>
  <c r="AO140" i="13"/>
  <c r="AN140" i="13"/>
  <c r="AM140" i="13"/>
  <c r="AL140" i="13"/>
  <c r="AK140" i="13"/>
  <c r="AO139" i="13"/>
  <c r="AN139" i="13"/>
  <c r="AM139" i="13"/>
  <c r="AL139" i="13"/>
  <c r="AK139" i="13"/>
  <c r="AO138" i="13"/>
  <c r="AN138" i="13"/>
  <c r="AM138" i="13"/>
  <c r="AL138" i="13"/>
  <c r="AK138" i="13"/>
  <c r="P153" i="13"/>
  <c r="O153" i="13"/>
  <c r="Q153" i="13"/>
  <c r="M139" i="13"/>
  <c r="N139" i="13"/>
  <c r="O139" i="13"/>
  <c r="P139" i="13"/>
  <c r="Q139" i="13"/>
  <c r="M140" i="13"/>
  <c r="N140" i="13"/>
  <c r="O140" i="13"/>
  <c r="P140" i="13"/>
  <c r="Q140" i="13"/>
  <c r="M141" i="13"/>
  <c r="N141" i="13"/>
  <c r="O141" i="13"/>
  <c r="P141" i="13"/>
  <c r="Q141" i="13"/>
  <c r="M142" i="13"/>
  <c r="N142" i="13"/>
  <c r="O142" i="13"/>
  <c r="P142" i="13"/>
  <c r="Q142" i="13"/>
  <c r="M143" i="13"/>
  <c r="N143" i="13"/>
  <c r="O143" i="13"/>
  <c r="P143" i="13"/>
  <c r="Q143" i="13"/>
  <c r="M144" i="13"/>
  <c r="N144" i="13"/>
  <c r="O144" i="13"/>
  <c r="P144" i="13"/>
  <c r="Q144" i="13"/>
  <c r="M145" i="13"/>
  <c r="N145" i="13"/>
  <c r="O145" i="13"/>
  <c r="P145" i="13"/>
  <c r="Q145" i="13"/>
  <c r="M146" i="13"/>
  <c r="N146" i="13"/>
  <c r="O146" i="13"/>
  <c r="P146" i="13"/>
  <c r="Q146" i="13"/>
  <c r="M147" i="13"/>
  <c r="N147" i="13"/>
  <c r="O147" i="13"/>
  <c r="P147" i="13"/>
  <c r="Q147" i="13"/>
  <c r="M148" i="13"/>
  <c r="N148" i="13"/>
  <c r="O148" i="13"/>
  <c r="P148" i="13"/>
  <c r="Q148" i="13"/>
  <c r="M149" i="13"/>
  <c r="N149" i="13"/>
  <c r="O149" i="13"/>
  <c r="P149" i="13"/>
  <c r="Q149" i="13"/>
  <c r="M150" i="13"/>
  <c r="N150" i="13"/>
  <c r="O150" i="13"/>
  <c r="P150" i="13"/>
  <c r="Q150" i="13"/>
  <c r="M151" i="13"/>
  <c r="N151" i="13"/>
  <c r="O151" i="13"/>
  <c r="P151" i="13"/>
  <c r="Q151" i="13"/>
  <c r="M152" i="13"/>
  <c r="N152" i="13"/>
  <c r="O152" i="13"/>
  <c r="P152" i="13"/>
  <c r="Q152" i="13"/>
  <c r="M153" i="13"/>
  <c r="N153" i="13"/>
  <c r="Q138" i="13"/>
  <c r="P138" i="13"/>
  <c r="O138" i="13"/>
  <c r="N138" i="13"/>
  <c r="M138" i="13"/>
  <c r="N118" i="9"/>
  <c r="O118" i="9"/>
  <c r="N119" i="9"/>
  <c r="O119" i="9"/>
  <c r="N120" i="9"/>
  <c r="O120" i="9"/>
  <c r="N121" i="9"/>
  <c r="O121" i="9"/>
  <c r="N122" i="9"/>
  <c r="O122" i="9"/>
  <c r="N123" i="9"/>
  <c r="O123" i="9"/>
  <c r="N124" i="9"/>
  <c r="O124" i="9"/>
  <c r="N125" i="9"/>
  <c r="O125" i="9"/>
  <c r="N126" i="9"/>
  <c r="O126" i="9"/>
  <c r="N127" i="9"/>
  <c r="O127" i="9"/>
  <c r="N128" i="9"/>
  <c r="O128" i="9"/>
  <c r="N129" i="9"/>
  <c r="O129" i="9"/>
  <c r="N130" i="9"/>
  <c r="O130" i="9"/>
  <c r="N131" i="9"/>
  <c r="O131" i="9"/>
  <c r="N132" i="9"/>
  <c r="O132" i="9"/>
  <c r="O117" i="9"/>
  <c r="N117" i="9"/>
  <c r="DP64" i="16"/>
  <c r="DQ64" i="16"/>
  <c r="DR64" i="16"/>
  <c r="DS64" i="16"/>
  <c r="DT64" i="16"/>
  <c r="DP65" i="16"/>
  <c r="DQ65" i="16"/>
  <c r="DR65" i="16"/>
  <c r="DS65" i="16"/>
  <c r="DT65" i="16"/>
  <c r="DP66" i="16"/>
  <c r="DQ66" i="16"/>
  <c r="DR66" i="16"/>
  <c r="DS66" i="16"/>
  <c r="DT66" i="16"/>
  <c r="DP67" i="16"/>
  <c r="DQ67" i="16"/>
  <c r="DR67" i="16"/>
  <c r="DS67" i="16"/>
  <c r="DT67" i="16"/>
  <c r="DP68" i="16"/>
  <c r="DQ68" i="16"/>
  <c r="DR68" i="16"/>
  <c r="DS68" i="16"/>
  <c r="DT68" i="16"/>
  <c r="DP69" i="16"/>
  <c r="DQ69" i="16"/>
  <c r="DR69" i="16"/>
  <c r="DS69" i="16"/>
  <c r="DT69" i="16"/>
  <c r="DP70" i="16"/>
  <c r="DQ70" i="16"/>
  <c r="DR70" i="16"/>
  <c r="DS70" i="16"/>
  <c r="DT70" i="16"/>
  <c r="DP71" i="16"/>
  <c r="DQ71" i="16"/>
  <c r="DR71" i="16"/>
  <c r="DS71" i="16"/>
  <c r="DT71" i="16"/>
  <c r="DP72" i="16"/>
  <c r="DQ72" i="16"/>
  <c r="DR72" i="16"/>
  <c r="DS72" i="16"/>
  <c r="DT72" i="16"/>
  <c r="DP73" i="16"/>
  <c r="DQ73" i="16"/>
  <c r="DR73" i="16"/>
  <c r="DS73" i="16"/>
  <c r="DT73" i="16"/>
  <c r="DP74" i="16"/>
  <c r="DQ74" i="16"/>
  <c r="DR74" i="16"/>
  <c r="DS74" i="16"/>
  <c r="DT74" i="16"/>
  <c r="DP75" i="16"/>
  <c r="DQ75" i="16"/>
  <c r="DR75" i="16"/>
  <c r="DS75" i="16"/>
  <c r="DT75" i="16"/>
  <c r="DP76" i="16"/>
  <c r="DQ76" i="16"/>
  <c r="DR76" i="16"/>
  <c r="DS76" i="16"/>
  <c r="DT76" i="16"/>
  <c r="DP77" i="16"/>
  <c r="DQ77" i="16"/>
  <c r="DR77" i="16"/>
  <c r="DS77" i="16"/>
  <c r="DT77" i="16"/>
  <c r="DP78" i="16"/>
  <c r="DQ78" i="16"/>
  <c r="DR78" i="16"/>
  <c r="DS78" i="16"/>
  <c r="DT78" i="16"/>
  <c r="DT63" i="16"/>
  <c r="DS63" i="16"/>
  <c r="DR63" i="16"/>
  <c r="DQ63" i="16"/>
  <c r="DP63" i="16"/>
  <c r="CP64" i="16"/>
  <c r="CQ64" i="16"/>
  <c r="CR64" i="16"/>
  <c r="CS64" i="16"/>
  <c r="CT64" i="16"/>
  <c r="CP65" i="16"/>
  <c r="CQ65" i="16"/>
  <c r="CR65" i="16"/>
  <c r="CS65" i="16"/>
  <c r="CT65" i="16"/>
  <c r="CP66" i="16"/>
  <c r="CQ66" i="16"/>
  <c r="CR66" i="16"/>
  <c r="CS66" i="16"/>
  <c r="CT66" i="16"/>
  <c r="CP67" i="16"/>
  <c r="CQ67" i="16"/>
  <c r="CR67" i="16"/>
  <c r="CS67" i="16"/>
  <c r="CT67" i="16"/>
  <c r="CP68" i="16"/>
  <c r="CQ68" i="16"/>
  <c r="CR68" i="16"/>
  <c r="CS68" i="16"/>
  <c r="CT68" i="16"/>
  <c r="CP69" i="16"/>
  <c r="CQ69" i="16"/>
  <c r="CR69" i="16"/>
  <c r="CS69" i="16"/>
  <c r="CT69" i="16"/>
  <c r="CP70" i="16"/>
  <c r="CQ70" i="16"/>
  <c r="CR70" i="16"/>
  <c r="CS70" i="16"/>
  <c r="CT70" i="16"/>
  <c r="CP71" i="16"/>
  <c r="CQ71" i="16"/>
  <c r="CR71" i="16"/>
  <c r="CS71" i="16"/>
  <c r="CT71" i="16"/>
  <c r="CP72" i="16"/>
  <c r="CQ72" i="16"/>
  <c r="CR72" i="16"/>
  <c r="CS72" i="16"/>
  <c r="CT72" i="16"/>
  <c r="CP73" i="16"/>
  <c r="CQ73" i="16"/>
  <c r="CR73" i="16"/>
  <c r="CS73" i="16"/>
  <c r="CT73" i="16"/>
  <c r="CP74" i="16"/>
  <c r="CQ74" i="16"/>
  <c r="CR74" i="16"/>
  <c r="CS74" i="16"/>
  <c r="CT74" i="16"/>
  <c r="CP75" i="16"/>
  <c r="CQ75" i="16"/>
  <c r="CR75" i="16"/>
  <c r="CS75" i="16"/>
  <c r="CT75" i="16"/>
  <c r="CP76" i="16"/>
  <c r="CQ76" i="16"/>
  <c r="CR76" i="16"/>
  <c r="CS76" i="16"/>
  <c r="CT76" i="16"/>
  <c r="CP77" i="16"/>
  <c r="CQ77" i="16"/>
  <c r="CR77" i="16"/>
  <c r="CS77" i="16"/>
  <c r="CT77" i="16"/>
  <c r="CP78" i="16"/>
  <c r="CQ78" i="16"/>
  <c r="CR78" i="16"/>
  <c r="CS78" i="16"/>
  <c r="CT78" i="16"/>
  <c r="CT63" i="16"/>
  <c r="CS63" i="16"/>
  <c r="CR63" i="16"/>
  <c r="CQ63" i="16"/>
  <c r="CP63" i="16"/>
  <c r="BP64" i="16"/>
  <c r="BQ64" i="16"/>
  <c r="BR64" i="16"/>
  <c r="BS64" i="16"/>
  <c r="BT64" i="16"/>
  <c r="BP65" i="16"/>
  <c r="BQ65" i="16"/>
  <c r="BR65" i="16"/>
  <c r="BS65" i="16"/>
  <c r="BT65" i="16"/>
  <c r="BP66" i="16"/>
  <c r="BQ66" i="16"/>
  <c r="BR66" i="16"/>
  <c r="BS66" i="16"/>
  <c r="BT66" i="16"/>
  <c r="BP67" i="16"/>
  <c r="BQ67" i="16"/>
  <c r="BR67" i="16"/>
  <c r="BS67" i="16"/>
  <c r="BT67" i="16"/>
  <c r="BP68" i="16"/>
  <c r="BQ68" i="16"/>
  <c r="BR68" i="16"/>
  <c r="BS68" i="16"/>
  <c r="BT68" i="16"/>
  <c r="BP69" i="16"/>
  <c r="BQ69" i="16"/>
  <c r="BR69" i="16"/>
  <c r="BS69" i="16"/>
  <c r="BT69" i="16"/>
  <c r="BP70" i="16"/>
  <c r="BQ70" i="16"/>
  <c r="BR70" i="16"/>
  <c r="BS70" i="16"/>
  <c r="BT70" i="16"/>
  <c r="BP71" i="16"/>
  <c r="BQ71" i="16"/>
  <c r="BR71" i="16"/>
  <c r="BS71" i="16"/>
  <c r="BT71" i="16"/>
  <c r="BP72" i="16"/>
  <c r="BQ72" i="16"/>
  <c r="BR72" i="16"/>
  <c r="BS72" i="16"/>
  <c r="BT72" i="16"/>
  <c r="BP73" i="16"/>
  <c r="BQ73" i="16"/>
  <c r="BR73" i="16"/>
  <c r="BS73" i="16"/>
  <c r="BT73" i="16"/>
  <c r="BP74" i="16"/>
  <c r="BQ74" i="16"/>
  <c r="BR74" i="16"/>
  <c r="BS74" i="16"/>
  <c r="BT74" i="16"/>
  <c r="BP75" i="16"/>
  <c r="BQ75" i="16"/>
  <c r="BR75" i="16"/>
  <c r="BS75" i="16"/>
  <c r="BT75" i="16"/>
  <c r="BP76" i="16"/>
  <c r="BQ76" i="16"/>
  <c r="BR76" i="16"/>
  <c r="BS76" i="16"/>
  <c r="BT76" i="16"/>
  <c r="BP77" i="16"/>
  <c r="BQ77" i="16"/>
  <c r="BR77" i="16"/>
  <c r="BS77" i="16"/>
  <c r="BT77" i="16"/>
  <c r="BP78" i="16"/>
  <c r="BQ78" i="16"/>
  <c r="BR78" i="16"/>
  <c r="BS78" i="16"/>
  <c r="BT78" i="16"/>
  <c r="BT63" i="16"/>
  <c r="BS63" i="16"/>
  <c r="BR63" i="16"/>
  <c r="BQ63" i="16"/>
  <c r="BP63" i="16"/>
  <c r="AP64" i="16"/>
  <c r="AQ64" i="16"/>
  <c r="AR64" i="16"/>
  <c r="AS64" i="16"/>
  <c r="AT64" i="16"/>
  <c r="AP65" i="16"/>
  <c r="AQ65" i="16"/>
  <c r="AR65" i="16"/>
  <c r="AS65" i="16"/>
  <c r="AT65" i="16"/>
  <c r="AP66" i="16"/>
  <c r="AQ66" i="16"/>
  <c r="AR66" i="16"/>
  <c r="AS66" i="16"/>
  <c r="AT66" i="16"/>
  <c r="AP67" i="16"/>
  <c r="AQ67" i="16"/>
  <c r="AR67" i="16"/>
  <c r="AS67" i="16"/>
  <c r="AT67" i="16"/>
  <c r="AP68" i="16"/>
  <c r="AQ68" i="16"/>
  <c r="AR68" i="16"/>
  <c r="AS68" i="16"/>
  <c r="AT68" i="16"/>
  <c r="AP69" i="16"/>
  <c r="AQ69" i="16"/>
  <c r="AR69" i="16"/>
  <c r="AS69" i="16"/>
  <c r="AT69" i="16"/>
  <c r="AP70" i="16"/>
  <c r="AQ70" i="16"/>
  <c r="AR70" i="16"/>
  <c r="AS70" i="16"/>
  <c r="AT70" i="16"/>
  <c r="AP71" i="16"/>
  <c r="AQ71" i="16"/>
  <c r="AR71" i="16"/>
  <c r="AS71" i="16"/>
  <c r="AT71" i="16"/>
  <c r="AP72" i="16"/>
  <c r="AQ72" i="16"/>
  <c r="AR72" i="16"/>
  <c r="AS72" i="16"/>
  <c r="AT72" i="16"/>
  <c r="AP73" i="16"/>
  <c r="AQ73" i="16"/>
  <c r="AR73" i="16"/>
  <c r="AS73" i="16"/>
  <c r="AT73" i="16"/>
  <c r="AP74" i="16"/>
  <c r="AQ74" i="16"/>
  <c r="AR74" i="16"/>
  <c r="AS74" i="16"/>
  <c r="AT74" i="16"/>
  <c r="AP75" i="16"/>
  <c r="AQ75" i="16"/>
  <c r="AR75" i="16"/>
  <c r="AS75" i="16"/>
  <c r="AT75" i="16"/>
  <c r="AP76" i="16"/>
  <c r="AQ76" i="16"/>
  <c r="AR76" i="16"/>
  <c r="AS76" i="16"/>
  <c r="AT76" i="16"/>
  <c r="AP77" i="16"/>
  <c r="AQ77" i="16"/>
  <c r="AR77" i="16"/>
  <c r="AS77" i="16"/>
  <c r="AT77" i="16"/>
  <c r="AP78" i="16"/>
  <c r="AQ78" i="16"/>
  <c r="AR78" i="16"/>
  <c r="AS78" i="16"/>
  <c r="AT78" i="16"/>
  <c r="AT63" i="16"/>
  <c r="AS63" i="16"/>
  <c r="AR63" i="16"/>
  <c r="AQ63" i="16"/>
  <c r="AP63" i="16"/>
  <c r="T78" i="16"/>
  <c r="S78" i="16"/>
  <c r="R78" i="16"/>
  <c r="Q78" i="16"/>
  <c r="P78" i="16"/>
  <c r="T77" i="16"/>
  <c r="S77" i="16"/>
  <c r="R77" i="16"/>
  <c r="Q77" i="16"/>
  <c r="P77" i="16"/>
  <c r="T76" i="16"/>
  <c r="S76" i="16"/>
  <c r="R76" i="16"/>
  <c r="Q76" i="16"/>
  <c r="P76" i="16"/>
  <c r="T75" i="16"/>
  <c r="S75" i="16"/>
  <c r="R75" i="16"/>
  <c r="Q75" i="16"/>
  <c r="P75" i="16"/>
  <c r="T74" i="16"/>
  <c r="S74" i="16"/>
  <c r="R74" i="16"/>
  <c r="Q74" i="16"/>
  <c r="P74" i="16"/>
  <c r="T73" i="16"/>
  <c r="S73" i="16"/>
  <c r="R73" i="16"/>
  <c r="Q73" i="16"/>
  <c r="P73" i="16"/>
  <c r="T72" i="16"/>
  <c r="S72" i="16"/>
  <c r="R72" i="16"/>
  <c r="Q72" i="16"/>
  <c r="P72" i="16"/>
  <c r="T71" i="16"/>
  <c r="S71" i="16"/>
  <c r="R71" i="16"/>
  <c r="Q71" i="16"/>
  <c r="P71" i="16"/>
  <c r="T70" i="16"/>
  <c r="S70" i="16"/>
  <c r="R70" i="16"/>
  <c r="Q70" i="16"/>
  <c r="P70" i="16"/>
  <c r="T69" i="16"/>
  <c r="S69" i="16"/>
  <c r="R69" i="16"/>
  <c r="Q69" i="16"/>
  <c r="P69" i="16"/>
  <c r="T68" i="16"/>
  <c r="S68" i="16"/>
  <c r="R68" i="16"/>
  <c r="Q68" i="16"/>
  <c r="P68" i="16"/>
  <c r="T67" i="16"/>
  <c r="S67" i="16"/>
  <c r="R67" i="16"/>
  <c r="Q67" i="16"/>
  <c r="P67" i="16"/>
  <c r="T66" i="16"/>
  <c r="S66" i="16"/>
  <c r="R66" i="16"/>
  <c r="Q66" i="16"/>
  <c r="P66" i="16"/>
  <c r="T65" i="16"/>
  <c r="S65" i="16"/>
  <c r="R65" i="16"/>
  <c r="Q65" i="16"/>
  <c r="P65" i="16"/>
  <c r="T64" i="16"/>
  <c r="S64" i="16"/>
  <c r="R64" i="16"/>
  <c r="Q64" i="16"/>
  <c r="P64" i="16"/>
  <c r="T63" i="16"/>
  <c r="S63" i="16"/>
  <c r="R63" i="16"/>
  <c r="Q63" i="16"/>
  <c r="P63" i="16"/>
  <c r="DG78" i="16"/>
  <c r="DF78" i="16"/>
  <c r="DH78" i="16" s="1"/>
  <c r="DH77" i="16"/>
  <c r="DG77" i="16"/>
  <c r="DF77" i="16"/>
  <c r="DG76" i="16"/>
  <c r="DH76" i="16" s="1"/>
  <c r="DF76" i="16"/>
  <c r="DH75" i="16"/>
  <c r="DH74" i="16"/>
  <c r="DH73" i="16"/>
  <c r="DG73" i="16"/>
  <c r="DF73" i="16"/>
  <c r="DG72" i="16"/>
  <c r="DH72" i="16" s="1"/>
  <c r="DF72" i="16"/>
  <c r="DG71" i="16"/>
  <c r="DF71" i="16"/>
  <c r="DH71" i="16" s="1"/>
  <c r="DH70" i="16"/>
  <c r="DH69" i="16"/>
  <c r="DG68" i="16"/>
  <c r="DH68" i="16" s="1"/>
  <c r="DF68" i="16"/>
  <c r="DG67" i="16"/>
  <c r="DF67" i="16"/>
  <c r="DH67" i="16" s="1"/>
  <c r="DG66" i="16"/>
  <c r="DF66" i="16"/>
  <c r="DH66" i="16" s="1"/>
  <c r="DH65" i="16"/>
  <c r="DH64" i="16"/>
  <c r="DG63" i="16"/>
  <c r="DF63" i="16"/>
  <c r="DH63" i="16" s="1"/>
  <c r="CG78" i="16"/>
  <c r="CF78" i="16"/>
  <c r="CH78" i="16" s="1"/>
  <c r="CH77" i="16"/>
  <c r="CG77" i="16"/>
  <c r="CF77" i="16"/>
  <c r="CG76" i="16"/>
  <c r="CF76" i="16"/>
  <c r="CH76" i="16" s="1"/>
  <c r="CH75" i="16"/>
  <c r="CH74" i="16"/>
  <c r="CH73" i="16"/>
  <c r="CG73" i="16"/>
  <c r="CF73" i="16"/>
  <c r="CG72" i="16"/>
  <c r="CH72" i="16" s="1"/>
  <c r="CF72" i="16"/>
  <c r="CG71" i="16"/>
  <c r="CF71" i="16"/>
  <c r="CH71" i="16" s="1"/>
  <c r="CH70" i="16"/>
  <c r="CH69" i="16"/>
  <c r="CG68" i="16"/>
  <c r="CH68" i="16" s="1"/>
  <c r="CF68" i="16"/>
  <c r="CG67" i="16"/>
  <c r="CF67" i="16"/>
  <c r="CH67" i="16" s="1"/>
  <c r="CG66" i="16"/>
  <c r="CF66" i="16"/>
  <c r="CH66" i="16" s="1"/>
  <c r="CH65" i="16"/>
  <c r="CH64" i="16"/>
  <c r="CG63" i="16"/>
  <c r="CF63" i="16"/>
  <c r="CH63" i="16" s="1"/>
  <c r="BG78" i="16"/>
  <c r="BF78" i="16"/>
  <c r="BH78" i="16" s="1"/>
  <c r="BH77" i="16"/>
  <c r="BG77" i="16"/>
  <c r="BF77" i="16"/>
  <c r="BG76" i="16"/>
  <c r="BH76" i="16" s="1"/>
  <c r="BF76" i="16"/>
  <c r="BH75" i="16"/>
  <c r="BH74" i="16"/>
  <c r="BH73" i="16"/>
  <c r="BG73" i="16"/>
  <c r="BF73" i="16"/>
  <c r="BG72" i="16"/>
  <c r="BH72" i="16" s="1"/>
  <c r="BF72" i="16"/>
  <c r="BG71" i="16"/>
  <c r="BF71" i="16"/>
  <c r="BH71" i="16" s="1"/>
  <c r="BH70" i="16"/>
  <c r="BH69" i="16"/>
  <c r="BG68" i="16"/>
  <c r="BH68" i="16" s="1"/>
  <c r="BF68" i="16"/>
  <c r="BG67" i="16"/>
  <c r="BF67" i="16"/>
  <c r="BH67" i="16" s="1"/>
  <c r="BG66" i="16"/>
  <c r="BF66" i="16"/>
  <c r="BH66" i="16" s="1"/>
  <c r="BH65" i="16"/>
  <c r="BH64" i="16"/>
  <c r="BG63" i="16"/>
  <c r="BF63" i="16"/>
  <c r="BH63" i="16" s="1"/>
  <c r="AG78" i="16"/>
  <c r="AF78" i="16"/>
  <c r="AH78" i="16" s="1"/>
  <c r="AH77" i="16"/>
  <c r="AG77" i="16"/>
  <c r="AF77" i="16"/>
  <c r="AG76" i="16"/>
  <c r="AH76" i="16" s="1"/>
  <c r="AF76" i="16"/>
  <c r="AH75" i="16"/>
  <c r="AH74" i="16"/>
  <c r="AH73" i="16"/>
  <c r="AG73" i="16"/>
  <c r="AF73" i="16"/>
  <c r="AG72" i="16"/>
  <c r="AH72" i="16" s="1"/>
  <c r="AF72" i="16"/>
  <c r="AG71" i="16"/>
  <c r="AF71" i="16"/>
  <c r="AH71" i="16" s="1"/>
  <c r="AH70" i="16"/>
  <c r="AH69" i="16"/>
  <c r="AG68" i="16"/>
  <c r="AH68" i="16" s="1"/>
  <c r="AF68" i="16"/>
  <c r="AG67" i="16"/>
  <c r="AF67" i="16"/>
  <c r="AH67" i="16" s="1"/>
  <c r="AG66" i="16"/>
  <c r="AF66" i="16"/>
  <c r="AH66" i="16" s="1"/>
  <c r="AH65" i="16"/>
  <c r="AH64" i="16"/>
  <c r="AG63" i="16"/>
  <c r="AF63" i="16"/>
  <c r="AH63" i="16" s="1"/>
  <c r="G78" i="16"/>
  <c r="F78" i="16"/>
  <c r="H78" i="16" s="1"/>
  <c r="H77" i="16"/>
  <c r="G77" i="16"/>
  <c r="F77" i="16"/>
  <c r="G76" i="16"/>
  <c r="H76" i="16" s="1"/>
  <c r="F76" i="16"/>
  <c r="H75" i="16"/>
  <c r="H74" i="16"/>
  <c r="H73" i="16"/>
  <c r="G73" i="16"/>
  <c r="F73" i="16"/>
  <c r="G72" i="16"/>
  <c r="H72" i="16" s="1"/>
  <c r="F72" i="16"/>
  <c r="G71" i="16"/>
  <c r="F71" i="16"/>
  <c r="H71" i="16" s="1"/>
  <c r="H70" i="16"/>
  <c r="H69" i="16"/>
  <c r="G68" i="16"/>
  <c r="H68" i="16" s="1"/>
  <c r="F68" i="16"/>
  <c r="G67" i="16"/>
  <c r="F67" i="16"/>
  <c r="H67" i="16" s="1"/>
  <c r="G66" i="16"/>
  <c r="F66" i="16"/>
  <c r="H66" i="16" s="1"/>
  <c r="H65" i="16"/>
  <c r="H64" i="16"/>
  <c r="G63" i="16"/>
  <c r="F63" i="16"/>
  <c r="H63" i="16" s="1"/>
  <c r="DT78" i="15"/>
  <c r="DS78" i="15"/>
  <c r="DR78" i="15"/>
  <c r="DQ78" i="15"/>
  <c r="DP78" i="15"/>
  <c r="DT77" i="15"/>
  <c r="DS77" i="15"/>
  <c r="DR77" i="15"/>
  <c r="DQ77" i="15"/>
  <c r="DP77" i="15"/>
  <c r="DT76" i="15"/>
  <c r="DS76" i="15"/>
  <c r="DR76" i="15"/>
  <c r="DQ76" i="15"/>
  <c r="DP76" i="15"/>
  <c r="DT75" i="15"/>
  <c r="DS75" i="15"/>
  <c r="DR75" i="15"/>
  <c r="DQ75" i="15"/>
  <c r="DP75" i="15"/>
  <c r="DT74" i="15"/>
  <c r="DS74" i="15"/>
  <c r="DR74" i="15"/>
  <c r="DQ74" i="15"/>
  <c r="DP74" i="15"/>
  <c r="DT73" i="15"/>
  <c r="DS73" i="15"/>
  <c r="DR73" i="15"/>
  <c r="DQ73" i="15"/>
  <c r="DP73" i="15"/>
  <c r="DT72" i="15"/>
  <c r="DS72" i="15"/>
  <c r="DR72" i="15"/>
  <c r="DQ72" i="15"/>
  <c r="DP72" i="15"/>
  <c r="DT71" i="15"/>
  <c r="DS71" i="15"/>
  <c r="DR71" i="15"/>
  <c r="DQ71" i="15"/>
  <c r="DP71" i="15"/>
  <c r="DT70" i="15"/>
  <c r="DS70" i="15"/>
  <c r="DR70" i="15"/>
  <c r="DQ70" i="15"/>
  <c r="DP70" i="15"/>
  <c r="DT69" i="15"/>
  <c r="DS69" i="15"/>
  <c r="DR69" i="15"/>
  <c r="DQ69" i="15"/>
  <c r="DP69" i="15"/>
  <c r="DT68" i="15"/>
  <c r="DS68" i="15"/>
  <c r="DR68" i="15"/>
  <c r="DQ68" i="15"/>
  <c r="DP68" i="15"/>
  <c r="DT67" i="15"/>
  <c r="DS67" i="15"/>
  <c r="DR67" i="15"/>
  <c r="DQ67" i="15"/>
  <c r="DP67" i="15"/>
  <c r="DT66" i="15"/>
  <c r="DS66" i="15"/>
  <c r="DR66" i="15"/>
  <c r="DQ66" i="15"/>
  <c r="DP66" i="15"/>
  <c r="DT65" i="15"/>
  <c r="DS65" i="15"/>
  <c r="DR65" i="15"/>
  <c r="DQ65" i="15"/>
  <c r="DP65" i="15"/>
  <c r="DT64" i="15"/>
  <c r="DS64" i="15"/>
  <c r="DR64" i="15"/>
  <c r="DQ64" i="15"/>
  <c r="DP64" i="15"/>
  <c r="DT63" i="15"/>
  <c r="DS63" i="15"/>
  <c r="DR63" i="15"/>
  <c r="DQ63" i="15"/>
  <c r="DP63" i="15"/>
  <c r="CT78" i="15"/>
  <c r="CS78" i="15"/>
  <c r="CR78" i="15"/>
  <c r="CQ78" i="15"/>
  <c r="CP78" i="15"/>
  <c r="CT77" i="15"/>
  <c r="CS77" i="15"/>
  <c r="CR77" i="15"/>
  <c r="CQ77" i="15"/>
  <c r="CP77" i="15"/>
  <c r="CT76" i="15"/>
  <c r="CS76" i="15"/>
  <c r="CR76" i="15"/>
  <c r="CQ76" i="15"/>
  <c r="CP76" i="15"/>
  <c r="CT75" i="15"/>
  <c r="CS75" i="15"/>
  <c r="CR75" i="15"/>
  <c r="CQ75" i="15"/>
  <c r="CP75" i="15"/>
  <c r="CT74" i="15"/>
  <c r="CS74" i="15"/>
  <c r="CR74" i="15"/>
  <c r="CQ74" i="15"/>
  <c r="CP74" i="15"/>
  <c r="CT73" i="15"/>
  <c r="CS73" i="15"/>
  <c r="CR73" i="15"/>
  <c r="CQ73" i="15"/>
  <c r="CP73" i="15"/>
  <c r="CT72" i="15"/>
  <c r="CS72" i="15"/>
  <c r="CR72" i="15"/>
  <c r="CQ72" i="15"/>
  <c r="CP72" i="15"/>
  <c r="CT71" i="15"/>
  <c r="CS71" i="15"/>
  <c r="CR71" i="15"/>
  <c r="CQ71" i="15"/>
  <c r="CP71" i="15"/>
  <c r="CT70" i="15"/>
  <c r="CS70" i="15"/>
  <c r="CR70" i="15"/>
  <c r="CQ70" i="15"/>
  <c r="CP70" i="15"/>
  <c r="CT69" i="15"/>
  <c r="CS69" i="15"/>
  <c r="CR69" i="15"/>
  <c r="CQ69" i="15"/>
  <c r="CP69" i="15"/>
  <c r="CT68" i="15"/>
  <c r="CS68" i="15"/>
  <c r="CR68" i="15"/>
  <c r="CQ68" i="15"/>
  <c r="CP68" i="15"/>
  <c r="CT67" i="15"/>
  <c r="CS67" i="15"/>
  <c r="CR67" i="15"/>
  <c r="CQ67" i="15"/>
  <c r="CP67" i="15"/>
  <c r="CT66" i="15"/>
  <c r="CS66" i="15"/>
  <c r="CR66" i="15"/>
  <c r="CQ66" i="15"/>
  <c r="CP66" i="15"/>
  <c r="CT65" i="15"/>
  <c r="CS65" i="15"/>
  <c r="CR65" i="15"/>
  <c r="CQ65" i="15"/>
  <c r="CP65" i="15"/>
  <c r="CT64" i="15"/>
  <c r="CS64" i="15"/>
  <c r="CR64" i="15"/>
  <c r="CQ64" i="15"/>
  <c r="CP64" i="15"/>
  <c r="CT63" i="15"/>
  <c r="CS63" i="15"/>
  <c r="CR63" i="15"/>
  <c r="CQ63" i="15"/>
  <c r="CP63" i="15"/>
  <c r="BT78" i="15"/>
  <c r="BS78" i="15"/>
  <c r="BR78" i="15"/>
  <c r="BQ78" i="15"/>
  <c r="BP78" i="15"/>
  <c r="BT77" i="15"/>
  <c r="BS77" i="15"/>
  <c r="BR77" i="15"/>
  <c r="BQ77" i="15"/>
  <c r="BP77" i="15"/>
  <c r="BT76" i="15"/>
  <c r="BS76" i="15"/>
  <c r="BR76" i="15"/>
  <c r="BQ76" i="15"/>
  <c r="BP76" i="15"/>
  <c r="BT75" i="15"/>
  <c r="BS75" i="15"/>
  <c r="BR75" i="15"/>
  <c r="BQ75" i="15"/>
  <c r="BP75" i="15"/>
  <c r="BT74" i="15"/>
  <c r="BS74" i="15"/>
  <c r="BR74" i="15"/>
  <c r="BQ74" i="15"/>
  <c r="BP74" i="15"/>
  <c r="BT73" i="15"/>
  <c r="BS73" i="15"/>
  <c r="BR73" i="15"/>
  <c r="BQ73" i="15"/>
  <c r="BP73" i="15"/>
  <c r="BT72" i="15"/>
  <c r="BS72" i="15"/>
  <c r="BR72" i="15"/>
  <c r="BQ72" i="15"/>
  <c r="BP72" i="15"/>
  <c r="BT71" i="15"/>
  <c r="BS71" i="15"/>
  <c r="BR71" i="15"/>
  <c r="BQ71" i="15"/>
  <c r="BP71" i="15"/>
  <c r="BT70" i="15"/>
  <c r="BS70" i="15"/>
  <c r="BR70" i="15"/>
  <c r="BQ70" i="15"/>
  <c r="BP70" i="15"/>
  <c r="BT69" i="15"/>
  <c r="BS69" i="15"/>
  <c r="BR69" i="15"/>
  <c r="BQ69" i="15"/>
  <c r="BP69" i="15"/>
  <c r="BT68" i="15"/>
  <c r="BS68" i="15"/>
  <c r="BR68" i="15"/>
  <c r="BQ68" i="15"/>
  <c r="BP68" i="15"/>
  <c r="BT67" i="15"/>
  <c r="BS67" i="15"/>
  <c r="BR67" i="15"/>
  <c r="BQ67" i="15"/>
  <c r="BP67" i="15"/>
  <c r="BT66" i="15"/>
  <c r="BS66" i="15"/>
  <c r="BR66" i="15"/>
  <c r="BQ66" i="15"/>
  <c r="BP66" i="15"/>
  <c r="BT65" i="15"/>
  <c r="BS65" i="15"/>
  <c r="BR65" i="15"/>
  <c r="BQ65" i="15"/>
  <c r="BP65" i="15"/>
  <c r="BT64" i="15"/>
  <c r="BS64" i="15"/>
  <c r="BR64" i="15"/>
  <c r="BQ64" i="15"/>
  <c r="BP64" i="15"/>
  <c r="BT63" i="15"/>
  <c r="BS63" i="15"/>
  <c r="BR63" i="15"/>
  <c r="BQ63" i="15"/>
  <c r="BP63" i="15"/>
  <c r="AT78" i="15"/>
  <c r="AS78" i="15"/>
  <c r="AR78" i="15"/>
  <c r="AQ78" i="15"/>
  <c r="AP78" i="15"/>
  <c r="AT77" i="15"/>
  <c r="AS77" i="15"/>
  <c r="AR77" i="15"/>
  <c r="AQ77" i="15"/>
  <c r="AP77" i="15"/>
  <c r="AT76" i="15"/>
  <c r="AS76" i="15"/>
  <c r="AR76" i="15"/>
  <c r="AQ76" i="15"/>
  <c r="AP76" i="15"/>
  <c r="AT75" i="15"/>
  <c r="AS75" i="15"/>
  <c r="AR75" i="15"/>
  <c r="AQ75" i="15"/>
  <c r="AP75" i="15"/>
  <c r="AT74" i="15"/>
  <c r="AS74" i="15"/>
  <c r="AR74" i="15"/>
  <c r="AQ74" i="15"/>
  <c r="AP74" i="15"/>
  <c r="AT73" i="15"/>
  <c r="AS73" i="15"/>
  <c r="AR73" i="15"/>
  <c r="AQ73" i="15"/>
  <c r="AP73" i="15"/>
  <c r="AT72" i="15"/>
  <c r="AS72" i="15"/>
  <c r="AR72" i="15"/>
  <c r="AQ72" i="15"/>
  <c r="AP72" i="15"/>
  <c r="AT71" i="15"/>
  <c r="AS71" i="15"/>
  <c r="AR71" i="15"/>
  <c r="AQ71" i="15"/>
  <c r="AP71" i="15"/>
  <c r="AT70" i="15"/>
  <c r="AS70" i="15"/>
  <c r="AR70" i="15"/>
  <c r="AQ70" i="15"/>
  <c r="AP70" i="15"/>
  <c r="AT69" i="15"/>
  <c r="AS69" i="15"/>
  <c r="AR69" i="15"/>
  <c r="AQ69" i="15"/>
  <c r="AP69" i="15"/>
  <c r="AT68" i="15"/>
  <c r="AS68" i="15"/>
  <c r="AR68" i="15"/>
  <c r="AQ68" i="15"/>
  <c r="AP68" i="15"/>
  <c r="AT67" i="15"/>
  <c r="AS67" i="15"/>
  <c r="AR67" i="15"/>
  <c r="AQ67" i="15"/>
  <c r="AP67" i="15"/>
  <c r="AT66" i="15"/>
  <c r="AS66" i="15"/>
  <c r="AR66" i="15"/>
  <c r="AQ66" i="15"/>
  <c r="AP66" i="15"/>
  <c r="AT65" i="15"/>
  <c r="AS65" i="15"/>
  <c r="AR65" i="15"/>
  <c r="AQ65" i="15"/>
  <c r="AP65" i="15"/>
  <c r="AT64" i="15"/>
  <c r="AS64" i="15"/>
  <c r="AR64" i="15"/>
  <c r="AQ64" i="15"/>
  <c r="AP64" i="15"/>
  <c r="AT63" i="15"/>
  <c r="AS63" i="15"/>
  <c r="AR63" i="15"/>
  <c r="AQ63" i="15"/>
  <c r="AP63" i="15"/>
  <c r="T78" i="15"/>
  <c r="S78" i="15"/>
  <c r="R78" i="15"/>
  <c r="Q78" i="15"/>
  <c r="P78" i="15"/>
  <c r="T77" i="15"/>
  <c r="S77" i="15"/>
  <c r="R77" i="15"/>
  <c r="Q77" i="15"/>
  <c r="P77" i="15"/>
  <c r="T76" i="15"/>
  <c r="S76" i="15"/>
  <c r="R76" i="15"/>
  <c r="Q76" i="15"/>
  <c r="P76" i="15"/>
  <c r="T75" i="15"/>
  <c r="S75" i="15"/>
  <c r="R75" i="15"/>
  <c r="Q75" i="15"/>
  <c r="P75" i="15"/>
  <c r="T74" i="15"/>
  <c r="S74" i="15"/>
  <c r="R74" i="15"/>
  <c r="Q74" i="15"/>
  <c r="P74" i="15"/>
  <c r="T73" i="15"/>
  <c r="S73" i="15"/>
  <c r="R73" i="15"/>
  <c r="Q73" i="15"/>
  <c r="P73" i="15"/>
  <c r="T72" i="15"/>
  <c r="S72" i="15"/>
  <c r="R72" i="15"/>
  <c r="Q72" i="15"/>
  <c r="P72" i="15"/>
  <c r="T71" i="15"/>
  <c r="S71" i="15"/>
  <c r="R71" i="15"/>
  <c r="Q71" i="15"/>
  <c r="P71" i="15"/>
  <c r="T70" i="15"/>
  <c r="S70" i="15"/>
  <c r="R70" i="15"/>
  <c r="Q70" i="15"/>
  <c r="P70" i="15"/>
  <c r="T69" i="15"/>
  <c r="S69" i="15"/>
  <c r="R69" i="15"/>
  <c r="Q69" i="15"/>
  <c r="P69" i="15"/>
  <c r="T68" i="15"/>
  <c r="S68" i="15"/>
  <c r="R68" i="15"/>
  <c r="Q68" i="15"/>
  <c r="P68" i="15"/>
  <c r="T67" i="15"/>
  <c r="S67" i="15"/>
  <c r="R67" i="15"/>
  <c r="Q67" i="15"/>
  <c r="P67" i="15"/>
  <c r="T66" i="15"/>
  <c r="S66" i="15"/>
  <c r="R66" i="15"/>
  <c r="Q66" i="15"/>
  <c r="P66" i="15"/>
  <c r="T65" i="15"/>
  <c r="S65" i="15"/>
  <c r="R65" i="15"/>
  <c r="Q65" i="15"/>
  <c r="P65" i="15"/>
  <c r="T64" i="15"/>
  <c r="S64" i="15"/>
  <c r="R64" i="15"/>
  <c r="Q64" i="15"/>
  <c r="P64" i="15"/>
  <c r="T63" i="15"/>
  <c r="S63" i="15"/>
  <c r="R63" i="15"/>
  <c r="Q63" i="15"/>
  <c r="P63" i="15"/>
  <c r="DG78" i="15"/>
  <c r="DF78" i="15"/>
  <c r="DH78" i="15" s="1"/>
  <c r="DH77" i="15"/>
  <c r="DG77" i="15"/>
  <c r="DF77" i="15"/>
  <c r="DG76" i="15"/>
  <c r="DH76" i="15" s="1"/>
  <c r="DF76" i="15"/>
  <c r="DH75" i="15"/>
  <c r="DH74" i="15"/>
  <c r="DH73" i="15"/>
  <c r="DG73" i="15"/>
  <c r="DF73" i="15"/>
  <c r="DG72" i="15"/>
  <c r="DH72" i="15" s="1"/>
  <c r="DF72" i="15"/>
  <c r="DG71" i="15"/>
  <c r="DF71" i="15"/>
  <c r="DH71" i="15" s="1"/>
  <c r="DH70" i="15"/>
  <c r="DH69" i="15"/>
  <c r="DG68" i="15"/>
  <c r="DF68" i="15"/>
  <c r="DH68" i="15" s="1"/>
  <c r="DG67" i="15"/>
  <c r="DF67" i="15"/>
  <c r="DH67" i="15" s="1"/>
  <c r="DG66" i="15"/>
  <c r="DF66" i="15"/>
  <c r="DH66" i="15" s="1"/>
  <c r="DH65" i="15"/>
  <c r="DH64" i="15"/>
  <c r="DG63" i="15"/>
  <c r="DF63" i="15"/>
  <c r="DH63" i="15" s="1"/>
  <c r="CG78" i="15"/>
  <c r="CF78" i="15"/>
  <c r="CH78" i="15" s="1"/>
  <c r="CH77" i="15"/>
  <c r="CG77" i="15"/>
  <c r="CF77" i="15"/>
  <c r="CG76" i="15"/>
  <c r="CH76" i="15" s="1"/>
  <c r="CF76" i="15"/>
  <c r="CH75" i="15"/>
  <c r="CH74" i="15"/>
  <c r="CH73" i="15"/>
  <c r="CG73" i="15"/>
  <c r="CF73" i="15"/>
  <c r="CG72" i="15"/>
  <c r="CH72" i="15" s="1"/>
  <c r="CF72" i="15"/>
  <c r="CG71" i="15"/>
  <c r="CF71" i="15"/>
  <c r="CH71" i="15" s="1"/>
  <c r="CH70" i="15"/>
  <c r="CH69" i="15"/>
  <c r="CG68" i="15"/>
  <c r="CH68" i="15" s="1"/>
  <c r="CF68" i="15"/>
  <c r="CG67" i="15"/>
  <c r="CF67" i="15"/>
  <c r="CH67" i="15" s="1"/>
  <c r="CG66" i="15"/>
  <c r="CF66" i="15"/>
  <c r="CH66" i="15" s="1"/>
  <c r="CH65" i="15"/>
  <c r="CH64" i="15"/>
  <c r="CG63" i="15"/>
  <c r="CF63" i="15"/>
  <c r="CH63" i="15" s="1"/>
  <c r="BG78" i="15"/>
  <c r="BF78" i="15"/>
  <c r="BH78" i="15" s="1"/>
  <c r="BH77" i="15"/>
  <c r="BG77" i="15"/>
  <c r="BF77" i="15"/>
  <c r="BG76" i="15"/>
  <c r="BH76" i="15" s="1"/>
  <c r="BF76" i="15"/>
  <c r="BH75" i="15"/>
  <c r="BH74" i="15"/>
  <c r="BH73" i="15"/>
  <c r="BG73" i="15"/>
  <c r="BF73" i="15"/>
  <c r="BG72" i="15"/>
  <c r="BH72" i="15" s="1"/>
  <c r="BF72" i="15"/>
  <c r="BG71" i="15"/>
  <c r="BF71" i="15"/>
  <c r="BH71" i="15" s="1"/>
  <c r="BH70" i="15"/>
  <c r="BH69" i="15"/>
  <c r="BG68" i="15"/>
  <c r="BH68" i="15" s="1"/>
  <c r="BF68" i="15"/>
  <c r="BG67" i="15"/>
  <c r="BF67" i="15"/>
  <c r="BH67" i="15" s="1"/>
  <c r="BG66" i="15"/>
  <c r="BF66" i="15"/>
  <c r="BH66" i="15" s="1"/>
  <c r="BH65" i="15"/>
  <c r="BH64" i="15"/>
  <c r="BG63" i="15"/>
  <c r="BF63" i="15"/>
  <c r="BH63" i="15" s="1"/>
  <c r="AG78" i="15"/>
  <c r="AF78" i="15"/>
  <c r="AH78" i="15" s="1"/>
  <c r="AH77" i="15"/>
  <c r="AG77" i="15"/>
  <c r="AF77" i="15"/>
  <c r="AG76" i="15"/>
  <c r="AH76" i="15" s="1"/>
  <c r="AF76" i="15"/>
  <c r="AH75" i="15"/>
  <c r="AH74" i="15"/>
  <c r="AH73" i="15"/>
  <c r="AG73" i="15"/>
  <c r="AF73" i="15"/>
  <c r="AG72" i="15"/>
  <c r="AH72" i="15" s="1"/>
  <c r="AF72" i="15"/>
  <c r="AG71" i="15"/>
  <c r="AF71" i="15"/>
  <c r="AH71" i="15" s="1"/>
  <c r="AH70" i="15"/>
  <c r="AH69" i="15"/>
  <c r="AG68" i="15"/>
  <c r="AH68" i="15" s="1"/>
  <c r="AF68" i="15"/>
  <c r="AG67" i="15"/>
  <c r="AF67" i="15"/>
  <c r="AH67" i="15" s="1"/>
  <c r="AG66" i="15"/>
  <c r="AF66" i="15"/>
  <c r="AH66" i="15" s="1"/>
  <c r="AH65" i="15"/>
  <c r="AH64" i="15"/>
  <c r="AG63" i="15"/>
  <c r="AF63" i="15"/>
  <c r="AH63" i="15" s="1"/>
  <c r="G78" i="15"/>
  <c r="H78" i="15" s="1"/>
  <c r="F78" i="15"/>
  <c r="H77" i="15"/>
  <c r="G77" i="15"/>
  <c r="F77" i="15"/>
  <c r="G76" i="15"/>
  <c r="F76" i="15"/>
  <c r="H76" i="15" s="1"/>
  <c r="H75" i="15"/>
  <c r="H74" i="15"/>
  <c r="H73" i="15"/>
  <c r="G73" i="15"/>
  <c r="F73" i="15"/>
  <c r="G72" i="15"/>
  <c r="F72" i="15"/>
  <c r="H72" i="15" s="1"/>
  <c r="G71" i="15"/>
  <c r="F71" i="15"/>
  <c r="H71" i="15" s="1"/>
  <c r="H70" i="15"/>
  <c r="H69" i="15"/>
  <c r="G68" i="15"/>
  <c r="F68" i="15"/>
  <c r="H68" i="15" s="1"/>
  <c r="G67" i="15"/>
  <c r="F67" i="15"/>
  <c r="H67" i="15" s="1"/>
  <c r="G66" i="15"/>
  <c r="H66" i="15" s="1"/>
  <c r="F66" i="15"/>
  <c r="H65" i="15"/>
  <c r="H64" i="15"/>
  <c r="G63" i="15"/>
  <c r="F63" i="15"/>
  <c r="H63" i="15" s="1"/>
  <c r="DT78" i="14"/>
  <c r="DS78" i="14"/>
  <c r="DR78" i="14"/>
  <c r="DQ78" i="14"/>
  <c r="DP78" i="14"/>
  <c r="DT77" i="14"/>
  <c r="DS77" i="14"/>
  <c r="DR77" i="14"/>
  <c r="DQ77" i="14"/>
  <c r="DP77" i="14"/>
  <c r="DT76" i="14"/>
  <c r="DS76" i="14"/>
  <c r="DR76" i="14"/>
  <c r="DQ76" i="14"/>
  <c r="DP76" i="14"/>
  <c r="DT75" i="14"/>
  <c r="DS75" i="14"/>
  <c r="DR75" i="14"/>
  <c r="DQ75" i="14"/>
  <c r="DP75" i="14"/>
  <c r="DT74" i="14"/>
  <c r="DS74" i="14"/>
  <c r="DR74" i="14"/>
  <c r="DQ74" i="14"/>
  <c r="DP74" i="14"/>
  <c r="DT73" i="14"/>
  <c r="DS73" i="14"/>
  <c r="DR73" i="14"/>
  <c r="DQ73" i="14"/>
  <c r="DP73" i="14"/>
  <c r="DT72" i="14"/>
  <c r="DS72" i="14"/>
  <c r="DR72" i="14"/>
  <c r="DQ72" i="14"/>
  <c r="DP72" i="14"/>
  <c r="DT71" i="14"/>
  <c r="DS71" i="14"/>
  <c r="DR71" i="14"/>
  <c r="DQ71" i="14"/>
  <c r="DP71" i="14"/>
  <c r="DT70" i="14"/>
  <c r="DS70" i="14"/>
  <c r="DR70" i="14"/>
  <c r="DQ70" i="14"/>
  <c r="DP70" i="14"/>
  <c r="DT69" i="14"/>
  <c r="DS69" i="14"/>
  <c r="DR69" i="14"/>
  <c r="DQ69" i="14"/>
  <c r="DP69" i="14"/>
  <c r="DT68" i="14"/>
  <c r="DS68" i="14"/>
  <c r="DR68" i="14"/>
  <c r="DQ68" i="14"/>
  <c r="DP68" i="14"/>
  <c r="DT67" i="14"/>
  <c r="DS67" i="14"/>
  <c r="DR67" i="14"/>
  <c r="DQ67" i="14"/>
  <c r="DP67" i="14"/>
  <c r="DT66" i="14"/>
  <c r="DS66" i="14"/>
  <c r="DR66" i="14"/>
  <c r="DQ66" i="14"/>
  <c r="DP66" i="14"/>
  <c r="DT65" i="14"/>
  <c r="DS65" i="14"/>
  <c r="DR65" i="14"/>
  <c r="DQ65" i="14"/>
  <c r="DP65" i="14"/>
  <c r="DT64" i="14"/>
  <c r="DS64" i="14"/>
  <c r="DR64" i="14"/>
  <c r="DQ64" i="14"/>
  <c r="DP64" i="14"/>
  <c r="DT63" i="14"/>
  <c r="DS63" i="14"/>
  <c r="DR63" i="14"/>
  <c r="DQ63" i="14"/>
  <c r="DP63" i="14"/>
  <c r="CT78" i="14"/>
  <c r="CS78" i="14"/>
  <c r="CR78" i="14"/>
  <c r="CQ78" i="14"/>
  <c r="CP78" i="14"/>
  <c r="CT77" i="14"/>
  <c r="CS77" i="14"/>
  <c r="CR77" i="14"/>
  <c r="CQ77" i="14"/>
  <c r="CP77" i="14"/>
  <c r="CT76" i="14"/>
  <c r="CS76" i="14"/>
  <c r="CR76" i="14"/>
  <c r="CQ76" i="14"/>
  <c r="CP76" i="14"/>
  <c r="CT75" i="14"/>
  <c r="CS75" i="14"/>
  <c r="CR75" i="14"/>
  <c r="CQ75" i="14"/>
  <c r="CP75" i="14"/>
  <c r="CT74" i="14"/>
  <c r="CS74" i="14"/>
  <c r="CR74" i="14"/>
  <c r="CQ74" i="14"/>
  <c r="CP74" i="14"/>
  <c r="CT73" i="14"/>
  <c r="CS73" i="14"/>
  <c r="CR73" i="14"/>
  <c r="CQ73" i="14"/>
  <c r="CP73" i="14"/>
  <c r="CT72" i="14"/>
  <c r="CS72" i="14"/>
  <c r="CR72" i="14"/>
  <c r="CQ72" i="14"/>
  <c r="CP72" i="14"/>
  <c r="CT71" i="14"/>
  <c r="CS71" i="14"/>
  <c r="CR71" i="14"/>
  <c r="CQ71" i="14"/>
  <c r="CP71" i="14"/>
  <c r="CT70" i="14"/>
  <c r="CS70" i="14"/>
  <c r="CR70" i="14"/>
  <c r="CQ70" i="14"/>
  <c r="CP70" i="14"/>
  <c r="CT69" i="14"/>
  <c r="CS69" i="14"/>
  <c r="CR69" i="14"/>
  <c r="CQ69" i="14"/>
  <c r="CP69" i="14"/>
  <c r="CT68" i="14"/>
  <c r="CS68" i="14"/>
  <c r="CR68" i="14"/>
  <c r="CQ68" i="14"/>
  <c r="CP68" i="14"/>
  <c r="CT67" i="14"/>
  <c r="CS67" i="14"/>
  <c r="CR67" i="14"/>
  <c r="CQ67" i="14"/>
  <c r="CP67" i="14"/>
  <c r="CT66" i="14"/>
  <c r="CS66" i="14"/>
  <c r="CR66" i="14"/>
  <c r="CQ66" i="14"/>
  <c r="CP66" i="14"/>
  <c r="CT65" i="14"/>
  <c r="CS65" i="14"/>
  <c r="CR65" i="14"/>
  <c r="CQ65" i="14"/>
  <c r="CP65" i="14"/>
  <c r="CT64" i="14"/>
  <c r="CS64" i="14"/>
  <c r="CR64" i="14"/>
  <c r="CQ64" i="14"/>
  <c r="CP64" i="14"/>
  <c r="CT63" i="14"/>
  <c r="CS63" i="14"/>
  <c r="CR63" i="14"/>
  <c r="CQ63" i="14"/>
  <c r="CP63" i="14"/>
  <c r="BT78" i="14"/>
  <c r="BS78" i="14"/>
  <c r="BR78" i="14"/>
  <c r="BQ78" i="14"/>
  <c r="BP78" i="14"/>
  <c r="BT77" i="14"/>
  <c r="BS77" i="14"/>
  <c r="BR77" i="14"/>
  <c r="BQ77" i="14"/>
  <c r="BP77" i="14"/>
  <c r="BT76" i="14"/>
  <c r="BS76" i="14"/>
  <c r="BR76" i="14"/>
  <c r="BQ76" i="14"/>
  <c r="BP76" i="14"/>
  <c r="BT75" i="14"/>
  <c r="BS75" i="14"/>
  <c r="BR75" i="14"/>
  <c r="BQ75" i="14"/>
  <c r="BP75" i="14"/>
  <c r="BT74" i="14"/>
  <c r="BS74" i="14"/>
  <c r="BR74" i="14"/>
  <c r="BQ74" i="14"/>
  <c r="BP74" i="14"/>
  <c r="BT73" i="14"/>
  <c r="BS73" i="14"/>
  <c r="BR73" i="14"/>
  <c r="BQ73" i="14"/>
  <c r="BP73" i="14"/>
  <c r="BT72" i="14"/>
  <c r="BS72" i="14"/>
  <c r="BR72" i="14"/>
  <c r="BQ72" i="14"/>
  <c r="BP72" i="14"/>
  <c r="BT71" i="14"/>
  <c r="BS71" i="14"/>
  <c r="BR71" i="14"/>
  <c r="BQ71" i="14"/>
  <c r="BP71" i="14"/>
  <c r="BT70" i="14"/>
  <c r="BS70" i="14"/>
  <c r="BR70" i="14"/>
  <c r="BQ70" i="14"/>
  <c r="BP70" i="14"/>
  <c r="BT69" i="14"/>
  <c r="BS69" i="14"/>
  <c r="BR69" i="14"/>
  <c r="BQ69" i="14"/>
  <c r="BP69" i="14"/>
  <c r="BT68" i="14"/>
  <c r="BS68" i="14"/>
  <c r="BR68" i="14"/>
  <c r="BQ68" i="14"/>
  <c r="BP68" i="14"/>
  <c r="BT67" i="14"/>
  <c r="BS67" i="14"/>
  <c r="BR67" i="14"/>
  <c r="BQ67" i="14"/>
  <c r="BP67" i="14"/>
  <c r="BT66" i="14"/>
  <c r="BS66" i="14"/>
  <c r="BR66" i="14"/>
  <c r="BQ66" i="14"/>
  <c r="BP66" i="14"/>
  <c r="BT65" i="14"/>
  <c r="BS65" i="14"/>
  <c r="BR65" i="14"/>
  <c r="BQ65" i="14"/>
  <c r="BP65" i="14"/>
  <c r="BT64" i="14"/>
  <c r="BS64" i="14"/>
  <c r="BR64" i="14"/>
  <c r="BQ64" i="14"/>
  <c r="BP64" i="14"/>
  <c r="BT63" i="14"/>
  <c r="BS63" i="14"/>
  <c r="BR63" i="14"/>
  <c r="BQ63" i="14"/>
  <c r="BP63" i="14"/>
  <c r="AT78" i="14"/>
  <c r="AS78" i="14"/>
  <c r="AR78" i="14"/>
  <c r="AQ78" i="14"/>
  <c r="AP78" i="14"/>
  <c r="AT77" i="14"/>
  <c r="AS77" i="14"/>
  <c r="AR77" i="14"/>
  <c r="AQ77" i="14"/>
  <c r="AP77" i="14"/>
  <c r="AT76" i="14"/>
  <c r="AS76" i="14"/>
  <c r="AR76" i="14"/>
  <c r="AQ76" i="14"/>
  <c r="AP76" i="14"/>
  <c r="AT75" i="14"/>
  <c r="AS75" i="14"/>
  <c r="AR75" i="14"/>
  <c r="AQ75" i="14"/>
  <c r="AP75" i="14"/>
  <c r="AT74" i="14"/>
  <c r="AS74" i="14"/>
  <c r="AR74" i="14"/>
  <c r="AQ74" i="14"/>
  <c r="AP74" i="14"/>
  <c r="AT73" i="14"/>
  <c r="AS73" i="14"/>
  <c r="AR73" i="14"/>
  <c r="AQ73" i="14"/>
  <c r="AP73" i="14"/>
  <c r="AT72" i="14"/>
  <c r="AS72" i="14"/>
  <c r="AR72" i="14"/>
  <c r="AQ72" i="14"/>
  <c r="AP72" i="14"/>
  <c r="AT71" i="14"/>
  <c r="AS71" i="14"/>
  <c r="AR71" i="14"/>
  <c r="AQ71" i="14"/>
  <c r="AP71" i="14"/>
  <c r="AT70" i="14"/>
  <c r="AS70" i="14"/>
  <c r="AR70" i="14"/>
  <c r="AQ70" i="14"/>
  <c r="AP70" i="14"/>
  <c r="AT69" i="14"/>
  <c r="AS69" i="14"/>
  <c r="AR69" i="14"/>
  <c r="AQ69" i="14"/>
  <c r="AP69" i="14"/>
  <c r="AT68" i="14"/>
  <c r="AS68" i="14"/>
  <c r="AR68" i="14"/>
  <c r="AQ68" i="14"/>
  <c r="AP68" i="14"/>
  <c r="AT67" i="14"/>
  <c r="AS67" i="14"/>
  <c r="AR67" i="14"/>
  <c r="AQ67" i="14"/>
  <c r="AP67" i="14"/>
  <c r="AT66" i="14"/>
  <c r="AS66" i="14"/>
  <c r="AR66" i="14"/>
  <c r="AQ66" i="14"/>
  <c r="AP66" i="14"/>
  <c r="AT65" i="14"/>
  <c r="AS65" i="14"/>
  <c r="AR65" i="14"/>
  <c r="AQ65" i="14"/>
  <c r="AP65" i="14"/>
  <c r="AT64" i="14"/>
  <c r="AS64" i="14"/>
  <c r="AR64" i="14"/>
  <c r="AQ64" i="14"/>
  <c r="AP64" i="14"/>
  <c r="AT63" i="14"/>
  <c r="AS63" i="14"/>
  <c r="AR63" i="14"/>
  <c r="AQ63" i="14"/>
  <c r="AP63" i="14"/>
  <c r="R78" i="14"/>
  <c r="T78" i="14"/>
  <c r="P78" i="14"/>
  <c r="S78" i="14"/>
  <c r="Q78" i="14"/>
  <c r="T77" i="14"/>
  <c r="S77" i="14"/>
  <c r="R77" i="14"/>
  <c r="Q77" i="14"/>
  <c r="P77" i="14"/>
  <c r="T76" i="14"/>
  <c r="S76" i="14"/>
  <c r="R76" i="14"/>
  <c r="Q76" i="14"/>
  <c r="P76" i="14"/>
  <c r="T75" i="14"/>
  <c r="S75" i="14"/>
  <c r="R75" i="14"/>
  <c r="Q75" i="14"/>
  <c r="P75" i="14"/>
  <c r="T74" i="14"/>
  <c r="S74" i="14"/>
  <c r="R74" i="14"/>
  <c r="Q74" i="14"/>
  <c r="P74" i="14"/>
  <c r="T73" i="14"/>
  <c r="S73" i="14"/>
  <c r="R73" i="14"/>
  <c r="Q73" i="14"/>
  <c r="P73" i="14"/>
  <c r="T72" i="14"/>
  <c r="S72" i="14"/>
  <c r="R72" i="14"/>
  <c r="Q72" i="14"/>
  <c r="P72" i="14"/>
  <c r="T71" i="14"/>
  <c r="S71" i="14"/>
  <c r="R71" i="14"/>
  <c r="Q71" i="14"/>
  <c r="P71" i="14"/>
  <c r="T70" i="14"/>
  <c r="S70" i="14"/>
  <c r="R70" i="14"/>
  <c r="Q70" i="14"/>
  <c r="P70" i="14"/>
  <c r="T69" i="14"/>
  <c r="S69" i="14"/>
  <c r="R69" i="14"/>
  <c r="Q69" i="14"/>
  <c r="P69" i="14"/>
  <c r="T68" i="14"/>
  <c r="S68" i="14"/>
  <c r="R68" i="14"/>
  <c r="Q68" i="14"/>
  <c r="P68" i="14"/>
  <c r="T67" i="14"/>
  <c r="S67" i="14"/>
  <c r="R67" i="14"/>
  <c r="Q67" i="14"/>
  <c r="P67" i="14"/>
  <c r="T66" i="14"/>
  <c r="S66" i="14"/>
  <c r="R66" i="14"/>
  <c r="Q66" i="14"/>
  <c r="P66" i="14"/>
  <c r="T65" i="14"/>
  <c r="S65" i="14"/>
  <c r="R65" i="14"/>
  <c r="Q65" i="14"/>
  <c r="P65" i="14"/>
  <c r="T64" i="14"/>
  <c r="S64" i="14"/>
  <c r="R64" i="14"/>
  <c r="Q64" i="14"/>
  <c r="P64" i="14"/>
  <c r="T63" i="14"/>
  <c r="S63" i="14"/>
  <c r="R63" i="14"/>
  <c r="Q63" i="14"/>
  <c r="P63" i="14"/>
  <c r="DF78" i="14"/>
  <c r="DF77" i="14"/>
  <c r="DF76" i="14"/>
  <c r="DH76" i="14" s="1"/>
  <c r="DF73" i="14"/>
  <c r="DF72" i="14"/>
  <c r="DF71" i="14"/>
  <c r="DF68" i="14"/>
  <c r="DH68" i="14" s="1"/>
  <c r="DF67" i="14"/>
  <c r="DH67" i="14" s="1"/>
  <c r="DF66" i="14"/>
  <c r="DF63" i="14"/>
  <c r="DG78" i="14"/>
  <c r="DH77" i="14"/>
  <c r="DG77" i="14"/>
  <c r="DG76" i="14"/>
  <c r="DH75" i="14"/>
  <c r="DH74" i="14"/>
  <c r="DH73" i="14"/>
  <c r="DG73" i="14"/>
  <c r="DG72" i="14"/>
  <c r="DH72" i="14"/>
  <c r="DG71" i="14"/>
  <c r="DH71" i="14"/>
  <c r="DH70" i="14"/>
  <c r="DH69" i="14"/>
  <c r="DG68" i="14"/>
  <c r="DG67" i="14"/>
  <c r="DG66" i="14"/>
  <c r="DH66" i="14" s="1"/>
  <c r="DH65" i="14"/>
  <c r="DH64" i="14"/>
  <c r="DG63" i="14"/>
  <c r="DH63" i="14"/>
  <c r="CF78" i="14"/>
  <c r="CF77" i="14"/>
  <c r="CF76" i="14"/>
  <c r="CH76" i="14" s="1"/>
  <c r="CF73" i="14"/>
  <c r="CH73" i="14" s="1"/>
  <c r="CF72" i="14"/>
  <c r="CH72" i="14" s="1"/>
  <c r="CF71" i="14"/>
  <c r="CH71" i="14" s="1"/>
  <c r="CF68" i="14"/>
  <c r="CF67" i="14"/>
  <c r="CH67" i="14" s="1"/>
  <c r="CF66" i="14"/>
  <c r="CF63" i="14"/>
  <c r="CG78" i="14"/>
  <c r="CH78" i="14" s="1"/>
  <c r="CG77" i="14"/>
  <c r="CH77" i="14"/>
  <c r="CG76" i="14"/>
  <c r="CH75" i="14"/>
  <c r="CH74" i="14"/>
  <c r="CG73" i="14"/>
  <c r="CG72" i="14"/>
  <c r="CG71" i="14"/>
  <c r="CH70" i="14"/>
  <c r="CH69" i="14"/>
  <c r="CG68" i="14"/>
  <c r="CH68" i="14"/>
  <c r="CG67" i="14"/>
  <c r="CG66" i="14"/>
  <c r="CH66" i="14" s="1"/>
  <c r="CH65" i="14"/>
  <c r="CH64" i="14"/>
  <c r="CH63" i="14"/>
  <c r="CG63" i="14"/>
  <c r="BF78" i="14"/>
  <c r="BF77" i="14"/>
  <c r="BF76" i="14"/>
  <c r="BH76" i="14" s="1"/>
  <c r="BF73" i="14"/>
  <c r="BH73" i="14" s="1"/>
  <c r="BF72" i="14"/>
  <c r="BH72" i="14" s="1"/>
  <c r="BF71" i="14"/>
  <c r="BF68" i="14"/>
  <c r="BF67" i="14"/>
  <c r="BH67" i="14" s="1"/>
  <c r="BF66" i="14"/>
  <c r="BF63" i="14"/>
  <c r="BH63" i="14" s="1"/>
  <c r="BG78" i="14"/>
  <c r="BH78" i="14"/>
  <c r="BH77" i="14"/>
  <c r="BG77" i="14"/>
  <c r="BG76" i="14"/>
  <c r="BH75" i="14"/>
  <c r="BH74" i="14"/>
  <c r="BG73" i="14"/>
  <c r="BG72" i="14"/>
  <c r="BG71" i="14"/>
  <c r="BH71" i="14"/>
  <c r="BH70" i="14"/>
  <c r="BH69" i="14"/>
  <c r="BG68" i="14"/>
  <c r="BH68" i="14"/>
  <c r="BG67" i="14"/>
  <c r="BH66" i="14"/>
  <c r="BG66" i="14"/>
  <c r="BH65" i="14"/>
  <c r="BH64" i="14"/>
  <c r="BG63" i="14"/>
  <c r="AF78" i="14"/>
  <c r="AF77" i="14"/>
  <c r="AF76" i="14"/>
  <c r="AH76" i="14" s="1"/>
  <c r="AF73" i="14"/>
  <c r="AF72" i="14"/>
  <c r="AF71" i="14"/>
  <c r="AF68" i="14"/>
  <c r="AF67" i="14"/>
  <c r="AH67" i="14" s="1"/>
  <c r="AF66" i="14"/>
  <c r="AH66" i="14" s="1"/>
  <c r="AF63" i="14"/>
  <c r="AG78" i="14"/>
  <c r="AH78" i="14"/>
  <c r="AH77" i="14"/>
  <c r="AG77" i="14"/>
  <c r="AG76" i="14"/>
  <c r="AH75" i="14"/>
  <c r="AH74" i="14"/>
  <c r="AH73" i="14"/>
  <c r="AG73" i="14"/>
  <c r="AG72" i="14"/>
  <c r="AG71" i="14"/>
  <c r="AH71" i="14"/>
  <c r="AH70" i="14"/>
  <c r="AH69" i="14"/>
  <c r="AG68" i="14"/>
  <c r="AG67" i="14"/>
  <c r="AG66" i="14"/>
  <c r="AH65" i="14"/>
  <c r="AH64" i="14"/>
  <c r="AG63" i="14"/>
  <c r="AH63" i="14"/>
  <c r="H63" i="14"/>
  <c r="G78" i="14"/>
  <c r="F78" i="14"/>
  <c r="H78" i="14" s="1"/>
  <c r="G77" i="14"/>
  <c r="F77" i="14"/>
  <c r="H77" i="14" s="1"/>
  <c r="H76" i="14"/>
  <c r="G76" i="14"/>
  <c r="F76" i="14"/>
  <c r="H75" i="14"/>
  <c r="H74" i="14"/>
  <c r="G73" i="14"/>
  <c r="F73" i="14"/>
  <c r="H73" i="14" s="1"/>
  <c r="H72" i="14"/>
  <c r="G72" i="14"/>
  <c r="F72" i="14"/>
  <c r="G71" i="14"/>
  <c r="H71" i="14" s="1"/>
  <c r="F71" i="14"/>
  <c r="H70" i="14"/>
  <c r="H69" i="14"/>
  <c r="H68" i="14"/>
  <c r="G68" i="14"/>
  <c r="F68" i="14"/>
  <c r="G67" i="14"/>
  <c r="H67" i="14" s="1"/>
  <c r="F67" i="14"/>
  <c r="G66" i="14"/>
  <c r="F66" i="14"/>
  <c r="H66" i="14" s="1"/>
  <c r="H65" i="14"/>
  <c r="H64" i="14"/>
  <c r="G63" i="14"/>
  <c r="F63" i="14"/>
  <c r="DG78" i="13"/>
  <c r="DG77" i="13"/>
  <c r="DG76" i="13"/>
  <c r="DH76" i="13" s="1"/>
  <c r="DP76" i="13" s="1"/>
  <c r="DG73" i="13"/>
  <c r="DG72" i="13"/>
  <c r="DG71" i="13"/>
  <c r="DG68" i="13"/>
  <c r="DG67" i="13"/>
  <c r="DG66" i="13"/>
  <c r="DG63" i="13"/>
  <c r="DH73" i="13"/>
  <c r="DP73" i="13" s="1"/>
  <c r="CG78" i="13"/>
  <c r="CG77" i="13"/>
  <c r="CH77" i="13" s="1"/>
  <c r="CP77" i="13" s="1"/>
  <c r="CG76" i="13"/>
  <c r="CG73" i="13"/>
  <c r="CH73" i="13" s="1"/>
  <c r="CP73" i="13" s="1"/>
  <c r="CG72" i="13"/>
  <c r="CG71" i="13"/>
  <c r="CG68" i="13"/>
  <c r="CH68" i="13" s="1"/>
  <c r="CP68" i="13" s="1"/>
  <c r="CG67" i="13"/>
  <c r="CG66" i="13"/>
  <c r="CG63" i="13"/>
  <c r="BG78" i="13"/>
  <c r="BG77" i="13"/>
  <c r="BG76" i="13"/>
  <c r="BG73" i="13"/>
  <c r="BG72" i="13"/>
  <c r="BG71" i="13"/>
  <c r="BG68" i="13"/>
  <c r="BG67" i="13"/>
  <c r="BG66" i="13"/>
  <c r="BG63" i="13"/>
  <c r="BH73" i="13"/>
  <c r="BP73" i="13" s="1"/>
  <c r="BH68" i="13"/>
  <c r="BP68" i="13" s="1"/>
  <c r="AG78" i="13"/>
  <c r="AH78" i="13" s="1"/>
  <c r="AP78" i="13" s="1"/>
  <c r="AG77" i="13"/>
  <c r="AG76" i="13"/>
  <c r="AG73" i="13"/>
  <c r="AH73" i="13" s="1"/>
  <c r="AP73" i="13" s="1"/>
  <c r="AG72" i="13"/>
  <c r="AG71" i="13"/>
  <c r="AG68" i="13"/>
  <c r="AG67" i="13"/>
  <c r="AG66" i="13"/>
  <c r="AG63" i="13"/>
  <c r="DF78" i="13"/>
  <c r="DH78" i="13" s="1"/>
  <c r="DP78" i="13" s="1"/>
  <c r="DH77" i="13"/>
  <c r="DP77" i="13" s="1"/>
  <c r="DF77" i="13"/>
  <c r="DF76" i="13"/>
  <c r="DH75" i="13"/>
  <c r="DH74" i="13"/>
  <c r="DF73" i="13"/>
  <c r="DH72" i="13"/>
  <c r="DP72" i="13" s="1"/>
  <c r="DF72" i="13"/>
  <c r="DF71" i="13"/>
  <c r="DH70" i="13"/>
  <c r="DH69" i="13"/>
  <c r="DH68" i="13"/>
  <c r="DP68" i="13" s="1"/>
  <c r="DF68" i="13"/>
  <c r="DF67" i="13"/>
  <c r="DF66" i="13"/>
  <c r="DH65" i="13"/>
  <c r="DH64" i="13"/>
  <c r="DF63" i="13"/>
  <c r="DH63" i="13" s="1"/>
  <c r="DP63" i="13" s="1"/>
  <c r="CF78" i="13"/>
  <c r="CH78" i="13" s="1"/>
  <c r="CP78" i="13" s="1"/>
  <c r="CF77" i="13"/>
  <c r="CF76" i="13"/>
  <c r="CH76" i="13" s="1"/>
  <c r="CP76" i="13" s="1"/>
  <c r="CH75" i="13"/>
  <c r="CH74" i="13"/>
  <c r="CF73" i="13"/>
  <c r="CH72" i="13"/>
  <c r="CP72" i="13" s="1"/>
  <c r="CF72" i="13"/>
  <c r="CF71" i="13"/>
  <c r="CH70" i="13"/>
  <c r="CH69" i="13"/>
  <c r="CF68" i="13"/>
  <c r="CF67" i="13"/>
  <c r="CF66" i="13"/>
  <c r="CH65" i="13"/>
  <c r="CH64" i="13"/>
  <c r="CF63" i="13"/>
  <c r="CH63" i="13" s="1"/>
  <c r="CP63" i="13" s="1"/>
  <c r="BF78" i="13"/>
  <c r="BH77" i="13"/>
  <c r="BP77" i="13" s="1"/>
  <c r="BF77" i="13"/>
  <c r="BF76" i="13"/>
  <c r="BH76" i="13" s="1"/>
  <c r="BP76" i="13" s="1"/>
  <c r="BH75" i="13"/>
  <c r="BH74" i="13"/>
  <c r="BF73" i="13"/>
  <c r="BH72" i="13"/>
  <c r="BP72" i="13" s="1"/>
  <c r="BF72" i="13"/>
  <c r="BF71" i="13"/>
  <c r="BH71" i="13" s="1"/>
  <c r="BP71" i="13" s="1"/>
  <c r="BH70" i="13"/>
  <c r="BH69" i="13"/>
  <c r="BF68" i="13"/>
  <c r="BF67" i="13"/>
  <c r="BF66" i="13"/>
  <c r="BH66" i="13" s="1"/>
  <c r="BP66" i="13" s="1"/>
  <c r="BH65" i="13"/>
  <c r="BH64" i="13"/>
  <c r="BF63" i="13"/>
  <c r="AF78" i="13"/>
  <c r="AH77" i="13"/>
  <c r="AP77" i="13" s="1"/>
  <c r="AF77" i="13"/>
  <c r="AF76" i="13"/>
  <c r="AH75" i="13"/>
  <c r="AH74" i="13"/>
  <c r="AF73" i="13"/>
  <c r="AF72" i="13"/>
  <c r="AF71" i="13"/>
  <c r="AH70" i="13"/>
  <c r="AP70" i="13" s="1"/>
  <c r="AH69" i="13"/>
  <c r="AF68" i="13"/>
  <c r="AH68" i="13" s="1"/>
  <c r="AP68" i="13" s="1"/>
  <c r="AF67" i="13"/>
  <c r="AH66" i="13"/>
  <c r="AP66" i="13" s="1"/>
  <c r="AF66" i="13"/>
  <c r="AH65" i="13"/>
  <c r="AH64" i="13"/>
  <c r="AF63" i="13"/>
  <c r="AH63" i="13" s="1"/>
  <c r="AP63" i="13" s="1"/>
  <c r="H78" i="13"/>
  <c r="H77" i="13"/>
  <c r="H76" i="13"/>
  <c r="H73" i="13"/>
  <c r="H72" i="13"/>
  <c r="H71" i="13"/>
  <c r="H68" i="13"/>
  <c r="H67" i="13"/>
  <c r="H66" i="13"/>
  <c r="H63" i="13"/>
  <c r="G77" i="13"/>
  <c r="F77" i="13"/>
  <c r="G76" i="13"/>
  <c r="F76" i="13"/>
  <c r="G72" i="13"/>
  <c r="F72" i="13"/>
  <c r="G71" i="13"/>
  <c r="F71" i="13"/>
  <c r="F67" i="13"/>
  <c r="G67" i="13"/>
  <c r="G66" i="13"/>
  <c r="F66" i="13"/>
  <c r="G78" i="13"/>
  <c r="F78" i="13"/>
  <c r="G73" i="13"/>
  <c r="F73" i="13"/>
  <c r="G68" i="13"/>
  <c r="F68" i="13"/>
  <c r="G63" i="13"/>
  <c r="F63" i="13"/>
  <c r="DR78" i="13"/>
  <c r="DQ78" i="13"/>
  <c r="DR77" i="13"/>
  <c r="DQ77" i="13"/>
  <c r="DR76" i="13"/>
  <c r="DQ76" i="13"/>
  <c r="DR75" i="13"/>
  <c r="DQ75" i="13"/>
  <c r="DP75" i="13"/>
  <c r="DR74" i="13"/>
  <c r="DQ74" i="13"/>
  <c r="DP74" i="13"/>
  <c r="DR73" i="13"/>
  <c r="DQ73" i="13"/>
  <c r="DR72" i="13"/>
  <c r="DQ72" i="13"/>
  <c r="DR71" i="13"/>
  <c r="DQ71" i="13"/>
  <c r="DR70" i="13"/>
  <c r="DQ70" i="13"/>
  <c r="DP70" i="13"/>
  <c r="DR69" i="13"/>
  <c r="DQ69" i="13"/>
  <c r="DP69" i="13"/>
  <c r="DR68" i="13"/>
  <c r="DQ68" i="13"/>
  <c r="DR67" i="13"/>
  <c r="DQ67" i="13"/>
  <c r="DR66" i="13"/>
  <c r="DQ66" i="13"/>
  <c r="DR65" i="13"/>
  <c r="DQ65" i="13"/>
  <c r="DP65" i="13"/>
  <c r="DR64" i="13"/>
  <c r="DQ64" i="13"/>
  <c r="DP64" i="13"/>
  <c r="DR63" i="13"/>
  <c r="DQ63" i="13"/>
  <c r="CR78" i="13"/>
  <c r="CQ78" i="13"/>
  <c r="CR77" i="13"/>
  <c r="CQ77" i="13"/>
  <c r="CR76" i="13"/>
  <c r="CQ76" i="13"/>
  <c r="CR75" i="13"/>
  <c r="CQ75" i="13"/>
  <c r="CP75" i="13"/>
  <c r="CR74" i="13"/>
  <c r="CQ74" i="13"/>
  <c r="CP74" i="13"/>
  <c r="CR73" i="13"/>
  <c r="CQ73" i="13"/>
  <c r="CR72" i="13"/>
  <c r="CQ72" i="13"/>
  <c r="CR71" i="13"/>
  <c r="CQ71" i="13"/>
  <c r="CR70" i="13"/>
  <c r="CQ70" i="13"/>
  <c r="CP70" i="13"/>
  <c r="CR69" i="13"/>
  <c r="CQ69" i="13"/>
  <c r="CP69" i="13"/>
  <c r="CR68" i="13"/>
  <c r="CQ68" i="13"/>
  <c r="CR67" i="13"/>
  <c r="CQ67" i="13"/>
  <c r="CR66" i="13"/>
  <c r="CQ66" i="13"/>
  <c r="CR65" i="13"/>
  <c r="CQ65" i="13"/>
  <c r="CP65" i="13"/>
  <c r="CR64" i="13"/>
  <c r="CQ64" i="13"/>
  <c r="CP64" i="13"/>
  <c r="CR63" i="13"/>
  <c r="CQ63" i="13"/>
  <c r="BR78" i="13"/>
  <c r="BQ78" i="13"/>
  <c r="BR77" i="13"/>
  <c r="BQ77" i="13"/>
  <c r="BR76" i="13"/>
  <c r="BQ76" i="13"/>
  <c r="BR75" i="13"/>
  <c r="BQ75" i="13"/>
  <c r="BP75" i="13"/>
  <c r="BR74" i="13"/>
  <c r="BQ74" i="13"/>
  <c r="BP74" i="13"/>
  <c r="BR73" i="13"/>
  <c r="BQ73" i="13"/>
  <c r="BR72" i="13"/>
  <c r="BQ72" i="13"/>
  <c r="BR71" i="13"/>
  <c r="BQ71" i="13"/>
  <c r="BR70" i="13"/>
  <c r="BQ70" i="13"/>
  <c r="BP70" i="13"/>
  <c r="BR69" i="13"/>
  <c r="BQ69" i="13"/>
  <c r="BP69" i="13"/>
  <c r="BR68" i="13"/>
  <c r="BQ68" i="13"/>
  <c r="BR67" i="13"/>
  <c r="BQ67" i="13"/>
  <c r="BR66" i="13"/>
  <c r="BQ66" i="13"/>
  <c r="BR65" i="13"/>
  <c r="BQ65" i="13"/>
  <c r="BP65" i="13"/>
  <c r="BR64" i="13"/>
  <c r="BQ64" i="13"/>
  <c r="BP64" i="13"/>
  <c r="BR63" i="13"/>
  <c r="BQ63" i="13"/>
  <c r="AR78" i="13"/>
  <c r="AQ78" i="13"/>
  <c r="AR77" i="13"/>
  <c r="AQ77" i="13"/>
  <c r="AR76" i="13"/>
  <c r="AQ76" i="13"/>
  <c r="AR75" i="13"/>
  <c r="AQ75" i="13"/>
  <c r="AP75" i="13"/>
  <c r="AR74" i="13"/>
  <c r="AQ74" i="13"/>
  <c r="AP74" i="13"/>
  <c r="AR73" i="13"/>
  <c r="AQ73" i="13"/>
  <c r="AR72" i="13"/>
  <c r="AQ72" i="13"/>
  <c r="AR71" i="13"/>
  <c r="AQ71" i="13"/>
  <c r="AR70" i="13"/>
  <c r="AQ70" i="13"/>
  <c r="AR69" i="13"/>
  <c r="AQ69" i="13"/>
  <c r="AP69" i="13"/>
  <c r="AR68" i="13"/>
  <c r="AQ68" i="13"/>
  <c r="AR67" i="13"/>
  <c r="AQ67" i="13"/>
  <c r="AR66" i="13"/>
  <c r="AQ66" i="13"/>
  <c r="AR65" i="13"/>
  <c r="AQ65" i="13"/>
  <c r="AP65" i="13"/>
  <c r="AR64" i="13"/>
  <c r="AQ64" i="13"/>
  <c r="AP64" i="13"/>
  <c r="AR63" i="13"/>
  <c r="AQ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63" i="13"/>
  <c r="T64" i="13"/>
  <c r="T65" i="13"/>
  <c r="T69" i="13"/>
  <c r="T70" i="13"/>
  <c r="T74" i="13"/>
  <c r="T75" i="13"/>
  <c r="S64" i="13"/>
  <c r="S65" i="13"/>
  <c r="S69" i="13"/>
  <c r="S70" i="13"/>
  <c r="S74" i="13"/>
  <c r="S75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63" i="13"/>
  <c r="Q78" i="13"/>
  <c r="Q64" i="13"/>
  <c r="Q65" i="13"/>
  <c r="Q66" i="13"/>
  <c r="Q67" i="13"/>
  <c r="Q68" i="13"/>
  <c r="Q69" i="13"/>
  <c r="Q70" i="13"/>
  <c r="Q71" i="13"/>
  <c r="Q72" i="13"/>
  <c r="Q73" i="13"/>
  <c r="Q74" i="13"/>
  <c r="Q75" i="13"/>
  <c r="Q76" i="13"/>
  <c r="Q77" i="13"/>
  <c r="Q63" i="13"/>
  <c r="DH78" i="14" l="1"/>
  <c r="AH72" i="14"/>
  <c r="AH68" i="14"/>
  <c r="DH71" i="13"/>
  <c r="DP71" i="13" s="1"/>
  <c r="DH66" i="13"/>
  <c r="DP66" i="13" s="1"/>
  <c r="DH67" i="13"/>
  <c r="DP67" i="13" s="1"/>
  <c r="CH71" i="13"/>
  <c r="CP71" i="13" s="1"/>
  <c r="CH67" i="13"/>
  <c r="CP67" i="13" s="1"/>
  <c r="CH66" i="13"/>
  <c r="CP66" i="13" s="1"/>
  <c r="BH78" i="13"/>
  <c r="BP78" i="13" s="1"/>
  <c r="BH67" i="13"/>
  <c r="BP67" i="13" s="1"/>
  <c r="BH63" i="13"/>
  <c r="BP63" i="13" s="1"/>
  <c r="AH76" i="13"/>
  <c r="AP76" i="13" s="1"/>
  <c r="AH72" i="13"/>
  <c r="AP72" i="13" s="1"/>
  <c r="AH71" i="13"/>
  <c r="AP71" i="13" s="1"/>
  <c r="AH67" i="13"/>
  <c r="AP67" i="13" s="1"/>
  <c r="E93" i="5"/>
  <c r="D93" i="5"/>
  <c r="Z24" i="2" l="1"/>
  <c r="S24" i="2"/>
  <c r="L24" i="2"/>
  <c r="E24" i="2"/>
  <c r="G90" i="5" l="1"/>
  <c r="F90" i="5"/>
  <c r="E90" i="5"/>
  <c r="D90" i="5"/>
  <c r="P122" i="7" l="1"/>
  <c r="G122" i="7"/>
  <c r="D95" i="5"/>
  <c r="W104" i="7"/>
  <c r="R104" i="7"/>
  <c r="W61" i="7"/>
  <c r="R61" i="7"/>
  <c r="V58" i="7"/>
  <c r="Q58" i="7"/>
  <c r="L58" i="7"/>
  <c r="G58" i="7"/>
  <c r="L54" i="7"/>
  <c r="G54" i="7"/>
  <c r="E85" i="5"/>
  <c r="D85" i="5"/>
  <c r="N59" i="20"/>
  <c r="N67" i="20"/>
  <c r="E65" i="5"/>
  <c r="AA105" i="3"/>
  <c r="R74" i="3" l="1"/>
  <c r="W74" i="3"/>
  <c r="AC67" i="3" l="1"/>
  <c r="AA71" i="3"/>
  <c r="AB39" i="3"/>
  <c r="C4" i="3" l="1"/>
  <c r="H47" i="21"/>
  <c r="G47" i="21"/>
  <c r="F47" i="21"/>
  <c r="E47" i="21"/>
  <c r="D47" i="21"/>
  <c r="N42" i="20" l="1"/>
  <c r="H41" i="21" l="1"/>
  <c r="DA111" i="15" l="1"/>
  <c r="DA112" i="15"/>
  <c r="CC111" i="15"/>
  <c r="CC112" i="15"/>
  <c r="BE111" i="15"/>
  <c r="BE112" i="15"/>
  <c r="AG111" i="15"/>
  <c r="AG112" i="15"/>
  <c r="I111" i="15"/>
  <c r="I112" i="15"/>
  <c r="DA111" i="14"/>
  <c r="DA112" i="14"/>
  <c r="CC111" i="14"/>
  <c r="CC112" i="14"/>
  <c r="BE111" i="14"/>
  <c r="BE112" i="14"/>
  <c r="AG111" i="14"/>
  <c r="AG112" i="14"/>
  <c r="I111" i="14"/>
  <c r="I112" i="14"/>
  <c r="DA111" i="13"/>
  <c r="DA112" i="13"/>
  <c r="CC111" i="13"/>
  <c r="CC112" i="13"/>
  <c r="BE111" i="13"/>
  <c r="BE112" i="13"/>
  <c r="AG111" i="13"/>
  <c r="AG112" i="13"/>
  <c r="I111" i="13"/>
  <c r="I112" i="13"/>
  <c r="DA86" i="15"/>
  <c r="DA87" i="15"/>
  <c r="CC86" i="15"/>
  <c r="CC87" i="15"/>
  <c r="BE86" i="15"/>
  <c r="BE87" i="15"/>
  <c r="AG86" i="15"/>
  <c r="AG87" i="15"/>
  <c r="I86" i="15"/>
  <c r="I87" i="15"/>
  <c r="DA86" i="14"/>
  <c r="DA87" i="14"/>
  <c r="CC86" i="14"/>
  <c r="CC87" i="14"/>
  <c r="BE86" i="14"/>
  <c r="BE87" i="14"/>
  <c r="AG86" i="14"/>
  <c r="AG87" i="14"/>
  <c r="I86" i="14"/>
  <c r="I87" i="14"/>
  <c r="DA86" i="13"/>
  <c r="DA87" i="13"/>
  <c r="CC86" i="13"/>
  <c r="CC87" i="13"/>
  <c r="BE86" i="13"/>
  <c r="BE87" i="13"/>
  <c r="AG86" i="13"/>
  <c r="AG87" i="13"/>
  <c r="I86" i="13"/>
  <c r="I87" i="13"/>
  <c r="DA36" i="15"/>
  <c r="DA37" i="15"/>
  <c r="DA38" i="15"/>
  <c r="DA39" i="15"/>
  <c r="DA40" i="15"/>
  <c r="DA41" i="15"/>
  <c r="DA42" i="15"/>
  <c r="DA43" i="15"/>
  <c r="DA44" i="15"/>
  <c r="DA45" i="15"/>
  <c r="DA46" i="15"/>
  <c r="DA47" i="15"/>
  <c r="DA48" i="15"/>
  <c r="DA49" i="15"/>
  <c r="DA50" i="15"/>
  <c r="DA51" i="15"/>
  <c r="DA52" i="15"/>
  <c r="DA53" i="15"/>
  <c r="CC36" i="15"/>
  <c r="CC37" i="15"/>
  <c r="CC38" i="15"/>
  <c r="CC39" i="15"/>
  <c r="CC40" i="15"/>
  <c r="CC41" i="15"/>
  <c r="CC42" i="15"/>
  <c r="CC43" i="15"/>
  <c r="CC44" i="15"/>
  <c r="CC45" i="15"/>
  <c r="CC46" i="15"/>
  <c r="CC47" i="15"/>
  <c r="CC48" i="15"/>
  <c r="CC49" i="15"/>
  <c r="CC50" i="15"/>
  <c r="CC51" i="15"/>
  <c r="CC52" i="15"/>
  <c r="CC53" i="15"/>
  <c r="BE36" i="15"/>
  <c r="BE37" i="15"/>
  <c r="BE38" i="15"/>
  <c r="BE39" i="15"/>
  <c r="BE40" i="15"/>
  <c r="BE41" i="15"/>
  <c r="BE42" i="15"/>
  <c r="BE43" i="15"/>
  <c r="BE44" i="15"/>
  <c r="BE45" i="15"/>
  <c r="BE46" i="15"/>
  <c r="BE47" i="15"/>
  <c r="BE48" i="15"/>
  <c r="BE49" i="15"/>
  <c r="BE50" i="15"/>
  <c r="BE51" i="15"/>
  <c r="BE52" i="15"/>
  <c r="BE53" i="15"/>
  <c r="AG36" i="15"/>
  <c r="AG37" i="15"/>
  <c r="AG38" i="15"/>
  <c r="AG39" i="15"/>
  <c r="AG40" i="15"/>
  <c r="AG41" i="15"/>
  <c r="AG42" i="15"/>
  <c r="AG43" i="15"/>
  <c r="AG44" i="15"/>
  <c r="AG45" i="15"/>
  <c r="AG46" i="15"/>
  <c r="AG47" i="15"/>
  <c r="AG48" i="15"/>
  <c r="AG49" i="15"/>
  <c r="AG50" i="15"/>
  <c r="AG51" i="15"/>
  <c r="AG52" i="15"/>
  <c r="AG53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AG36" i="14"/>
  <c r="AG37" i="14"/>
  <c r="AG38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DA36" i="13"/>
  <c r="DA37" i="13"/>
  <c r="DA38" i="13"/>
  <c r="DA39" i="13"/>
  <c r="DA40" i="13"/>
  <c r="DA41" i="13"/>
  <c r="DA42" i="13"/>
  <c r="DA43" i="13"/>
  <c r="DA44" i="13"/>
  <c r="DA45" i="13"/>
  <c r="DA46" i="13"/>
  <c r="DA47" i="13"/>
  <c r="DA48" i="13"/>
  <c r="DA49" i="13"/>
  <c r="DA50" i="13"/>
  <c r="DA51" i="13"/>
  <c r="DA52" i="13"/>
  <c r="DA53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AG36" i="13"/>
  <c r="AG37" i="13"/>
  <c r="AG38" i="13"/>
  <c r="AG39" i="13"/>
  <c r="AG40" i="13"/>
  <c r="AG41" i="13"/>
  <c r="AG42" i="13"/>
  <c r="AG43" i="13"/>
  <c r="AG44" i="13"/>
  <c r="AG45" i="13"/>
  <c r="AG46" i="13"/>
  <c r="AG47" i="13"/>
  <c r="AG48" i="13"/>
  <c r="AG49" i="13"/>
  <c r="AG50" i="13"/>
  <c r="AG51" i="13"/>
  <c r="AG52" i="13"/>
  <c r="AG53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DA10" i="15"/>
  <c r="DA11" i="15"/>
  <c r="DA12" i="15"/>
  <c r="DA13" i="15"/>
  <c r="DA14" i="15"/>
  <c r="DA15" i="15"/>
  <c r="DA16" i="15"/>
  <c r="DA17" i="15"/>
  <c r="DA18" i="15"/>
  <c r="DA19" i="15"/>
  <c r="DA20" i="15"/>
  <c r="DA21" i="15"/>
  <c r="DA22" i="15"/>
  <c r="DA23" i="15"/>
  <c r="DA24" i="15"/>
  <c r="DA25" i="15"/>
  <c r="DA26" i="15"/>
  <c r="DA27" i="15"/>
  <c r="CC10" i="15"/>
  <c r="CC11" i="15"/>
  <c r="CC12" i="15"/>
  <c r="CC13" i="15"/>
  <c r="CC14" i="15"/>
  <c r="CC15" i="15"/>
  <c r="CC16" i="15"/>
  <c r="CC17" i="15"/>
  <c r="CC18" i="15"/>
  <c r="CC19" i="15"/>
  <c r="CC20" i="15"/>
  <c r="CC21" i="15"/>
  <c r="CC22" i="15"/>
  <c r="CC23" i="15"/>
  <c r="CC24" i="15"/>
  <c r="CC25" i="15"/>
  <c r="CC26" i="15"/>
  <c r="CC27" i="15"/>
  <c r="BE10" i="15"/>
  <c r="BE11" i="15"/>
  <c r="BE12" i="15"/>
  <c r="BE13" i="15"/>
  <c r="BE14" i="15"/>
  <c r="BE15" i="15"/>
  <c r="BE16" i="15"/>
  <c r="BE17" i="15"/>
  <c r="BE18" i="15"/>
  <c r="BE19" i="15"/>
  <c r="BE20" i="15"/>
  <c r="BE21" i="15"/>
  <c r="BE22" i="15"/>
  <c r="BE23" i="15"/>
  <c r="BE24" i="15"/>
  <c r="BE25" i="15"/>
  <c r="BE26" i="15"/>
  <c r="BE27" i="15"/>
  <c r="AG10" i="15"/>
  <c r="AG11" i="15"/>
  <c r="AG12" i="15"/>
  <c r="AG13" i="15"/>
  <c r="AG14" i="15"/>
  <c r="AG15" i="15"/>
  <c r="AG16" i="15"/>
  <c r="AG17" i="15"/>
  <c r="AG18" i="15"/>
  <c r="AG19" i="15"/>
  <c r="AG20" i="15"/>
  <c r="AG21" i="15"/>
  <c r="AG22" i="15"/>
  <c r="AG23" i="15"/>
  <c r="AG24" i="15"/>
  <c r="AG25" i="15"/>
  <c r="AG26" i="15"/>
  <c r="AG27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BE10" i="14"/>
  <c r="BE11" i="14"/>
  <c r="BE12" i="14"/>
  <c r="BE13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AG10" i="14"/>
  <c r="AG11" i="14"/>
  <c r="AG12" i="14"/>
  <c r="AG13" i="14"/>
  <c r="AG14" i="14"/>
  <c r="AG15" i="14"/>
  <c r="AG16" i="14"/>
  <c r="AG17" i="14"/>
  <c r="AG18" i="14"/>
  <c r="AG19" i="14"/>
  <c r="AG20" i="14"/>
  <c r="AG21" i="14"/>
  <c r="AG22" i="14"/>
  <c r="AG23" i="14"/>
  <c r="AG24" i="14"/>
  <c r="AG25" i="14"/>
  <c r="AG26" i="14"/>
  <c r="AG27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DA10" i="13"/>
  <c r="DA11" i="13"/>
  <c r="DA12" i="13"/>
  <c r="DA13" i="13"/>
  <c r="DA14" i="13"/>
  <c r="DA15" i="13"/>
  <c r="DA16" i="13"/>
  <c r="DA17" i="13"/>
  <c r="DA18" i="13"/>
  <c r="DA19" i="13"/>
  <c r="DA20" i="13"/>
  <c r="DA21" i="13"/>
  <c r="DA22" i="13"/>
  <c r="DA23" i="13"/>
  <c r="DA24" i="13"/>
  <c r="DA25" i="13"/>
  <c r="DA26" i="13"/>
  <c r="DA27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AG10" i="13"/>
  <c r="AG11" i="13"/>
  <c r="AG12" i="13"/>
  <c r="AG13" i="13"/>
  <c r="AG14" i="13"/>
  <c r="AG15" i="13"/>
  <c r="AG16" i="13"/>
  <c r="AG17" i="13"/>
  <c r="AG18" i="13"/>
  <c r="AG19" i="13"/>
  <c r="AG20" i="13"/>
  <c r="AG21" i="13"/>
  <c r="AG22" i="13"/>
  <c r="AG23" i="13"/>
  <c r="AG24" i="13"/>
  <c r="AG25" i="13"/>
  <c r="AG26" i="13"/>
  <c r="AG27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V122" i="7" l="1"/>
  <c r="G98" i="5"/>
  <c r="F98" i="5"/>
  <c r="E98" i="5"/>
  <c r="D98" i="5"/>
  <c r="G97" i="5"/>
  <c r="E96" i="5"/>
  <c r="F95" i="5"/>
  <c r="E94" i="5"/>
  <c r="D94" i="5"/>
  <c r="G91" i="5"/>
  <c r="F91" i="5"/>
  <c r="E91" i="5"/>
  <c r="D91" i="5"/>
  <c r="G87" i="5"/>
  <c r="F87" i="5"/>
  <c r="E87" i="5"/>
  <c r="D87" i="5"/>
  <c r="V54" i="7"/>
  <c r="F85" i="5"/>
  <c r="G85" i="5"/>
  <c r="G84" i="5"/>
  <c r="F84" i="5"/>
  <c r="E84" i="5"/>
  <c r="D84" i="5"/>
  <c r="G83" i="5"/>
  <c r="F83" i="5"/>
  <c r="E83" i="5"/>
  <c r="D83" i="5"/>
  <c r="G80" i="5"/>
  <c r="F80" i="5"/>
  <c r="E80" i="5"/>
  <c r="D80" i="5"/>
  <c r="G51" i="5"/>
  <c r="F51" i="5"/>
  <c r="D65" i="5"/>
  <c r="E50" i="21" l="1"/>
  <c r="E41" i="21"/>
  <c r="D41" i="21"/>
  <c r="F26" i="21"/>
  <c r="D26" i="21"/>
  <c r="G41" i="21" l="1"/>
  <c r="F41" i="21"/>
  <c r="F65" i="5" l="1"/>
  <c r="W65" i="7" l="1"/>
  <c r="R65" i="7"/>
  <c r="M65" i="7"/>
  <c r="H65" i="7"/>
  <c r="M108" i="7"/>
  <c r="H108" i="7"/>
  <c r="W39" i="3" l="1"/>
  <c r="R39" i="3"/>
  <c r="M39" i="3"/>
  <c r="H39" i="3"/>
  <c r="M74" i="3"/>
  <c r="H74" i="3"/>
  <c r="L46" i="2" l="1"/>
  <c r="K66" i="10"/>
  <c r="L66" i="10"/>
  <c r="R66" i="10"/>
  <c r="S66" i="10"/>
  <c r="T66" i="10"/>
  <c r="K67" i="10"/>
  <c r="L67" i="10"/>
  <c r="R67" i="10"/>
  <c r="S67" i="10"/>
  <c r="T67" i="10"/>
  <c r="J68" i="10"/>
  <c r="K68" i="10"/>
  <c r="L68" i="10"/>
  <c r="R68" i="10"/>
  <c r="S68" i="10"/>
  <c r="T68" i="10"/>
  <c r="J69" i="10"/>
  <c r="K69" i="10"/>
  <c r="L69" i="10"/>
  <c r="R69" i="10"/>
  <c r="S69" i="10"/>
  <c r="T69" i="10"/>
  <c r="J70" i="10"/>
  <c r="K70" i="10"/>
  <c r="L70" i="10"/>
  <c r="R70" i="10"/>
  <c r="S70" i="10"/>
  <c r="T70" i="10"/>
  <c r="J71" i="10"/>
  <c r="K71" i="10"/>
  <c r="L71" i="10"/>
  <c r="R71" i="10"/>
  <c r="S71" i="10"/>
  <c r="T71" i="10"/>
  <c r="J72" i="10"/>
  <c r="K72" i="10"/>
  <c r="L72" i="10"/>
  <c r="R72" i="10"/>
  <c r="S72" i="10"/>
  <c r="T72" i="10"/>
  <c r="J73" i="10"/>
  <c r="K73" i="10"/>
  <c r="L73" i="10"/>
  <c r="R73" i="10"/>
  <c r="S73" i="10"/>
  <c r="T73" i="10"/>
  <c r="J74" i="10"/>
  <c r="K74" i="10"/>
  <c r="L74" i="10"/>
  <c r="R74" i="10"/>
  <c r="S74" i="10"/>
  <c r="T74" i="10"/>
  <c r="J75" i="10"/>
  <c r="K75" i="10"/>
  <c r="L75" i="10"/>
  <c r="R75" i="10"/>
  <c r="S75" i="10"/>
  <c r="T75" i="10"/>
  <c r="J76" i="10"/>
  <c r="K76" i="10"/>
  <c r="L76" i="10"/>
  <c r="R76" i="10"/>
  <c r="S76" i="10"/>
  <c r="T76" i="10"/>
  <c r="J77" i="10"/>
  <c r="K77" i="10"/>
  <c r="L77" i="10"/>
  <c r="R77" i="10"/>
  <c r="S77" i="10"/>
  <c r="T77" i="10"/>
  <c r="J78" i="10"/>
  <c r="K78" i="10"/>
  <c r="L78" i="10"/>
  <c r="R78" i="10"/>
  <c r="S78" i="10"/>
  <c r="T78" i="10"/>
  <c r="J79" i="10"/>
  <c r="K79" i="10"/>
  <c r="L79" i="10"/>
  <c r="R79" i="10"/>
  <c r="S79" i="10"/>
  <c r="T79" i="10"/>
  <c r="J80" i="10"/>
  <c r="K80" i="10"/>
  <c r="L80" i="10"/>
  <c r="Q80" i="10"/>
  <c r="R80" i="10"/>
  <c r="S80" i="10"/>
  <c r="T80" i="10"/>
  <c r="T65" i="10"/>
  <c r="S65" i="10"/>
  <c r="R65" i="10"/>
  <c r="P65" i="10"/>
  <c r="O65" i="10"/>
  <c r="N65" i="10"/>
  <c r="M65" i="10"/>
  <c r="L65" i="10"/>
  <c r="K65" i="10"/>
  <c r="J65" i="10"/>
  <c r="J39" i="10"/>
  <c r="K92" i="10"/>
  <c r="L92" i="10"/>
  <c r="Q92" i="10"/>
  <c r="R92" i="10"/>
  <c r="T92" i="10"/>
  <c r="K93" i="10"/>
  <c r="L93" i="10"/>
  <c r="Q93" i="10"/>
  <c r="R93" i="10"/>
  <c r="T93" i="10"/>
  <c r="K94" i="10"/>
  <c r="L94" i="10"/>
  <c r="Q94" i="10"/>
  <c r="R94" i="10"/>
  <c r="T94" i="10"/>
  <c r="K95" i="10"/>
  <c r="L95" i="10"/>
  <c r="Q95" i="10"/>
  <c r="R95" i="10"/>
  <c r="T95" i="10"/>
  <c r="K96" i="10"/>
  <c r="L96" i="10"/>
  <c r="Q96" i="10"/>
  <c r="R96" i="10"/>
  <c r="T96" i="10"/>
  <c r="K97" i="10"/>
  <c r="L97" i="10"/>
  <c r="Q97" i="10"/>
  <c r="R97" i="10"/>
  <c r="T97" i="10"/>
  <c r="K98" i="10"/>
  <c r="L98" i="10"/>
  <c r="Q98" i="10"/>
  <c r="R98" i="10"/>
  <c r="T98" i="10"/>
  <c r="K99" i="10"/>
  <c r="L99" i="10"/>
  <c r="Q99" i="10"/>
  <c r="R99" i="10"/>
  <c r="T99" i="10"/>
  <c r="K100" i="10"/>
  <c r="L100" i="10"/>
  <c r="Q100" i="10"/>
  <c r="R100" i="10"/>
  <c r="T100" i="10"/>
  <c r="K101" i="10"/>
  <c r="L101" i="10"/>
  <c r="Q101" i="10"/>
  <c r="R101" i="10"/>
  <c r="T101" i="10"/>
  <c r="K102" i="10"/>
  <c r="L102" i="10"/>
  <c r="Q102" i="10"/>
  <c r="R102" i="10"/>
  <c r="T102" i="10"/>
  <c r="K103" i="10"/>
  <c r="L103" i="10"/>
  <c r="Q103" i="10"/>
  <c r="R103" i="10"/>
  <c r="T103" i="10"/>
  <c r="K104" i="10"/>
  <c r="L104" i="10"/>
  <c r="Q104" i="10"/>
  <c r="R104" i="10"/>
  <c r="T104" i="10"/>
  <c r="K105" i="10"/>
  <c r="L105" i="10"/>
  <c r="Q105" i="10"/>
  <c r="R105" i="10"/>
  <c r="T105" i="10"/>
  <c r="K106" i="10"/>
  <c r="L106" i="10"/>
  <c r="Q106" i="10"/>
  <c r="R106" i="10"/>
  <c r="T106" i="10"/>
  <c r="T91" i="10"/>
  <c r="S91" i="10"/>
  <c r="R91" i="10"/>
  <c r="Q91" i="10"/>
  <c r="P91" i="10"/>
  <c r="O91" i="10"/>
  <c r="N91" i="10"/>
  <c r="M91" i="10"/>
  <c r="L91" i="10"/>
  <c r="K91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91" i="10"/>
  <c r="Q40" i="10"/>
  <c r="S40" i="10"/>
  <c r="T40" i="10"/>
  <c r="Q41" i="10"/>
  <c r="S41" i="10"/>
  <c r="T41" i="10"/>
  <c r="Q42" i="10"/>
  <c r="S42" i="10"/>
  <c r="T42" i="10"/>
  <c r="Q43" i="10"/>
  <c r="S43" i="10"/>
  <c r="T43" i="10"/>
  <c r="Q44" i="10"/>
  <c r="S44" i="10"/>
  <c r="T44" i="10"/>
  <c r="Q45" i="10"/>
  <c r="S45" i="10"/>
  <c r="T45" i="10"/>
  <c r="Q46" i="10"/>
  <c r="S46" i="10"/>
  <c r="T46" i="10"/>
  <c r="Q47" i="10"/>
  <c r="S47" i="10"/>
  <c r="T47" i="10"/>
  <c r="Q48" i="10"/>
  <c r="S48" i="10"/>
  <c r="T48" i="10"/>
  <c r="Q49" i="10"/>
  <c r="S49" i="10"/>
  <c r="T49" i="10"/>
  <c r="Q50" i="10"/>
  <c r="S50" i="10"/>
  <c r="T50" i="10"/>
  <c r="Q51" i="10"/>
  <c r="S51" i="10"/>
  <c r="T51" i="10"/>
  <c r="Q52" i="10"/>
  <c r="S52" i="10"/>
  <c r="T52" i="10"/>
  <c r="Q53" i="10"/>
  <c r="S53" i="10"/>
  <c r="T53" i="10"/>
  <c r="Q54" i="10"/>
  <c r="S54" i="10"/>
  <c r="T54" i="10"/>
  <c r="T39" i="10"/>
  <c r="S39" i="10"/>
  <c r="Q39" i="10"/>
  <c r="P39" i="10"/>
  <c r="O39" i="10"/>
  <c r="N39" i="10"/>
  <c r="M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39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13" i="10"/>
  <c r="Q14" i="10"/>
  <c r="R14" i="10"/>
  <c r="S14" i="10"/>
  <c r="T14" i="10"/>
  <c r="Q15" i="10"/>
  <c r="R15" i="10"/>
  <c r="S15" i="10"/>
  <c r="T15" i="10"/>
  <c r="R16" i="10"/>
  <c r="S16" i="10"/>
  <c r="T16" i="10"/>
  <c r="Q17" i="10"/>
  <c r="R17" i="10"/>
  <c r="S17" i="10"/>
  <c r="T17" i="10"/>
  <c r="Q18" i="10"/>
  <c r="R18" i="10"/>
  <c r="S18" i="10"/>
  <c r="T18" i="10"/>
  <c r="R19" i="10"/>
  <c r="S19" i="10"/>
  <c r="T19" i="10"/>
  <c r="Q20" i="10"/>
  <c r="R20" i="10"/>
  <c r="S20" i="10"/>
  <c r="T20" i="10"/>
  <c r="Q21" i="10"/>
  <c r="R21" i="10"/>
  <c r="S21" i="10"/>
  <c r="T21" i="10"/>
  <c r="R22" i="10"/>
  <c r="S22" i="10"/>
  <c r="T22" i="10"/>
  <c r="Q23" i="10"/>
  <c r="R23" i="10"/>
  <c r="S23" i="10"/>
  <c r="T23" i="10"/>
  <c r="Q24" i="10"/>
  <c r="R24" i="10"/>
  <c r="S24" i="10"/>
  <c r="T24" i="10"/>
  <c r="R25" i="10"/>
  <c r="S25" i="10"/>
  <c r="T25" i="10"/>
  <c r="Q26" i="10"/>
  <c r="R26" i="10"/>
  <c r="S26" i="10"/>
  <c r="T26" i="10"/>
  <c r="Q27" i="10"/>
  <c r="R27" i="10"/>
  <c r="S27" i="10"/>
  <c r="T27" i="10"/>
  <c r="R28" i="10"/>
  <c r="S28" i="10"/>
  <c r="T28" i="10"/>
  <c r="T13" i="10"/>
  <c r="S13" i="10"/>
  <c r="R13" i="10"/>
  <c r="Q13" i="10"/>
  <c r="N14" i="10"/>
  <c r="O14" i="10"/>
  <c r="P14" i="10"/>
  <c r="N15" i="10"/>
  <c r="O15" i="10"/>
  <c r="P15" i="10"/>
  <c r="N17" i="10"/>
  <c r="O17" i="10"/>
  <c r="P17" i="10"/>
  <c r="N18" i="10"/>
  <c r="O18" i="10"/>
  <c r="P18" i="10"/>
  <c r="N20" i="10"/>
  <c r="O20" i="10"/>
  <c r="P20" i="10"/>
  <c r="N21" i="10"/>
  <c r="O21" i="10"/>
  <c r="P21" i="10"/>
  <c r="N23" i="10"/>
  <c r="O23" i="10"/>
  <c r="P23" i="10"/>
  <c r="N24" i="10"/>
  <c r="O24" i="10"/>
  <c r="P24" i="10"/>
  <c r="N26" i="10"/>
  <c r="O26" i="10"/>
  <c r="P26" i="10"/>
  <c r="N27" i="10"/>
  <c r="O27" i="10"/>
  <c r="P27" i="10"/>
  <c r="P13" i="10"/>
  <c r="O13" i="10"/>
  <c r="N13" i="10"/>
  <c r="E46" i="2"/>
  <c r="M14" i="10"/>
  <c r="M15" i="10"/>
  <c r="M17" i="10"/>
  <c r="M18" i="10"/>
  <c r="M20" i="10"/>
  <c r="M21" i="10"/>
  <c r="M23" i="10"/>
  <c r="M24" i="10"/>
  <c r="M26" i="10"/>
  <c r="M27" i="10"/>
  <c r="M13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13" i="10"/>
  <c r="K23" i="10"/>
  <c r="K24" i="10"/>
  <c r="K25" i="10"/>
  <c r="K26" i="10"/>
  <c r="K27" i="10"/>
  <c r="K28" i="10"/>
  <c r="K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C94" i="10"/>
  <c r="D94" i="10" s="1"/>
  <c r="C95" i="10"/>
  <c r="D95" i="10" s="1"/>
  <c r="C96" i="10"/>
  <c r="D96" i="10" s="1"/>
  <c r="C97" i="10"/>
  <c r="D97" i="10" s="1"/>
  <c r="C98" i="10"/>
  <c r="C99" i="10"/>
  <c r="C100" i="10"/>
  <c r="D100" i="10" s="1"/>
  <c r="C101" i="10"/>
  <c r="D101" i="10" s="1"/>
  <c r="C102" i="10"/>
  <c r="D102" i="10" s="1"/>
  <c r="C103" i="10"/>
  <c r="D103" i="10" s="1"/>
  <c r="C104" i="10"/>
  <c r="C105" i="10"/>
  <c r="D105" i="10" s="1"/>
  <c r="C106" i="10"/>
  <c r="D106" i="10" s="1"/>
  <c r="C92" i="10"/>
  <c r="D92" i="10" s="1"/>
  <c r="C93" i="10"/>
  <c r="C91" i="10"/>
  <c r="D91" i="10" s="1"/>
  <c r="C66" i="10"/>
  <c r="D66" i="10" s="1"/>
  <c r="C67" i="10"/>
  <c r="D67" i="10" s="1"/>
  <c r="C68" i="10"/>
  <c r="D68" i="10" s="1"/>
  <c r="C69" i="10"/>
  <c r="D69" i="10" s="1"/>
  <c r="C70" i="10"/>
  <c r="D70" i="10" s="1"/>
  <c r="C71" i="10"/>
  <c r="D71" i="10" s="1"/>
  <c r="C72" i="10"/>
  <c r="D72" i="10" s="1"/>
  <c r="C73" i="10"/>
  <c r="D73" i="10" s="1"/>
  <c r="C74" i="10"/>
  <c r="C75" i="10"/>
  <c r="D75" i="10" s="1"/>
  <c r="C76" i="10"/>
  <c r="C77" i="10"/>
  <c r="D77" i="10" s="1"/>
  <c r="C78" i="10"/>
  <c r="D78" i="10" s="1"/>
  <c r="C79" i="10"/>
  <c r="D79" i="10" s="1"/>
  <c r="C80" i="10"/>
  <c r="C65" i="10"/>
  <c r="D65" i="10" s="1"/>
  <c r="C40" i="10"/>
  <c r="D40" i="10" s="1"/>
  <c r="C41" i="10"/>
  <c r="D41" i="10" s="1"/>
  <c r="C42" i="10"/>
  <c r="D42" i="10" s="1"/>
  <c r="C43" i="10"/>
  <c r="D43" i="10" s="1"/>
  <c r="C44" i="10"/>
  <c r="D44" i="10" s="1"/>
  <c r="C45" i="10"/>
  <c r="D45" i="10" s="1"/>
  <c r="C46" i="10"/>
  <c r="C47" i="10"/>
  <c r="D47" i="10" s="1"/>
  <c r="C48" i="10"/>
  <c r="D48" i="10" s="1"/>
  <c r="C49" i="10"/>
  <c r="D49" i="10" s="1"/>
  <c r="C50" i="10"/>
  <c r="D50" i="10" s="1"/>
  <c r="C51" i="10"/>
  <c r="D51" i="10" s="1"/>
  <c r="C52" i="10"/>
  <c r="D52" i="10" s="1"/>
  <c r="C53" i="10"/>
  <c r="D53" i="10" s="1"/>
  <c r="C54" i="10"/>
  <c r="D54" i="10" s="1"/>
  <c r="C39" i="10"/>
  <c r="D39" i="10" s="1"/>
  <c r="C20" i="10"/>
  <c r="D20" i="10" s="1"/>
  <c r="C21" i="10"/>
  <c r="D21" i="10" s="1"/>
  <c r="C22" i="10"/>
  <c r="D22" i="10" s="1"/>
  <c r="C23" i="10"/>
  <c r="D23" i="10" s="1"/>
  <c r="C24" i="10"/>
  <c r="D24" i="10" s="1"/>
  <c r="C25" i="10"/>
  <c r="D25" i="10" s="1"/>
  <c r="C26" i="10"/>
  <c r="D26" i="10" s="1"/>
  <c r="C27" i="10"/>
  <c r="D27" i="10" s="1"/>
  <c r="C28" i="10"/>
  <c r="D28" i="10" s="1"/>
  <c r="C14" i="10"/>
  <c r="D14" i="10" s="1"/>
  <c r="C15" i="10"/>
  <c r="D15" i="10" s="1"/>
  <c r="C16" i="10"/>
  <c r="D16" i="10" s="1"/>
  <c r="C17" i="10"/>
  <c r="D17" i="10" s="1"/>
  <c r="C18" i="10"/>
  <c r="D18" i="10" s="1"/>
  <c r="C19" i="10"/>
  <c r="D19" i="10" s="1"/>
  <c r="C13" i="10"/>
  <c r="D13" i="10" s="1"/>
  <c r="D98" i="10"/>
  <c r="D99" i="10"/>
  <c r="D104" i="10"/>
  <c r="D93" i="10"/>
  <c r="D74" i="10"/>
  <c r="D76" i="10"/>
  <c r="D80" i="10"/>
  <c r="D46" i="10"/>
  <c r="J10" i="2" l="1"/>
  <c r="U23" i="10"/>
  <c r="U26" i="10"/>
  <c r="U27" i="10"/>
  <c r="U13" i="10"/>
  <c r="DA98" i="16"/>
  <c r="CC98" i="16"/>
  <c r="BE98" i="16"/>
  <c r="I98" i="16"/>
  <c r="DA101" i="16"/>
  <c r="CC101" i="16"/>
  <c r="L14" i="10"/>
  <c r="L15" i="10"/>
  <c r="U24" i="10"/>
  <c r="U91" i="10"/>
  <c r="Q10" i="2"/>
  <c r="X10" i="2"/>
  <c r="AE10" i="2"/>
  <c r="CC99" i="15" l="1"/>
  <c r="AG99" i="15"/>
  <c r="DA99" i="14"/>
  <c r="BE99" i="14"/>
  <c r="I99" i="14"/>
  <c r="CC99" i="13"/>
  <c r="AG99" i="13"/>
  <c r="AG99" i="14"/>
  <c r="DA99" i="13"/>
  <c r="CC99" i="14"/>
  <c r="BE99" i="13"/>
  <c r="I99" i="13"/>
  <c r="DA99" i="15"/>
  <c r="BE99" i="15"/>
  <c r="I99" i="15"/>
  <c r="CC102" i="16"/>
  <c r="CC102" i="15"/>
  <c r="AG102" i="15"/>
  <c r="DA102" i="14"/>
  <c r="BE102" i="14"/>
  <c r="I102" i="14"/>
  <c r="CC102" i="13"/>
  <c r="AG102" i="13"/>
  <c r="DA102" i="15"/>
  <c r="BE102" i="15"/>
  <c r="I102" i="15"/>
  <c r="BE102" i="13"/>
  <c r="CC102" i="14"/>
  <c r="AG102" i="14"/>
  <c r="DA102" i="13"/>
  <c r="I102" i="13"/>
  <c r="BE101" i="16"/>
  <c r="DA101" i="15"/>
  <c r="BE101" i="15"/>
  <c r="I101" i="15"/>
  <c r="CC101" i="14"/>
  <c r="AG101" i="14"/>
  <c r="DA101" i="13"/>
  <c r="BE101" i="13"/>
  <c r="I101" i="13"/>
  <c r="BE101" i="14"/>
  <c r="CC101" i="13"/>
  <c r="I101" i="14"/>
  <c r="AG101" i="13"/>
  <c r="CC101" i="15"/>
  <c r="AG101" i="15"/>
  <c r="DA101" i="14"/>
  <c r="CC98" i="15"/>
  <c r="AG98" i="15"/>
  <c r="DA98" i="14"/>
  <c r="BE98" i="14"/>
  <c r="I98" i="14"/>
  <c r="CC98" i="13"/>
  <c r="AG98" i="13"/>
  <c r="DA98" i="15"/>
  <c r="BE98" i="15"/>
  <c r="I98" i="15"/>
  <c r="CC98" i="14"/>
  <c r="AG98" i="14"/>
  <c r="DA98" i="13"/>
  <c r="BE98" i="13"/>
  <c r="I98" i="13"/>
  <c r="I101" i="16"/>
  <c r="AG98" i="16"/>
  <c r="AG88" i="16"/>
  <c r="DA88" i="15"/>
  <c r="BE88" i="15"/>
  <c r="I88" i="15"/>
  <c r="CC88" i="14"/>
  <c r="AG88" i="14"/>
  <c r="DA88" i="13"/>
  <c r="BE88" i="13"/>
  <c r="I88" i="13"/>
  <c r="CC88" i="15"/>
  <c r="AG88" i="15"/>
  <c r="DA88" i="14"/>
  <c r="CC88" i="13"/>
  <c r="BE88" i="14"/>
  <c r="I88" i="14"/>
  <c r="AG88" i="13"/>
  <c r="BE88" i="16"/>
  <c r="DA102" i="16"/>
  <c r="CC88" i="16"/>
  <c r="I102" i="16"/>
  <c r="I88" i="16"/>
  <c r="DA88" i="16"/>
  <c r="AG102" i="16"/>
  <c r="BE102" i="16"/>
  <c r="AG101" i="16"/>
  <c r="DA99" i="16"/>
  <c r="CC99" i="16"/>
  <c r="BE99" i="16"/>
  <c r="AG99" i="16"/>
  <c r="I99" i="16"/>
  <c r="CC38" i="16"/>
  <c r="BE38" i="16"/>
  <c r="AG38" i="16"/>
  <c r="DA38" i="16"/>
  <c r="I38" i="16"/>
  <c r="CV153" i="16" l="1"/>
  <c r="CU153" i="16"/>
  <c r="CV152" i="16"/>
  <c r="CU152" i="16"/>
  <c r="CV151" i="16"/>
  <c r="CU151" i="16"/>
  <c r="CV150" i="16"/>
  <c r="CU150" i="16"/>
  <c r="CV149" i="16"/>
  <c r="CU149" i="16"/>
  <c r="CV148" i="16"/>
  <c r="CU148" i="16"/>
  <c r="CV147" i="16"/>
  <c r="CU147" i="16"/>
  <c r="CV146" i="16"/>
  <c r="CU146" i="16"/>
  <c r="CV145" i="16"/>
  <c r="CU145" i="16"/>
  <c r="CV144" i="16"/>
  <c r="CU144" i="16"/>
  <c r="CV143" i="16"/>
  <c r="CU143" i="16"/>
  <c r="CV142" i="16"/>
  <c r="CU142" i="16"/>
  <c r="CV141" i="16"/>
  <c r="CU141" i="16"/>
  <c r="CV140" i="16"/>
  <c r="CU140" i="16"/>
  <c r="CV139" i="16"/>
  <c r="CU139" i="16"/>
  <c r="CV138" i="16"/>
  <c r="CU138" i="16"/>
  <c r="DA136" i="16"/>
  <c r="CZ136" i="16"/>
  <c r="BX153" i="16"/>
  <c r="BW153" i="16"/>
  <c r="BX152" i="16"/>
  <c r="BW152" i="16"/>
  <c r="BX151" i="16"/>
  <c r="BW151" i="16"/>
  <c r="BX150" i="16"/>
  <c r="BW150" i="16"/>
  <c r="BX149" i="16"/>
  <c r="BW149" i="16"/>
  <c r="BX148" i="16"/>
  <c r="BW148" i="16"/>
  <c r="BX147" i="16"/>
  <c r="BW147" i="16"/>
  <c r="BX146" i="16"/>
  <c r="BW146" i="16"/>
  <c r="BX145" i="16"/>
  <c r="BW145" i="16"/>
  <c r="BX144" i="16"/>
  <c r="BW144" i="16"/>
  <c r="BX143" i="16"/>
  <c r="BW143" i="16"/>
  <c r="BX142" i="16"/>
  <c r="BW142" i="16"/>
  <c r="BX141" i="16"/>
  <c r="BW141" i="16"/>
  <c r="BX140" i="16"/>
  <c r="BW140" i="16"/>
  <c r="BX139" i="16"/>
  <c r="BW139" i="16"/>
  <c r="BX138" i="16"/>
  <c r="BW138" i="16"/>
  <c r="CC136" i="16"/>
  <c r="CB136" i="16"/>
  <c r="AZ153" i="16"/>
  <c r="AY153" i="16"/>
  <c r="AZ152" i="16"/>
  <c r="AY152" i="16"/>
  <c r="AZ151" i="16"/>
  <c r="AY151" i="16"/>
  <c r="AZ150" i="16"/>
  <c r="AY150" i="16"/>
  <c r="AZ149" i="16"/>
  <c r="AY149" i="16"/>
  <c r="AZ148" i="16"/>
  <c r="AY148" i="16"/>
  <c r="AZ147" i="16"/>
  <c r="AY147" i="16"/>
  <c r="AZ146" i="16"/>
  <c r="AY146" i="16"/>
  <c r="AZ145" i="16"/>
  <c r="AY145" i="16"/>
  <c r="AZ144" i="16"/>
  <c r="AY144" i="16"/>
  <c r="AZ143" i="16"/>
  <c r="AY143" i="16"/>
  <c r="AZ142" i="16"/>
  <c r="AY142" i="16"/>
  <c r="AZ141" i="16"/>
  <c r="AY141" i="16"/>
  <c r="AZ140" i="16"/>
  <c r="AY140" i="16"/>
  <c r="AZ139" i="16"/>
  <c r="AY139" i="16"/>
  <c r="AZ138" i="16"/>
  <c r="AY138" i="16"/>
  <c r="BE136" i="16"/>
  <c r="BD136" i="16"/>
  <c r="AB153" i="16"/>
  <c r="AA153" i="16"/>
  <c r="AB152" i="16"/>
  <c r="AA152" i="16"/>
  <c r="AB151" i="16"/>
  <c r="AA151" i="16"/>
  <c r="AB150" i="16"/>
  <c r="AA150" i="16"/>
  <c r="AB149" i="16"/>
  <c r="AA149" i="16"/>
  <c r="AB148" i="16"/>
  <c r="AA148" i="16"/>
  <c r="AB147" i="16"/>
  <c r="AA147" i="16"/>
  <c r="AB146" i="16"/>
  <c r="AA146" i="16"/>
  <c r="AB145" i="16"/>
  <c r="AA145" i="16"/>
  <c r="AB144" i="16"/>
  <c r="AA144" i="16"/>
  <c r="AB143" i="16"/>
  <c r="AA143" i="16"/>
  <c r="AB142" i="16"/>
  <c r="AA142" i="16"/>
  <c r="AB141" i="16"/>
  <c r="AA141" i="16"/>
  <c r="AB140" i="16"/>
  <c r="AA140" i="16"/>
  <c r="AB139" i="16"/>
  <c r="AA139" i="16"/>
  <c r="AB138" i="16"/>
  <c r="AA138" i="16"/>
  <c r="AG136" i="16"/>
  <c r="AF136" i="16"/>
  <c r="D153" i="16"/>
  <c r="C153" i="16"/>
  <c r="D152" i="16"/>
  <c r="C152" i="16"/>
  <c r="D151" i="16"/>
  <c r="C151" i="16"/>
  <c r="D150" i="16"/>
  <c r="C150" i="16"/>
  <c r="D149" i="16"/>
  <c r="C149" i="16"/>
  <c r="D148" i="16"/>
  <c r="C148" i="16"/>
  <c r="D147" i="16"/>
  <c r="C147" i="16"/>
  <c r="D146" i="16"/>
  <c r="C146" i="16"/>
  <c r="D145" i="16"/>
  <c r="C145" i="16"/>
  <c r="D144" i="16"/>
  <c r="C144" i="16"/>
  <c r="D143" i="16"/>
  <c r="C143" i="16"/>
  <c r="D142" i="16"/>
  <c r="C142" i="16"/>
  <c r="D141" i="16"/>
  <c r="C141" i="16"/>
  <c r="D140" i="16"/>
  <c r="C140" i="16"/>
  <c r="D139" i="16"/>
  <c r="C139" i="16"/>
  <c r="D138" i="16"/>
  <c r="C138" i="16"/>
  <c r="I136" i="16"/>
  <c r="H136" i="16"/>
  <c r="CV153" i="15"/>
  <c r="CU153" i="15"/>
  <c r="CV152" i="15"/>
  <c r="CU152" i="15"/>
  <c r="CV151" i="15"/>
  <c r="CU151" i="15"/>
  <c r="CV150" i="15"/>
  <c r="CU150" i="15"/>
  <c r="CV149" i="15"/>
  <c r="CU149" i="15"/>
  <c r="CV148" i="15"/>
  <c r="CU148" i="15"/>
  <c r="CV147" i="15"/>
  <c r="CU147" i="15"/>
  <c r="CV146" i="15"/>
  <c r="CU146" i="15"/>
  <c r="CV145" i="15"/>
  <c r="CU145" i="15"/>
  <c r="CV144" i="15"/>
  <c r="CU144" i="15"/>
  <c r="CV143" i="15"/>
  <c r="CU143" i="15"/>
  <c r="CV142" i="15"/>
  <c r="CU142" i="15"/>
  <c r="CV141" i="15"/>
  <c r="CU141" i="15"/>
  <c r="CV140" i="15"/>
  <c r="CU140" i="15"/>
  <c r="CV139" i="15"/>
  <c r="CU139" i="15"/>
  <c r="CV138" i="15"/>
  <c r="CU138" i="15"/>
  <c r="DA136" i="15"/>
  <c r="CZ136" i="15"/>
  <c r="BX153" i="15"/>
  <c r="BW153" i="15"/>
  <c r="BX152" i="15"/>
  <c r="BW152" i="15"/>
  <c r="BX151" i="15"/>
  <c r="BW151" i="15"/>
  <c r="BX150" i="15"/>
  <c r="BW150" i="15"/>
  <c r="BX149" i="15"/>
  <c r="BW149" i="15"/>
  <c r="BX148" i="15"/>
  <c r="BW148" i="15"/>
  <c r="BX147" i="15"/>
  <c r="BW147" i="15"/>
  <c r="BX146" i="15"/>
  <c r="BW146" i="15"/>
  <c r="BX145" i="15"/>
  <c r="BW145" i="15"/>
  <c r="BX144" i="15"/>
  <c r="BW144" i="15"/>
  <c r="BX143" i="15"/>
  <c r="BW143" i="15"/>
  <c r="BX142" i="15"/>
  <c r="BW142" i="15"/>
  <c r="BX141" i="15"/>
  <c r="BW141" i="15"/>
  <c r="BX140" i="15"/>
  <c r="BW140" i="15"/>
  <c r="BX139" i="15"/>
  <c r="BW139" i="15"/>
  <c r="BX138" i="15"/>
  <c r="BW138" i="15"/>
  <c r="CC136" i="15"/>
  <c r="CB136" i="15"/>
  <c r="AZ153" i="15"/>
  <c r="AY153" i="15"/>
  <c r="AZ152" i="15"/>
  <c r="AY152" i="15"/>
  <c r="AZ151" i="15"/>
  <c r="AY151" i="15"/>
  <c r="AZ150" i="15"/>
  <c r="AY150" i="15"/>
  <c r="AZ149" i="15"/>
  <c r="AY149" i="15"/>
  <c r="AZ148" i="15"/>
  <c r="AY148" i="15"/>
  <c r="AZ147" i="15"/>
  <c r="AY147" i="15"/>
  <c r="AZ146" i="15"/>
  <c r="AY146" i="15"/>
  <c r="AZ145" i="15"/>
  <c r="AY145" i="15"/>
  <c r="AZ144" i="15"/>
  <c r="AY144" i="15"/>
  <c r="AZ143" i="15"/>
  <c r="AY143" i="15"/>
  <c r="AZ142" i="15"/>
  <c r="AY142" i="15"/>
  <c r="AZ141" i="15"/>
  <c r="AY141" i="15"/>
  <c r="AZ140" i="15"/>
  <c r="AY140" i="15"/>
  <c r="AZ139" i="15"/>
  <c r="AY139" i="15"/>
  <c r="AZ138" i="15"/>
  <c r="AY138" i="15"/>
  <c r="BE136" i="15"/>
  <c r="BD136" i="15"/>
  <c r="AB153" i="15"/>
  <c r="AA153" i="15"/>
  <c r="AB152" i="15"/>
  <c r="AA152" i="15"/>
  <c r="AB151" i="15"/>
  <c r="AA151" i="15"/>
  <c r="AB150" i="15"/>
  <c r="AA150" i="15"/>
  <c r="AB149" i="15"/>
  <c r="AA149" i="15"/>
  <c r="AB148" i="15"/>
  <c r="AA148" i="15"/>
  <c r="AB147" i="15"/>
  <c r="AA147" i="15"/>
  <c r="AB146" i="15"/>
  <c r="AA146" i="15"/>
  <c r="AB145" i="15"/>
  <c r="AA145" i="15"/>
  <c r="AB144" i="15"/>
  <c r="AA144" i="15"/>
  <c r="AB143" i="15"/>
  <c r="AA143" i="15"/>
  <c r="AB142" i="15"/>
  <c r="AA142" i="15"/>
  <c r="AB141" i="15"/>
  <c r="AA141" i="15"/>
  <c r="AB140" i="15"/>
  <c r="AA140" i="15"/>
  <c r="AB139" i="15"/>
  <c r="AA139" i="15"/>
  <c r="AB138" i="15"/>
  <c r="AA138" i="15"/>
  <c r="AG136" i="15"/>
  <c r="AF136" i="15"/>
  <c r="C139" i="15"/>
  <c r="E139" i="15" s="1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38" i="15"/>
  <c r="D153" i="15"/>
  <c r="D152" i="15"/>
  <c r="D151" i="15"/>
  <c r="D150" i="15"/>
  <c r="D149" i="15"/>
  <c r="D148" i="15"/>
  <c r="E148" i="15" s="1"/>
  <c r="D147" i="15"/>
  <c r="D146" i="15"/>
  <c r="D145" i="15"/>
  <c r="D144" i="15"/>
  <c r="D143" i="15"/>
  <c r="D142" i="15"/>
  <c r="E142" i="15" s="1"/>
  <c r="D141" i="15"/>
  <c r="D140" i="15"/>
  <c r="D139" i="15"/>
  <c r="D138" i="15"/>
  <c r="I136" i="15"/>
  <c r="H136" i="15"/>
  <c r="CU139" i="14"/>
  <c r="CU140" i="14"/>
  <c r="CU141" i="14"/>
  <c r="CU142" i="14"/>
  <c r="CU143" i="14"/>
  <c r="CU144" i="14"/>
  <c r="CU145" i="14"/>
  <c r="CU146" i="14"/>
  <c r="CU147" i="14"/>
  <c r="CU148" i="14"/>
  <c r="CU149" i="14"/>
  <c r="CU150" i="14"/>
  <c r="CU151" i="14"/>
  <c r="CU152" i="14"/>
  <c r="CU153" i="14"/>
  <c r="CU138" i="14"/>
  <c r="CV153" i="14"/>
  <c r="CV152" i="14"/>
  <c r="CW152" i="14" s="1"/>
  <c r="CV151" i="14"/>
  <c r="CV150" i="14"/>
  <c r="CV149" i="14"/>
  <c r="CV148" i="14"/>
  <c r="CV147" i="14"/>
  <c r="CV146" i="14"/>
  <c r="CV145" i="14"/>
  <c r="CV144" i="14"/>
  <c r="CV143" i="14"/>
  <c r="CV142" i="14"/>
  <c r="CV141" i="14"/>
  <c r="CV140" i="14"/>
  <c r="CV139" i="14"/>
  <c r="CV138" i="14"/>
  <c r="DA136" i="14"/>
  <c r="CZ136" i="14"/>
  <c r="BW139" i="14"/>
  <c r="BW140" i="14"/>
  <c r="BW141" i="14"/>
  <c r="BW142" i="14"/>
  <c r="BW143" i="14"/>
  <c r="BW144" i="14"/>
  <c r="BW145" i="14"/>
  <c r="BW146" i="14"/>
  <c r="BW147" i="14"/>
  <c r="BW148" i="14"/>
  <c r="BW149" i="14"/>
  <c r="BW150" i="14"/>
  <c r="BW151" i="14"/>
  <c r="BW152" i="14"/>
  <c r="BW153" i="14"/>
  <c r="BW138" i="14"/>
  <c r="BX153" i="14"/>
  <c r="BX152" i="14"/>
  <c r="BY152" i="14" s="1"/>
  <c r="BX151" i="14"/>
  <c r="BX150" i="14"/>
  <c r="BX149" i="14"/>
  <c r="BX148" i="14"/>
  <c r="BY148" i="14" s="1"/>
  <c r="BX147" i="14"/>
  <c r="BX146" i="14"/>
  <c r="BX145" i="14"/>
  <c r="BX144" i="14"/>
  <c r="BY144" i="14" s="1"/>
  <c r="BX143" i="14"/>
  <c r="BX142" i="14"/>
  <c r="BX141" i="14"/>
  <c r="BX140" i="14"/>
  <c r="BX139" i="14"/>
  <c r="BX138" i="14"/>
  <c r="CC136" i="14"/>
  <c r="CB136" i="14"/>
  <c r="AY139" i="14"/>
  <c r="AY140" i="14"/>
  <c r="AY141" i="14"/>
  <c r="AY142" i="14"/>
  <c r="AY143" i="14"/>
  <c r="AY144" i="14"/>
  <c r="AY145" i="14"/>
  <c r="AY146" i="14"/>
  <c r="AY147" i="14"/>
  <c r="AY148" i="14"/>
  <c r="AY149" i="14"/>
  <c r="AY150" i="14"/>
  <c r="AY151" i="14"/>
  <c r="AY152" i="14"/>
  <c r="AY153" i="14"/>
  <c r="AY138" i="14"/>
  <c r="AZ153" i="14"/>
  <c r="AZ152" i="14"/>
  <c r="BA152" i="14" s="1"/>
  <c r="AZ151" i="14"/>
  <c r="AZ150" i="14"/>
  <c r="AZ149" i="14"/>
  <c r="AZ148" i="14"/>
  <c r="BA148" i="14" s="1"/>
  <c r="AZ147" i="14"/>
  <c r="AZ146" i="14"/>
  <c r="AZ145" i="14"/>
  <c r="AZ144" i="14"/>
  <c r="BA144" i="14" s="1"/>
  <c r="AZ143" i="14"/>
  <c r="AZ142" i="14"/>
  <c r="AZ141" i="14"/>
  <c r="AZ140" i="14"/>
  <c r="BA140" i="14" s="1"/>
  <c r="AZ139" i="14"/>
  <c r="AZ138" i="14"/>
  <c r="BE136" i="14"/>
  <c r="BD136" i="14"/>
  <c r="AA139" i="14"/>
  <c r="AA140" i="14"/>
  <c r="AA141" i="14"/>
  <c r="AA142" i="14"/>
  <c r="AA143" i="14"/>
  <c r="AA144" i="14"/>
  <c r="AA145" i="14"/>
  <c r="AA146" i="14"/>
  <c r="AA147" i="14"/>
  <c r="AA148" i="14"/>
  <c r="AA149" i="14"/>
  <c r="AA150" i="14"/>
  <c r="AA151" i="14"/>
  <c r="AA152" i="14"/>
  <c r="AA153" i="14"/>
  <c r="AA138" i="14"/>
  <c r="AB153" i="14"/>
  <c r="AB152" i="14"/>
  <c r="AB151" i="14"/>
  <c r="AB150" i="14"/>
  <c r="AB149" i="14"/>
  <c r="AB148" i="14"/>
  <c r="AB147" i="14"/>
  <c r="AB146" i="14"/>
  <c r="AC146" i="14" s="1"/>
  <c r="AB145" i="14"/>
  <c r="AB144" i="14"/>
  <c r="AB143" i="14"/>
  <c r="AB142" i="14"/>
  <c r="AB141" i="14"/>
  <c r="AB140" i="14"/>
  <c r="AB139" i="14"/>
  <c r="AB138" i="14"/>
  <c r="AG136" i="14"/>
  <c r="AF136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38" i="14"/>
  <c r="D139" i="14"/>
  <c r="D140" i="14"/>
  <c r="D141" i="14"/>
  <c r="D142" i="14"/>
  <c r="E142" i="14" s="1"/>
  <c r="D143" i="14"/>
  <c r="D144" i="14"/>
  <c r="D145" i="14"/>
  <c r="D146" i="14"/>
  <c r="E146" i="14" s="1"/>
  <c r="D147" i="14"/>
  <c r="D148" i="14"/>
  <c r="D149" i="14"/>
  <c r="D150" i="14"/>
  <c r="D151" i="14"/>
  <c r="D152" i="14"/>
  <c r="D153" i="14"/>
  <c r="D138" i="14"/>
  <c r="E143" i="14"/>
  <c r="I136" i="14"/>
  <c r="H136" i="14"/>
  <c r="CV139" i="13"/>
  <c r="CV140" i="13"/>
  <c r="CV141" i="13"/>
  <c r="CV142" i="13"/>
  <c r="CV143" i="13"/>
  <c r="CV144" i="13"/>
  <c r="CV145" i="13"/>
  <c r="CV146" i="13"/>
  <c r="CV147" i="13"/>
  <c r="CV148" i="13"/>
  <c r="CV149" i="13"/>
  <c r="CV150" i="13"/>
  <c r="CV151" i="13"/>
  <c r="CV152" i="13"/>
  <c r="CV153" i="13"/>
  <c r="CV138" i="13"/>
  <c r="CU153" i="13"/>
  <c r="CU152" i="13"/>
  <c r="CU151" i="13"/>
  <c r="CU150" i="13"/>
  <c r="CW150" i="13" s="1"/>
  <c r="CU149" i="13"/>
  <c r="CU148" i="13"/>
  <c r="CU147" i="13"/>
  <c r="CU146" i="13"/>
  <c r="CW146" i="13" s="1"/>
  <c r="CU145" i="13"/>
  <c r="CU144" i="13"/>
  <c r="CU143" i="13"/>
  <c r="CU142" i="13"/>
  <c r="CU141" i="13"/>
  <c r="CU140" i="13"/>
  <c r="CU139" i="13"/>
  <c r="CU138" i="13"/>
  <c r="CW138" i="13" s="1"/>
  <c r="DA136" i="13"/>
  <c r="CZ136" i="13"/>
  <c r="BX139" i="13"/>
  <c r="BX140" i="13"/>
  <c r="BX141" i="13"/>
  <c r="BX142" i="13"/>
  <c r="BX143" i="13"/>
  <c r="BX144" i="13"/>
  <c r="BX145" i="13"/>
  <c r="BX146" i="13"/>
  <c r="BX147" i="13"/>
  <c r="BX148" i="13"/>
  <c r="BX149" i="13"/>
  <c r="BX150" i="13"/>
  <c r="BX151" i="13"/>
  <c r="BX152" i="13"/>
  <c r="BX153" i="13"/>
  <c r="BX138" i="13"/>
  <c r="BW153" i="13"/>
  <c r="BW152" i="13"/>
  <c r="BW151" i="13"/>
  <c r="BW150" i="13"/>
  <c r="BW149" i="13"/>
  <c r="BW148" i="13"/>
  <c r="BW147" i="13"/>
  <c r="BW146" i="13"/>
  <c r="BW145" i="13"/>
  <c r="BW144" i="13"/>
  <c r="BW143" i="13"/>
  <c r="BW142" i="13"/>
  <c r="BW141" i="13"/>
  <c r="BW140" i="13"/>
  <c r="BY140" i="13" s="1"/>
  <c r="BW139" i="13"/>
  <c r="BW138" i="13"/>
  <c r="BY138" i="13" s="1"/>
  <c r="CC136" i="13"/>
  <c r="CB136" i="13"/>
  <c r="AZ139" i="13"/>
  <c r="AZ140" i="13"/>
  <c r="AZ141" i="13"/>
  <c r="AZ142" i="13"/>
  <c r="AZ143" i="13"/>
  <c r="AZ144" i="13"/>
  <c r="AZ145" i="13"/>
  <c r="AZ146" i="13"/>
  <c r="AZ147" i="13"/>
  <c r="AZ148" i="13"/>
  <c r="AZ149" i="13"/>
  <c r="AZ150" i="13"/>
  <c r="AZ151" i="13"/>
  <c r="AZ152" i="13"/>
  <c r="AZ153" i="13"/>
  <c r="AZ138" i="13"/>
  <c r="AY153" i="13"/>
  <c r="AY152" i="13"/>
  <c r="AY151" i="13"/>
  <c r="AY150" i="13"/>
  <c r="BA150" i="13" s="1"/>
  <c r="AY149" i="13"/>
  <c r="AY148" i="13"/>
  <c r="AY147" i="13"/>
  <c r="AY146" i="13"/>
  <c r="BA146" i="13" s="1"/>
  <c r="AY145" i="13"/>
  <c r="AY144" i="13"/>
  <c r="AY143" i="13"/>
  <c r="AY142" i="13"/>
  <c r="BA142" i="13" s="1"/>
  <c r="AY141" i="13"/>
  <c r="AY140" i="13"/>
  <c r="AY139" i="13"/>
  <c r="AY138" i="13"/>
  <c r="BA138" i="13" s="1"/>
  <c r="BE136" i="13"/>
  <c r="BD136" i="13"/>
  <c r="AB139" i="13"/>
  <c r="AB140" i="13"/>
  <c r="AB141" i="13"/>
  <c r="AB142" i="13"/>
  <c r="AB143" i="13"/>
  <c r="AB144" i="13"/>
  <c r="AB145" i="13"/>
  <c r="AB146" i="13"/>
  <c r="AB147" i="13"/>
  <c r="AB148" i="13"/>
  <c r="AB149" i="13"/>
  <c r="AB150" i="13"/>
  <c r="AB151" i="13"/>
  <c r="AB152" i="13"/>
  <c r="AB153" i="13"/>
  <c r="AB138" i="13"/>
  <c r="AA153" i="13"/>
  <c r="AA152" i="13"/>
  <c r="AA151" i="13"/>
  <c r="AA150" i="13"/>
  <c r="AA149" i="13"/>
  <c r="AA148" i="13"/>
  <c r="AA147" i="13"/>
  <c r="AA146" i="13"/>
  <c r="AC146" i="13" s="1"/>
  <c r="AA145" i="13"/>
  <c r="AA144" i="13"/>
  <c r="AA143" i="13"/>
  <c r="AA142" i="13"/>
  <c r="AC142" i="13" s="1"/>
  <c r="AA141" i="13"/>
  <c r="AA140" i="13"/>
  <c r="AA139" i="13"/>
  <c r="AA138" i="13"/>
  <c r="AC138" i="13" s="1"/>
  <c r="AG136" i="13"/>
  <c r="AF136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38" i="13"/>
  <c r="C139" i="13"/>
  <c r="C140" i="13"/>
  <c r="C141" i="13"/>
  <c r="C142" i="13"/>
  <c r="C143" i="13"/>
  <c r="C144" i="13"/>
  <c r="C145" i="13"/>
  <c r="E145" i="13" s="1"/>
  <c r="C146" i="13"/>
  <c r="C147" i="13"/>
  <c r="C148" i="13"/>
  <c r="C149" i="13"/>
  <c r="C150" i="13"/>
  <c r="C151" i="13"/>
  <c r="C152" i="13"/>
  <c r="C153" i="13"/>
  <c r="E153" i="13" s="1"/>
  <c r="C138" i="13"/>
  <c r="E138" i="13" s="1"/>
  <c r="I136" i="13"/>
  <c r="H136" i="13"/>
  <c r="CU128" i="16"/>
  <c r="CU127" i="16"/>
  <c r="CU126" i="16"/>
  <c r="CU125" i="16"/>
  <c r="CU124" i="16"/>
  <c r="CU123" i="16"/>
  <c r="CU122" i="16"/>
  <c r="CU121" i="16"/>
  <c r="CU120" i="16"/>
  <c r="CU119" i="16"/>
  <c r="CU118" i="16"/>
  <c r="CU117" i="16"/>
  <c r="CU116" i="16"/>
  <c r="CU115" i="16"/>
  <c r="CU114" i="16"/>
  <c r="CU113" i="16"/>
  <c r="BW128" i="16"/>
  <c r="BW127" i="16"/>
  <c r="BW126" i="16"/>
  <c r="BW125" i="16"/>
  <c r="BW124" i="16"/>
  <c r="BW123" i="16"/>
  <c r="BW122" i="16"/>
  <c r="BW121" i="16"/>
  <c r="BW120" i="16"/>
  <c r="BW119" i="16"/>
  <c r="BW118" i="16"/>
  <c r="BW117" i="16"/>
  <c r="BW116" i="16"/>
  <c r="BW115" i="16"/>
  <c r="BW114" i="16"/>
  <c r="BW113" i="16"/>
  <c r="AY128" i="16"/>
  <c r="AY127" i="16"/>
  <c r="AY126" i="16"/>
  <c r="AY125" i="16"/>
  <c r="AY124" i="16"/>
  <c r="AY123" i="16"/>
  <c r="AY122" i="16"/>
  <c r="AY121" i="16"/>
  <c r="AY120" i="16"/>
  <c r="AY119" i="16"/>
  <c r="AY118" i="16"/>
  <c r="AY117" i="16"/>
  <c r="AY116" i="16"/>
  <c r="AY115" i="16"/>
  <c r="AY114" i="16"/>
  <c r="AY113" i="16"/>
  <c r="AA128" i="16"/>
  <c r="AA127" i="16"/>
  <c r="AA126" i="16"/>
  <c r="AA125" i="16"/>
  <c r="AA124" i="16"/>
  <c r="AA123" i="16"/>
  <c r="AA122" i="16"/>
  <c r="AA121" i="16"/>
  <c r="AA120" i="16"/>
  <c r="AA119" i="16"/>
  <c r="AA118" i="16"/>
  <c r="AA117" i="16"/>
  <c r="AA116" i="16"/>
  <c r="AA115" i="16"/>
  <c r="AA114" i="16"/>
  <c r="AA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13" i="16"/>
  <c r="CU53" i="16"/>
  <c r="CU52" i="16"/>
  <c r="CU51" i="16"/>
  <c r="CU50" i="16"/>
  <c r="CU49" i="16"/>
  <c r="CU48" i="16"/>
  <c r="CU47" i="16"/>
  <c r="CU46" i="16"/>
  <c r="CU45" i="16"/>
  <c r="CU44" i="16"/>
  <c r="CU43" i="16"/>
  <c r="CU42" i="16"/>
  <c r="CU41" i="16"/>
  <c r="CU40" i="16"/>
  <c r="CU39" i="16"/>
  <c r="CU38" i="16"/>
  <c r="BW53" i="16"/>
  <c r="BW52" i="16"/>
  <c r="BW51" i="16"/>
  <c r="BW50" i="16"/>
  <c r="BW49" i="16"/>
  <c r="BW48" i="16"/>
  <c r="BW47" i="16"/>
  <c r="BW46" i="16"/>
  <c r="BW45" i="16"/>
  <c r="BW44" i="16"/>
  <c r="BW43" i="16"/>
  <c r="BW42" i="16"/>
  <c r="BW41" i="16"/>
  <c r="BW40" i="16"/>
  <c r="BW39" i="16"/>
  <c r="BW38" i="16"/>
  <c r="AY53" i="16"/>
  <c r="AY52" i="16"/>
  <c r="AY51" i="16"/>
  <c r="AY50" i="16"/>
  <c r="AY49" i="16"/>
  <c r="AY48" i="16"/>
  <c r="AY47" i="16"/>
  <c r="AY46" i="16"/>
  <c r="AY45" i="16"/>
  <c r="AY44" i="16"/>
  <c r="AY43" i="16"/>
  <c r="AY42" i="16"/>
  <c r="AY41" i="16"/>
  <c r="AY40" i="16"/>
  <c r="AY39" i="16"/>
  <c r="AY38" i="16"/>
  <c r="AA53" i="16"/>
  <c r="AA52" i="16"/>
  <c r="AA51" i="16"/>
  <c r="AA50" i="16"/>
  <c r="AA49" i="16"/>
  <c r="AA48" i="16"/>
  <c r="AA47" i="16"/>
  <c r="AA46" i="16"/>
  <c r="AA45" i="16"/>
  <c r="AA44" i="16"/>
  <c r="AA43" i="16"/>
  <c r="AA42" i="16"/>
  <c r="AA41" i="16"/>
  <c r="AA40" i="16"/>
  <c r="AA39" i="16"/>
  <c r="AA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38" i="16"/>
  <c r="CU27" i="16"/>
  <c r="CU26" i="16"/>
  <c r="CU25" i="16"/>
  <c r="CU24" i="16"/>
  <c r="CU23" i="16"/>
  <c r="CU22" i="16"/>
  <c r="CU21" i="16"/>
  <c r="CU20" i="16"/>
  <c r="CU19" i="16"/>
  <c r="CU18" i="16"/>
  <c r="CU17" i="16"/>
  <c r="CU16" i="16"/>
  <c r="CU15" i="16"/>
  <c r="CU14" i="16"/>
  <c r="CU13" i="16"/>
  <c r="CU12" i="16"/>
  <c r="BW27" i="16"/>
  <c r="BW26" i="16"/>
  <c r="BW25" i="16"/>
  <c r="BW24" i="16"/>
  <c r="BW23" i="16"/>
  <c r="BW22" i="16"/>
  <c r="BW21" i="16"/>
  <c r="BW20" i="16"/>
  <c r="BW19" i="16"/>
  <c r="BW18" i="16"/>
  <c r="BW17" i="16"/>
  <c r="BW16" i="16"/>
  <c r="BW15" i="16"/>
  <c r="BW14" i="16"/>
  <c r="BW13" i="16"/>
  <c r="BW12" i="16"/>
  <c r="AY27" i="16"/>
  <c r="AY26" i="16"/>
  <c r="AY25" i="16"/>
  <c r="AY24" i="16"/>
  <c r="AY23" i="16"/>
  <c r="AY22" i="16"/>
  <c r="AY21" i="16"/>
  <c r="AY20" i="16"/>
  <c r="AY19" i="16"/>
  <c r="AY18" i="16"/>
  <c r="AY17" i="16"/>
  <c r="AY16" i="16"/>
  <c r="AY15" i="16"/>
  <c r="AY14" i="16"/>
  <c r="AY13" i="16"/>
  <c r="AY12" i="16"/>
  <c r="AA27" i="16"/>
  <c r="AA26" i="16"/>
  <c r="AA25" i="16"/>
  <c r="AA24" i="16"/>
  <c r="AA23" i="16"/>
  <c r="AA22" i="16"/>
  <c r="AA21" i="16"/>
  <c r="AA20" i="16"/>
  <c r="AA19" i="16"/>
  <c r="AA18" i="16"/>
  <c r="AA17" i="16"/>
  <c r="AA16" i="16"/>
  <c r="AA15" i="16"/>
  <c r="AA14" i="16"/>
  <c r="AA13" i="16"/>
  <c r="AA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12" i="16"/>
  <c r="CU128" i="15"/>
  <c r="CU127" i="15"/>
  <c r="CU126" i="15"/>
  <c r="CU125" i="15"/>
  <c r="CU124" i="15"/>
  <c r="CU123" i="15"/>
  <c r="CU122" i="15"/>
  <c r="CU121" i="15"/>
  <c r="CU120" i="15"/>
  <c r="CU119" i="15"/>
  <c r="CU118" i="15"/>
  <c r="CU117" i="15"/>
  <c r="CU116" i="15"/>
  <c r="CU115" i="15"/>
  <c r="CU114" i="15"/>
  <c r="CU113" i="15"/>
  <c r="BW128" i="15"/>
  <c r="BW127" i="15"/>
  <c r="BW126" i="15"/>
  <c r="BW125" i="15"/>
  <c r="BW124" i="15"/>
  <c r="BW123" i="15"/>
  <c r="BW122" i="15"/>
  <c r="BW121" i="15"/>
  <c r="BW120" i="15"/>
  <c r="BW119" i="15"/>
  <c r="BW118" i="15"/>
  <c r="BW117" i="15"/>
  <c r="BW116" i="15"/>
  <c r="BW115" i="15"/>
  <c r="BW114" i="15"/>
  <c r="BW113" i="15"/>
  <c r="AY128" i="15"/>
  <c r="AY127" i="15"/>
  <c r="AY126" i="15"/>
  <c r="AY125" i="15"/>
  <c r="AY124" i="15"/>
  <c r="AY123" i="15"/>
  <c r="AY122" i="15"/>
  <c r="AY121" i="15"/>
  <c r="AY120" i="15"/>
  <c r="AY119" i="15"/>
  <c r="AY118" i="15"/>
  <c r="AY117" i="15"/>
  <c r="AY116" i="15"/>
  <c r="AY115" i="15"/>
  <c r="AY114" i="15"/>
  <c r="AY113" i="15"/>
  <c r="AA128" i="15"/>
  <c r="AA127" i="15"/>
  <c r="AA126" i="15"/>
  <c r="AA125" i="15"/>
  <c r="AA124" i="15"/>
  <c r="AA123" i="15"/>
  <c r="AA122" i="15"/>
  <c r="AA121" i="15"/>
  <c r="AA120" i="15"/>
  <c r="AA119" i="15"/>
  <c r="AA118" i="15"/>
  <c r="AA117" i="15"/>
  <c r="AA116" i="15"/>
  <c r="AA115" i="15"/>
  <c r="AA114" i="15"/>
  <c r="AA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13" i="15"/>
  <c r="CU53" i="15"/>
  <c r="CU52" i="15"/>
  <c r="CU51" i="15"/>
  <c r="CU50" i="15"/>
  <c r="CU49" i="15"/>
  <c r="CU48" i="15"/>
  <c r="CU47" i="15"/>
  <c r="CU46" i="15"/>
  <c r="CU45" i="15"/>
  <c r="CU44" i="15"/>
  <c r="CU43" i="15"/>
  <c r="CU42" i="15"/>
  <c r="CU41" i="15"/>
  <c r="CU40" i="15"/>
  <c r="CU39" i="15"/>
  <c r="CU38" i="15"/>
  <c r="BW53" i="15"/>
  <c r="BW52" i="15"/>
  <c r="BW51" i="15"/>
  <c r="BW50" i="15"/>
  <c r="BW49" i="15"/>
  <c r="BW48" i="15"/>
  <c r="BW47" i="15"/>
  <c r="BW46" i="15"/>
  <c r="BW45" i="15"/>
  <c r="BW44" i="15"/>
  <c r="BW43" i="15"/>
  <c r="BW42" i="15"/>
  <c r="BW41" i="15"/>
  <c r="BW40" i="15"/>
  <c r="BW39" i="15"/>
  <c r="BW38" i="15"/>
  <c r="AY53" i="15"/>
  <c r="AY52" i="15"/>
  <c r="AY51" i="15"/>
  <c r="AY50" i="15"/>
  <c r="AY49" i="15"/>
  <c r="AY48" i="15"/>
  <c r="AY47" i="15"/>
  <c r="AY46" i="15"/>
  <c r="AY45" i="15"/>
  <c r="AY44" i="15"/>
  <c r="AY43" i="15"/>
  <c r="AY42" i="15"/>
  <c r="AY41" i="15"/>
  <c r="AY40" i="15"/>
  <c r="AY39" i="15"/>
  <c r="AY38" i="15"/>
  <c r="AA53" i="15"/>
  <c r="AA52" i="15"/>
  <c r="AA51" i="15"/>
  <c r="AA50" i="15"/>
  <c r="AA49" i="15"/>
  <c r="AA48" i="15"/>
  <c r="AA47" i="15"/>
  <c r="AA46" i="15"/>
  <c r="AA45" i="15"/>
  <c r="AA44" i="15"/>
  <c r="AA43" i="15"/>
  <c r="AA42" i="15"/>
  <c r="AA41" i="15"/>
  <c r="AA40" i="15"/>
  <c r="AA39" i="15"/>
  <c r="AA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38" i="15"/>
  <c r="CU27" i="15"/>
  <c r="CU26" i="15"/>
  <c r="CU25" i="15"/>
  <c r="CU24" i="15"/>
  <c r="CU23" i="15"/>
  <c r="CU22" i="15"/>
  <c r="CU21" i="15"/>
  <c r="CU20" i="15"/>
  <c r="CU19" i="15"/>
  <c r="CU18" i="15"/>
  <c r="CU17" i="15"/>
  <c r="CU16" i="15"/>
  <c r="CU15" i="15"/>
  <c r="CU14" i="15"/>
  <c r="CU13" i="15"/>
  <c r="CU12" i="15"/>
  <c r="BW27" i="15"/>
  <c r="BW26" i="15"/>
  <c r="BW25" i="15"/>
  <c r="BW24" i="15"/>
  <c r="BW23" i="15"/>
  <c r="BW22" i="15"/>
  <c r="BW21" i="15"/>
  <c r="BW20" i="15"/>
  <c r="BW19" i="15"/>
  <c r="BW18" i="15"/>
  <c r="BW17" i="15"/>
  <c r="BW16" i="15"/>
  <c r="BW15" i="15"/>
  <c r="BW14" i="15"/>
  <c r="BW13" i="15"/>
  <c r="BW12" i="15"/>
  <c r="AY27" i="15"/>
  <c r="AY26" i="15"/>
  <c r="AY25" i="15"/>
  <c r="AY24" i="15"/>
  <c r="AY23" i="15"/>
  <c r="AY22" i="15"/>
  <c r="AY21" i="15"/>
  <c r="AY20" i="15"/>
  <c r="AY19" i="15"/>
  <c r="AY18" i="15"/>
  <c r="AY17" i="15"/>
  <c r="AY16" i="15"/>
  <c r="AY15" i="15"/>
  <c r="AY14" i="15"/>
  <c r="AY13" i="15"/>
  <c r="AY12" i="15"/>
  <c r="AA27" i="15"/>
  <c r="AA26" i="15"/>
  <c r="AA25" i="15"/>
  <c r="AA24" i="15"/>
  <c r="AA23" i="15"/>
  <c r="AA22" i="15"/>
  <c r="AA21" i="15"/>
  <c r="AA20" i="15"/>
  <c r="AA19" i="15"/>
  <c r="AA18" i="15"/>
  <c r="AA17" i="15"/>
  <c r="AA16" i="15"/>
  <c r="AA15" i="15"/>
  <c r="AA14" i="15"/>
  <c r="AA13" i="15"/>
  <c r="AA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12" i="15"/>
  <c r="CU114" i="14"/>
  <c r="CU115" i="14"/>
  <c r="CU116" i="14"/>
  <c r="CU117" i="14"/>
  <c r="CU118" i="14"/>
  <c r="CU119" i="14"/>
  <c r="CU120" i="14"/>
  <c r="CU121" i="14"/>
  <c r="CU122" i="14"/>
  <c r="CU123" i="14"/>
  <c r="CU124" i="14"/>
  <c r="CU125" i="14"/>
  <c r="CU126" i="14"/>
  <c r="CU127" i="14"/>
  <c r="CU128" i="14"/>
  <c r="CU113" i="14"/>
  <c r="BW114" i="14"/>
  <c r="BW115" i="14"/>
  <c r="BW116" i="14"/>
  <c r="BW117" i="14"/>
  <c r="BW118" i="14"/>
  <c r="BW119" i="14"/>
  <c r="BW120" i="14"/>
  <c r="BW121" i="14"/>
  <c r="BW122" i="14"/>
  <c r="BW123" i="14"/>
  <c r="BW124" i="14"/>
  <c r="BW125" i="14"/>
  <c r="BW126" i="14"/>
  <c r="BW127" i="14"/>
  <c r="BW128" i="14"/>
  <c r="BW113" i="14"/>
  <c r="AY114" i="14"/>
  <c r="AY115" i="14"/>
  <c r="AY116" i="14"/>
  <c r="AY117" i="14"/>
  <c r="AY118" i="14"/>
  <c r="AY119" i="14"/>
  <c r="AY120" i="14"/>
  <c r="AY121" i="14"/>
  <c r="AY122" i="14"/>
  <c r="AY123" i="14"/>
  <c r="AY124" i="14"/>
  <c r="AY125" i="14"/>
  <c r="AY126" i="14"/>
  <c r="AY127" i="14"/>
  <c r="AY128" i="14"/>
  <c r="AY113" i="14"/>
  <c r="AA114" i="14"/>
  <c r="AA115" i="14"/>
  <c r="AA116" i="14"/>
  <c r="AA117" i="14"/>
  <c r="AA118" i="14"/>
  <c r="AA119" i="14"/>
  <c r="AA120" i="14"/>
  <c r="AA121" i="14"/>
  <c r="AA122" i="14"/>
  <c r="AA123" i="14"/>
  <c r="AA124" i="14"/>
  <c r="AA125" i="14"/>
  <c r="AA126" i="14"/>
  <c r="AA127" i="14"/>
  <c r="AA128" i="14"/>
  <c r="AA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13" i="14"/>
  <c r="CU39" i="14"/>
  <c r="CU40" i="14"/>
  <c r="CU41" i="14"/>
  <c r="CU42" i="14"/>
  <c r="CU43" i="14"/>
  <c r="CU44" i="14"/>
  <c r="CU45" i="14"/>
  <c r="CU46" i="14"/>
  <c r="CU47" i="14"/>
  <c r="CU48" i="14"/>
  <c r="CU49" i="14"/>
  <c r="CU50" i="14"/>
  <c r="CU51" i="14"/>
  <c r="CU52" i="14"/>
  <c r="CU53" i="14"/>
  <c r="CU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38" i="14"/>
  <c r="AY39" i="14"/>
  <c r="AY40" i="14"/>
  <c r="AY41" i="14"/>
  <c r="AY42" i="14"/>
  <c r="AY43" i="14"/>
  <c r="AY44" i="14"/>
  <c r="AY45" i="14"/>
  <c r="AY46" i="14"/>
  <c r="AY47" i="14"/>
  <c r="AY48" i="14"/>
  <c r="AY49" i="14"/>
  <c r="AY50" i="14"/>
  <c r="AY51" i="14"/>
  <c r="AY52" i="14"/>
  <c r="AY53" i="14"/>
  <c r="AY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38" i="14"/>
  <c r="C13" i="14"/>
  <c r="AA13" i="14" s="1"/>
  <c r="C14" i="14"/>
  <c r="AY14" i="14" s="1"/>
  <c r="C15" i="14"/>
  <c r="BW15" i="14" s="1"/>
  <c r="C16" i="14"/>
  <c r="CU16" i="14" s="1"/>
  <c r="C17" i="14"/>
  <c r="C18" i="14"/>
  <c r="C19" i="14"/>
  <c r="C20" i="14"/>
  <c r="C21" i="14"/>
  <c r="C22" i="14"/>
  <c r="C23" i="14"/>
  <c r="C24" i="14"/>
  <c r="C25" i="14"/>
  <c r="C26" i="14"/>
  <c r="C27" i="14"/>
  <c r="C12" i="14"/>
  <c r="AY12" i="14" s="1"/>
  <c r="CV89" i="13"/>
  <c r="CV90" i="13"/>
  <c r="CV91" i="13"/>
  <c r="CV92" i="13"/>
  <c r="CV93" i="13"/>
  <c r="CV94" i="13"/>
  <c r="CV95" i="13"/>
  <c r="CV96" i="13"/>
  <c r="CV97" i="13"/>
  <c r="CV98" i="13"/>
  <c r="CV99" i="13"/>
  <c r="CV100" i="13"/>
  <c r="CV101" i="13"/>
  <c r="CV102" i="13"/>
  <c r="CV103" i="13"/>
  <c r="CV88" i="13"/>
  <c r="BX89" i="13"/>
  <c r="BX90" i="13"/>
  <c r="BX91" i="13"/>
  <c r="BX92" i="13"/>
  <c r="BX93" i="13"/>
  <c r="BX94" i="13"/>
  <c r="BX95" i="13"/>
  <c r="BX96" i="13"/>
  <c r="BX97" i="13"/>
  <c r="BX98" i="13"/>
  <c r="BX99" i="13"/>
  <c r="BX100" i="13"/>
  <c r="BX101" i="13"/>
  <c r="BX102" i="13"/>
  <c r="BX103" i="13"/>
  <c r="BX88" i="13"/>
  <c r="AZ89" i="13"/>
  <c r="AZ90" i="13"/>
  <c r="AZ91" i="13"/>
  <c r="AZ92" i="13"/>
  <c r="AZ93" i="13"/>
  <c r="AZ94" i="13"/>
  <c r="AZ95" i="13"/>
  <c r="AZ96" i="13"/>
  <c r="AZ97" i="13"/>
  <c r="AZ98" i="13"/>
  <c r="AZ99" i="13"/>
  <c r="AZ100" i="13"/>
  <c r="AZ101" i="13"/>
  <c r="AZ102" i="13"/>
  <c r="AZ103" i="13"/>
  <c r="AZ88" i="13"/>
  <c r="AB89" i="13"/>
  <c r="AB90" i="13"/>
  <c r="AB91" i="13"/>
  <c r="AB92" i="13"/>
  <c r="AB93" i="13"/>
  <c r="AB94" i="13"/>
  <c r="AB95" i="13"/>
  <c r="AB96" i="13"/>
  <c r="AB97" i="13"/>
  <c r="AB98" i="13"/>
  <c r="AB99" i="13"/>
  <c r="AB100" i="13"/>
  <c r="AB101" i="13"/>
  <c r="AB102" i="13"/>
  <c r="AB103" i="13"/>
  <c r="AB88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CV39" i="13"/>
  <c r="CV40" i="13"/>
  <c r="CV41" i="13"/>
  <c r="CV42" i="13"/>
  <c r="CV43" i="13"/>
  <c r="CV44" i="13"/>
  <c r="CV45" i="13"/>
  <c r="CV46" i="13"/>
  <c r="CV47" i="13"/>
  <c r="CV48" i="13"/>
  <c r="CV49" i="13"/>
  <c r="CV50" i="13"/>
  <c r="CV51" i="13"/>
  <c r="CV52" i="13"/>
  <c r="CV53" i="13"/>
  <c r="CV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38" i="13"/>
  <c r="AZ39" i="13"/>
  <c r="AZ40" i="13"/>
  <c r="AZ41" i="13"/>
  <c r="AZ42" i="13"/>
  <c r="AZ43" i="13"/>
  <c r="AZ44" i="13"/>
  <c r="AZ45" i="13"/>
  <c r="AZ46" i="13"/>
  <c r="AZ47" i="13"/>
  <c r="AZ48" i="13"/>
  <c r="AZ49" i="13"/>
  <c r="AZ50" i="13"/>
  <c r="AZ51" i="13"/>
  <c r="AZ52" i="13"/>
  <c r="AZ53" i="13"/>
  <c r="AZ38" i="13"/>
  <c r="AB39" i="13"/>
  <c r="AB40" i="13"/>
  <c r="AB41" i="13"/>
  <c r="AB42" i="13"/>
  <c r="AB43" i="13"/>
  <c r="AB44" i="13"/>
  <c r="AB45" i="13"/>
  <c r="AB46" i="13"/>
  <c r="AB47" i="13"/>
  <c r="AB48" i="13"/>
  <c r="AB49" i="13"/>
  <c r="AB50" i="13"/>
  <c r="AB51" i="13"/>
  <c r="AB52" i="13"/>
  <c r="AB53" i="13"/>
  <c r="AB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38" i="13"/>
  <c r="CV13" i="13"/>
  <c r="CV14" i="13"/>
  <c r="CV15" i="13"/>
  <c r="CV16" i="13"/>
  <c r="CV17" i="13"/>
  <c r="CV18" i="13"/>
  <c r="CV19" i="13"/>
  <c r="CV20" i="13"/>
  <c r="CV21" i="13"/>
  <c r="CV22" i="13"/>
  <c r="CV23" i="13"/>
  <c r="CV24" i="13"/>
  <c r="CV25" i="13"/>
  <c r="CV26" i="13"/>
  <c r="CV27" i="13"/>
  <c r="CV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12" i="13"/>
  <c r="AZ13" i="13"/>
  <c r="AZ14" i="13"/>
  <c r="AZ15" i="13"/>
  <c r="AZ16" i="13"/>
  <c r="AZ17" i="13"/>
  <c r="AZ18" i="13"/>
  <c r="AZ19" i="13"/>
  <c r="AZ20" i="13"/>
  <c r="AZ21" i="13"/>
  <c r="AZ22" i="13"/>
  <c r="AZ23" i="13"/>
  <c r="AZ24" i="13"/>
  <c r="AZ25" i="13"/>
  <c r="AZ26" i="13"/>
  <c r="AZ27" i="13"/>
  <c r="AZ12" i="13"/>
  <c r="AB13" i="13"/>
  <c r="AB14" i="13"/>
  <c r="AB15" i="13"/>
  <c r="AB16" i="13"/>
  <c r="AB17" i="13"/>
  <c r="AB18" i="13"/>
  <c r="AB19" i="13"/>
  <c r="AB20" i="13"/>
  <c r="AB21" i="13"/>
  <c r="AB22" i="13"/>
  <c r="AB23" i="13"/>
  <c r="AB24" i="13"/>
  <c r="AB25" i="13"/>
  <c r="AB26" i="13"/>
  <c r="AB27" i="13"/>
  <c r="AB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12" i="13"/>
  <c r="CU12" i="14"/>
  <c r="AA12" i="14"/>
  <c r="C114" i="13"/>
  <c r="AA114" i="13" s="1"/>
  <c r="C115" i="13"/>
  <c r="AA115" i="13" s="1"/>
  <c r="C116" i="13"/>
  <c r="AA116" i="13" s="1"/>
  <c r="C117" i="13"/>
  <c r="AA117" i="13" s="1"/>
  <c r="C118" i="13"/>
  <c r="C119" i="13"/>
  <c r="BW119" i="13" s="1"/>
  <c r="C120" i="13"/>
  <c r="AA120" i="13" s="1"/>
  <c r="C121" i="13"/>
  <c r="BW121" i="13" s="1"/>
  <c r="C122" i="13"/>
  <c r="C123" i="13"/>
  <c r="AA123" i="13" s="1"/>
  <c r="C124" i="13"/>
  <c r="AA124" i="13" s="1"/>
  <c r="C125" i="13"/>
  <c r="CU125" i="13" s="1"/>
  <c r="C126" i="13"/>
  <c r="C127" i="13"/>
  <c r="CU127" i="13" s="1"/>
  <c r="C128" i="13"/>
  <c r="AA128" i="13" s="1"/>
  <c r="C113" i="13"/>
  <c r="AA113" i="13" s="1"/>
  <c r="C39" i="13"/>
  <c r="AA39" i="13" s="1"/>
  <c r="C40" i="13"/>
  <c r="AA40" i="13" s="1"/>
  <c r="C41" i="13"/>
  <c r="AA41" i="13" s="1"/>
  <c r="C42" i="13"/>
  <c r="AA42" i="13" s="1"/>
  <c r="C43" i="13"/>
  <c r="AA43" i="13" s="1"/>
  <c r="C44" i="13"/>
  <c r="AA44" i="13" s="1"/>
  <c r="C45" i="13"/>
  <c r="AA45" i="13" s="1"/>
  <c r="C46" i="13"/>
  <c r="AA46" i="13" s="1"/>
  <c r="C47" i="13"/>
  <c r="AA47" i="13" s="1"/>
  <c r="C48" i="13"/>
  <c r="CU48" i="13" s="1"/>
  <c r="C49" i="13"/>
  <c r="AA49" i="13" s="1"/>
  <c r="C50" i="13"/>
  <c r="CU50" i="13" s="1"/>
  <c r="C51" i="13"/>
  <c r="C52" i="13"/>
  <c r="CU52" i="13" s="1"/>
  <c r="C53" i="13"/>
  <c r="AA53" i="13" s="1"/>
  <c r="C38" i="13"/>
  <c r="AA38" i="13" s="1"/>
  <c r="C13" i="13"/>
  <c r="CU13" i="13" s="1"/>
  <c r="C14" i="13"/>
  <c r="BW14" i="13" s="1"/>
  <c r="C15" i="13"/>
  <c r="CU15" i="13" s="1"/>
  <c r="C16" i="13"/>
  <c r="CU16" i="13" s="1"/>
  <c r="C17" i="13"/>
  <c r="BW17" i="13" s="1"/>
  <c r="C18" i="13"/>
  <c r="CU18" i="13" s="1"/>
  <c r="C19" i="13"/>
  <c r="CU19" i="13" s="1"/>
  <c r="C20" i="13"/>
  <c r="CU20" i="13" s="1"/>
  <c r="C21" i="13"/>
  <c r="BW21" i="13" s="1"/>
  <c r="C22" i="13"/>
  <c r="BW22" i="13" s="1"/>
  <c r="C23" i="13"/>
  <c r="CU23" i="13" s="1"/>
  <c r="C24" i="13"/>
  <c r="CU24" i="13" s="1"/>
  <c r="C25" i="13"/>
  <c r="AY25" i="13" s="1"/>
  <c r="C26" i="13"/>
  <c r="AY26" i="13" s="1"/>
  <c r="C27" i="13"/>
  <c r="CU27" i="13" s="1"/>
  <c r="C12" i="13"/>
  <c r="CU12" i="13" s="1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6" i="22"/>
  <c r="BA142" i="15" l="1"/>
  <c r="BA144" i="15"/>
  <c r="AC140" i="16"/>
  <c r="AC142" i="16"/>
  <c r="AC144" i="16"/>
  <c r="AC146" i="16"/>
  <c r="AC148" i="16"/>
  <c r="AC150" i="16"/>
  <c r="AC152" i="16"/>
  <c r="AA15" i="14"/>
  <c r="CU15" i="14"/>
  <c r="BY147" i="14"/>
  <c r="BY151" i="14"/>
  <c r="CW141" i="14"/>
  <c r="CW153" i="14"/>
  <c r="CW142" i="15"/>
  <c r="CW144" i="15"/>
  <c r="E149" i="16"/>
  <c r="E153" i="16"/>
  <c r="BY153" i="13"/>
  <c r="CU14" i="14"/>
  <c r="AY128" i="13"/>
  <c r="AY15" i="14"/>
  <c r="BW124" i="13"/>
  <c r="AY49" i="13"/>
  <c r="BW46" i="13"/>
  <c r="AY38" i="13"/>
  <c r="AY53" i="13"/>
  <c r="BW49" i="13"/>
  <c r="CU46" i="13"/>
  <c r="AA125" i="13"/>
  <c r="AY117" i="13"/>
  <c r="BW113" i="13"/>
  <c r="BW128" i="13"/>
  <c r="CU124" i="13"/>
  <c r="AA14" i="14"/>
  <c r="BW14" i="14"/>
  <c r="CU42" i="13"/>
  <c r="AY113" i="13"/>
  <c r="CU121" i="13"/>
  <c r="AY42" i="13"/>
  <c r="BW38" i="13"/>
  <c r="BW53" i="13"/>
  <c r="CU49" i="13"/>
  <c r="AA121" i="13"/>
  <c r="AY121" i="13"/>
  <c r="BW117" i="13"/>
  <c r="CU113" i="13"/>
  <c r="CU128" i="13"/>
  <c r="AY46" i="13"/>
  <c r="BW42" i="13"/>
  <c r="CU38" i="13"/>
  <c r="CU53" i="13"/>
  <c r="AY124" i="13"/>
  <c r="CU117" i="13"/>
  <c r="E152" i="13"/>
  <c r="E148" i="13"/>
  <c r="E144" i="13"/>
  <c r="E140" i="13"/>
  <c r="CW143" i="14"/>
  <c r="BA143" i="14"/>
  <c r="BA146" i="15"/>
  <c r="AC138" i="16"/>
  <c r="BY138" i="16"/>
  <c r="CW140" i="14"/>
  <c r="BY139" i="13"/>
  <c r="BY143" i="13"/>
  <c r="BY147" i="13"/>
  <c r="BY151" i="13"/>
  <c r="CW141" i="13"/>
  <c r="CW145" i="13"/>
  <c r="CW147" i="14"/>
  <c r="BA148" i="15"/>
  <c r="CW138" i="15"/>
  <c r="CW146" i="15"/>
  <c r="CW148" i="15"/>
  <c r="BY140" i="16"/>
  <c r="BY142" i="16"/>
  <c r="BY144" i="16"/>
  <c r="BY148" i="16"/>
  <c r="BY152" i="16"/>
  <c r="CW153" i="16"/>
  <c r="BY140" i="14"/>
  <c r="AC139" i="15"/>
  <c r="BA150" i="15"/>
  <c r="BA152" i="15"/>
  <c r="CW150" i="15"/>
  <c r="CW141" i="16"/>
  <c r="AC153" i="14"/>
  <c r="AC145" i="14"/>
  <c r="E146" i="15"/>
  <c r="AC141" i="13"/>
  <c r="AC145" i="13"/>
  <c r="AC149" i="13"/>
  <c r="AC153" i="13"/>
  <c r="BA139" i="13"/>
  <c r="BA143" i="13"/>
  <c r="BA147" i="13"/>
  <c r="BA151" i="13"/>
  <c r="BY145" i="13"/>
  <c r="BY149" i="13"/>
  <c r="E144" i="14"/>
  <c r="E144" i="15"/>
  <c r="AC138" i="15"/>
  <c r="AC144" i="15"/>
  <c r="BY142" i="15"/>
  <c r="BY144" i="15"/>
  <c r="BY146" i="15"/>
  <c r="BY148" i="15"/>
  <c r="BY150" i="15"/>
  <c r="BY152" i="15"/>
  <c r="E144" i="16"/>
  <c r="E148" i="16"/>
  <c r="BA138" i="16"/>
  <c r="BA144" i="16"/>
  <c r="BA148" i="16"/>
  <c r="BA152" i="16"/>
  <c r="CW138" i="16"/>
  <c r="CW148" i="16"/>
  <c r="CW150" i="16"/>
  <c r="E150" i="15"/>
  <c r="E149" i="14"/>
  <c r="AC151" i="14"/>
  <c r="AC147" i="14"/>
  <c r="AC143" i="14"/>
  <c r="BA151" i="14"/>
  <c r="BA139" i="14"/>
  <c r="BY138" i="14"/>
  <c r="BY150" i="14"/>
  <c r="BY146" i="14"/>
  <c r="BY142" i="14"/>
  <c r="CW138" i="14"/>
  <c r="CW150" i="14"/>
  <c r="CW146" i="14"/>
  <c r="CW151" i="14"/>
  <c r="E143" i="15"/>
  <c r="CW139" i="14"/>
  <c r="CW148" i="14"/>
  <c r="E147" i="15"/>
  <c r="E151" i="15"/>
  <c r="BA141" i="13"/>
  <c r="BA145" i="13"/>
  <c r="BA149" i="13"/>
  <c r="BA153" i="13"/>
  <c r="BY141" i="13"/>
  <c r="E153" i="14"/>
  <c r="CW142" i="14"/>
  <c r="E140" i="15"/>
  <c r="E151" i="13"/>
  <c r="E143" i="13"/>
  <c r="BA147" i="14"/>
  <c r="E142" i="13"/>
  <c r="AC139" i="13"/>
  <c r="BY148" i="13"/>
  <c r="BY144" i="13"/>
  <c r="E152" i="14"/>
  <c r="E148" i="14"/>
  <c r="E140" i="14"/>
  <c r="BY153" i="14"/>
  <c r="BY145" i="14"/>
  <c r="BY141" i="14"/>
  <c r="CW149" i="14"/>
  <c r="CW145" i="14"/>
  <c r="E153" i="15"/>
  <c r="E149" i="15"/>
  <c r="E145" i="15"/>
  <c r="E141" i="15"/>
  <c r="AC145" i="15"/>
  <c r="AC149" i="15"/>
  <c r="AC153" i="15"/>
  <c r="BY145" i="15"/>
  <c r="BY149" i="15"/>
  <c r="BY153" i="15"/>
  <c r="CW139" i="15"/>
  <c r="CW143" i="15"/>
  <c r="CW147" i="15"/>
  <c r="CW151" i="15"/>
  <c r="AC141" i="16"/>
  <c r="AC145" i="16"/>
  <c r="AC149" i="16"/>
  <c r="AC153" i="16"/>
  <c r="BA139" i="16"/>
  <c r="BA143" i="16"/>
  <c r="BA147" i="16"/>
  <c r="BA151" i="16"/>
  <c r="BY145" i="16"/>
  <c r="BY149" i="16"/>
  <c r="BY153" i="16"/>
  <c r="CW139" i="16"/>
  <c r="CW145" i="16"/>
  <c r="E151" i="14"/>
  <c r="E147" i="14"/>
  <c r="E139" i="14"/>
  <c r="E138" i="15"/>
  <c r="E152" i="15"/>
  <c r="CW149" i="13"/>
  <c r="CW153" i="13"/>
  <c r="E138" i="14"/>
  <c r="AC152" i="14"/>
  <c r="AC148" i="14"/>
  <c r="AC144" i="14"/>
  <c r="BA150" i="14"/>
  <c r="BA142" i="14"/>
  <c r="BY139" i="14"/>
  <c r="AC142" i="15"/>
  <c r="AC147" i="15"/>
  <c r="AC151" i="15"/>
  <c r="CW141" i="15"/>
  <c r="E152" i="16"/>
  <c r="BA141" i="16"/>
  <c r="BY139" i="16"/>
  <c r="CW143" i="16"/>
  <c r="E151" i="16"/>
  <c r="BA146" i="16"/>
  <c r="BA150" i="16"/>
  <c r="E143" i="16"/>
  <c r="E146" i="16"/>
  <c r="BY141" i="16"/>
  <c r="BY146" i="16"/>
  <c r="BY150" i="16"/>
  <c r="CW144" i="16"/>
  <c r="CW146" i="16"/>
  <c r="CW151" i="16"/>
  <c r="E145" i="16"/>
  <c r="E147" i="16"/>
  <c r="E150" i="16"/>
  <c r="AC139" i="16"/>
  <c r="AC143" i="16"/>
  <c r="AC147" i="16"/>
  <c r="AC151" i="16"/>
  <c r="BA140" i="16"/>
  <c r="BA142" i="16"/>
  <c r="BA145" i="16"/>
  <c r="BA149" i="16"/>
  <c r="BA153" i="16"/>
  <c r="BY143" i="16"/>
  <c r="BY147" i="16"/>
  <c r="BY151" i="16"/>
  <c r="CW140" i="16"/>
  <c r="CW142" i="16"/>
  <c r="CW147" i="16"/>
  <c r="CW149" i="16"/>
  <c r="CW152" i="16"/>
  <c r="AC148" i="15"/>
  <c r="AC152" i="15"/>
  <c r="BA138" i="15"/>
  <c r="BA139" i="15"/>
  <c r="BA141" i="15"/>
  <c r="BA145" i="15"/>
  <c r="BA149" i="15"/>
  <c r="BA153" i="15"/>
  <c r="BY143" i="15"/>
  <c r="BY151" i="15"/>
  <c r="AC140" i="15"/>
  <c r="CW152" i="15"/>
  <c r="AC141" i="15"/>
  <c r="AC143" i="15"/>
  <c r="AC146" i="15"/>
  <c r="AC150" i="15"/>
  <c r="BA140" i="15"/>
  <c r="BA143" i="15"/>
  <c r="BA147" i="15"/>
  <c r="BA151" i="15"/>
  <c r="BY147" i="15"/>
  <c r="CW140" i="15"/>
  <c r="CW145" i="15"/>
  <c r="CW149" i="15"/>
  <c r="CW153" i="15"/>
  <c r="BW12" i="14"/>
  <c r="CU13" i="14"/>
  <c r="BW13" i="14"/>
  <c r="AY13" i="14"/>
  <c r="BA138" i="14"/>
  <c r="BA146" i="14"/>
  <c r="BY149" i="14"/>
  <c r="E145" i="14"/>
  <c r="E141" i="14"/>
  <c r="AC150" i="14"/>
  <c r="AC142" i="14"/>
  <c r="BA153" i="14"/>
  <c r="BA149" i="14"/>
  <c r="BA145" i="14"/>
  <c r="BA141" i="14"/>
  <c r="CW144" i="14"/>
  <c r="AC149" i="14"/>
  <c r="BY143" i="14"/>
  <c r="AA22" i="13"/>
  <c r="AA18" i="13"/>
  <c r="AY22" i="13"/>
  <c r="BW26" i="13"/>
  <c r="CU26" i="13"/>
  <c r="CU14" i="13"/>
  <c r="AA48" i="13"/>
  <c r="AY48" i="13"/>
  <c r="AA119" i="13"/>
  <c r="AY123" i="13"/>
  <c r="BW123" i="13"/>
  <c r="CU123" i="13"/>
  <c r="CU51" i="13"/>
  <c r="BW51" i="13"/>
  <c r="AY51" i="13"/>
  <c r="CU39" i="13"/>
  <c r="BW39" i="13"/>
  <c r="AY39" i="13"/>
  <c r="CU118" i="13"/>
  <c r="BW118" i="13"/>
  <c r="AY118" i="13"/>
  <c r="AA21" i="13"/>
  <c r="AY21" i="13"/>
  <c r="BW25" i="13"/>
  <c r="BW13" i="13"/>
  <c r="CU21" i="13"/>
  <c r="AA51" i="13"/>
  <c r="AY44" i="13"/>
  <c r="BW44" i="13"/>
  <c r="CU44" i="13"/>
  <c r="AA118" i="13"/>
  <c r="AY119" i="13"/>
  <c r="CU119" i="13"/>
  <c r="CW140" i="13"/>
  <c r="AA26" i="13"/>
  <c r="AY14" i="13"/>
  <c r="BW18" i="13"/>
  <c r="CU22" i="13"/>
  <c r="CU43" i="13"/>
  <c r="BW43" i="13"/>
  <c r="AY43" i="13"/>
  <c r="CU122" i="13"/>
  <c r="BW122" i="13"/>
  <c r="AY122" i="13"/>
  <c r="AA25" i="13"/>
  <c r="AA13" i="13"/>
  <c r="AY17" i="13"/>
  <c r="CU25" i="13"/>
  <c r="CU17" i="13"/>
  <c r="AA12" i="13"/>
  <c r="AA24" i="13"/>
  <c r="AA20" i="13"/>
  <c r="AA16" i="13"/>
  <c r="AY12" i="13"/>
  <c r="AY24" i="13"/>
  <c r="AY20" i="13"/>
  <c r="AY16" i="13"/>
  <c r="BW12" i="13"/>
  <c r="BW24" i="13"/>
  <c r="BW20" i="13"/>
  <c r="BW16" i="13"/>
  <c r="AA50" i="13"/>
  <c r="AY40" i="13"/>
  <c r="AY45" i="13"/>
  <c r="AY50" i="13"/>
  <c r="BW40" i="13"/>
  <c r="BW45" i="13"/>
  <c r="BW50" i="13"/>
  <c r="CU40" i="13"/>
  <c r="CU45" i="13"/>
  <c r="AA127" i="13"/>
  <c r="AA122" i="13"/>
  <c r="AY115" i="13"/>
  <c r="AY120" i="13"/>
  <c r="AY125" i="13"/>
  <c r="BW115" i="13"/>
  <c r="BW120" i="13"/>
  <c r="BW125" i="13"/>
  <c r="CU115" i="13"/>
  <c r="CU120" i="13"/>
  <c r="E147" i="13"/>
  <c r="E139" i="13"/>
  <c r="BY152" i="13"/>
  <c r="AA14" i="13"/>
  <c r="AY18" i="13"/>
  <c r="AA52" i="13"/>
  <c r="BW48" i="13"/>
  <c r="CU47" i="13"/>
  <c r="BW47" i="13"/>
  <c r="AY47" i="13"/>
  <c r="CU126" i="13"/>
  <c r="BW126" i="13"/>
  <c r="AY126" i="13"/>
  <c r="CU114" i="13"/>
  <c r="BW114" i="13"/>
  <c r="AY114" i="13"/>
  <c r="AA17" i="13"/>
  <c r="AY13" i="13"/>
  <c r="AA27" i="13"/>
  <c r="AA23" i="13"/>
  <c r="AA19" i="13"/>
  <c r="AA15" i="13"/>
  <c r="AY27" i="13"/>
  <c r="AY23" i="13"/>
  <c r="AY19" i="13"/>
  <c r="AY15" i="13"/>
  <c r="BW27" i="13"/>
  <c r="BW23" i="13"/>
  <c r="BW19" i="13"/>
  <c r="BW15" i="13"/>
  <c r="AY41" i="13"/>
  <c r="AY52" i="13"/>
  <c r="BW41" i="13"/>
  <c r="BW52" i="13"/>
  <c r="CU41" i="13"/>
  <c r="AA126" i="13"/>
  <c r="AY116" i="13"/>
  <c r="AY127" i="13"/>
  <c r="BW116" i="13"/>
  <c r="BW127" i="13"/>
  <c r="CU116" i="13"/>
  <c r="E149" i="13"/>
  <c r="E141" i="13"/>
  <c r="AC140" i="13"/>
  <c r="AC143" i="13"/>
  <c r="AC144" i="13"/>
  <c r="AC147" i="13"/>
  <c r="AC148" i="13"/>
  <c r="AC151" i="13"/>
  <c r="AC152" i="13"/>
  <c r="CW139" i="13"/>
  <c r="CW143" i="13"/>
  <c r="CW144" i="13"/>
  <c r="CW147" i="13"/>
  <c r="CW148" i="13"/>
  <c r="CW151" i="13"/>
  <c r="CW152" i="13"/>
  <c r="BY150" i="13"/>
  <c r="BY146" i="13"/>
  <c r="BY142" i="13"/>
  <c r="E138" i="16"/>
  <c r="E139" i="16"/>
  <c r="E140" i="16"/>
  <c r="E141" i="16"/>
  <c r="E142" i="16"/>
  <c r="BY138" i="15"/>
  <c r="BY139" i="15"/>
  <c r="BY140" i="15"/>
  <c r="BY141" i="15"/>
  <c r="AC138" i="14"/>
  <c r="AC139" i="14"/>
  <c r="AC140" i="14"/>
  <c r="AC141" i="14"/>
  <c r="E150" i="14"/>
  <c r="CW142" i="13"/>
  <c r="BA140" i="13"/>
  <c r="BA144" i="13"/>
  <c r="BA148" i="13"/>
  <c r="BA152" i="13"/>
  <c r="AC150" i="13"/>
  <c r="E150" i="13"/>
  <c r="E146" i="13"/>
  <c r="AA16" i="14"/>
  <c r="AY16" i="14"/>
  <c r="BW16" i="14"/>
  <c r="P46" i="2" l="1"/>
  <c r="I46" i="2"/>
  <c r="Q46" i="2" l="1"/>
  <c r="R46" i="2" s="1"/>
  <c r="J46" i="2"/>
  <c r="K46" i="2" s="1"/>
  <c r="I35" i="1" l="1"/>
  <c r="E35" i="1"/>
  <c r="I32" i="1"/>
  <c r="E32" i="1"/>
  <c r="F29" i="1"/>
  <c r="G29" i="1"/>
  <c r="H29" i="1"/>
  <c r="I29" i="1"/>
  <c r="E29" i="1"/>
  <c r="H35" i="1" l="1"/>
  <c r="G35" i="1"/>
  <c r="F35" i="1"/>
  <c r="H32" i="1"/>
  <c r="G32" i="1"/>
  <c r="F32" i="1"/>
  <c r="L37" i="2"/>
  <c r="L34" i="2"/>
  <c r="L31" i="2"/>
  <c r="E37" i="2"/>
  <c r="E34" i="2"/>
  <c r="E31" i="2"/>
  <c r="I38" i="2"/>
  <c r="I35" i="2"/>
  <c r="I32" i="2"/>
  <c r="P38" i="2"/>
  <c r="P35" i="2"/>
  <c r="P32" i="2"/>
  <c r="S31" i="2"/>
  <c r="W32" i="2"/>
  <c r="S34" i="2"/>
  <c r="W35" i="2"/>
  <c r="S37" i="2"/>
  <c r="W38" i="2"/>
  <c r="Z31" i="2"/>
  <c r="AD32" i="2"/>
  <c r="Z34" i="2"/>
  <c r="AD35" i="2"/>
  <c r="Z37" i="2"/>
  <c r="AD38" i="2"/>
  <c r="Z55" i="2"/>
  <c r="S55" i="2"/>
  <c r="Z52" i="2"/>
  <c r="S52" i="2"/>
  <c r="E49" i="2"/>
  <c r="L55" i="2"/>
  <c r="L52" i="2"/>
  <c r="L49" i="2"/>
  <c r="E55" i="2"/>
  <c r="E52" i="2"/>
  <c r="AD56" i="2"/>
  <c r="AD53" i="2"/>
  <c r="W56" i="2"/>
  <c r="W53" i="2"/>
  <c r="P56" i="2"/>
  <c r="P53" i="2"/>
  <c r="I56" i="2"/>
  <c r="I53" i="2"/>
  <c r="Z49" i="2"/>
  <c r="S49" i="2"/>
  <c r="Z47" i="2"/>
  <c r="AD47" i="2"/>
  <c r="S47" i="2"/>
  <c r="W47" i="2"/>
  <c r="L47" i="2"/>
  <c r="P47" i="2"/>
  <c r="I47" i="2"/>
  <c r="E47" i="2"/>
  <c r="M40" i="10" l="1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93" i="10"/>
  <c r="M95" i="10"/>
  <c r="M97" i="10"/>
  <c r="M99" i="10"/>
  <c r="M101" i="10"/>
  <c r="M103" i="10"/>
  <c r="M105" i="10"/>
  <c r="M94" i="10"/>
  <c r="M102" i="10"/>
  <c r="M100" i="10"/>
  <c r="M96" i="10"/>
  <c r="M104" i="10"/>
  <c r="M98" i="10"/>
  <c r="M106" i="10"/>
  <c r="M92" i="10"/>
  <c r="M22" i="10"/>
  <c r="M19" i="10"/>
  <c r="M28" i="10"/>
  <c r="M25" i="10"/>
  <c r="M16" i="10"/>
  <c r="M69" i="10"/>
  <c r="M73" i="10"/>
  <c r="M77" i="10"/>
  <c r="M68" i="10"/>
  <c r="M72" i="10"/>
  <c r="M76" i="10"/>
  <c r="M80" i="10"/>
  <c r="M70" i="10"/>
  <c r="M74" i="10"/>
  <c r="M78" i="10"/>
  <c r="M67" i="10"/>
  <c r="M71" i="10"/>
  <c r="M75" i="10"/>
  <c r="M79" i="10"/>
  <c r="M66" i="10"/>
  <c r="J47" i="2"/>
  <c r="K47" i="2" s="1"/>
  <c r="AE47" i="2"/>
  <c r="AF47" i="2" s="1"/>
  <c r="X47" i="2"/>
  <c r="Y47" i="2" s="1"/>
  <c r="Q47" i="2"/>
  <c r="R47" i="2" s="1"/>
  <c r="C104" i="3" l="1"/>
  <c r="N41" i="20" l="1"/>
  <c r="Q36" i="7" l="1"/>
  <c r="W54" i="7"/>
  <c r="W58" i="7"/>
  <c r="I133" i="7"/>
  <c r="R58" i="7"/>
  <c r="H133" i="7"/>
  <c r="M58" i="7"/>
  <c r="H58" i="7"/>
  <c r="H122" i="7"/>
  <c r="M122" i="7"/>
  <c r="R122" i="7"/>
  <c r="W122" i="7"/>
  <c r="M54" i="7"/>
  <c r="H54" i="7"/>
  <c r="I143" i="7"/>
  <c r="H143" i="7"/>
  <c r="G143" i="7"/>
  <c r="F143" i="7"/>
  <c r="Q122" i="7"/>
  <c r="M115" i="7"/>
  <c r="H115" i="7"/>
  <c r="C114" i="7"/>
  <c r="C113" i="7"/>
  <c r="D112" i="7"/>
  <c r="C112" i="7"/>
  <c r="C111" i="7"/>
  <c r="D109" i="7"/>
  <c r="D108" i="7"/>
  <c r="C108" i="7"/>
  <c r="C110" i="7" s="1"/>
  <c r="W105" i="7"/>
  <c r="R105" i="7"/>
  <c r="C104" i="7"/>
  <c r="Q104" i="7" s="1"/>
  <c r="Q105" i="7" s="1"/>
  <c r="G133" i="7"/>
  <c r="F133" i="7"/>
  <c r="W72" i="7"/>
  <c r="R72" i="7"/>
  <c r="I132" i="7"/>
  <c r="G132" i="7"/>
  <c r="F132" i="7"/>
  <c r="I142" i="7"/>
  <c r="H140" i="7" l="1"/>
  <c r="F92" i="5"/>
  <c r="G108" i="7"/>
  <c r="G115" i="7" s="1"/>
  <c r="F142" i="7" s="1"/>
  <c r="L108" i="7"/>
  <c r="L115" i="7" s="1"/>
  <c r="G142" i="7" s="1"/>
  <c r="V104" i="7"/>
  <c r="V105" i="7" s="1"/>
  <c r="I140" i="7" l="1"/>
  <c r="G92" i="5"/>
  <c r="W85" i="7"/>
  <c r="R85" i="7"/>
  <c r="M85" i="7"/>
  <c r="H85" i="7"/>
  <c r="C84" i="7"/>
  <c r="C83" i="7"/>
  <c r="C82" i="7"/>
  <c r="D81" i="7"/>
  <c r="C81" i="7"/>
  <c r="C80" i="7"/>
  <c r="D79" i="7"/>
  <c r="C79" i="7"/>
  <c r="D78" i="7"/>
  <c r="C78" i="7"/>
  <c r="C77" i="7"/>
  <c r="D75" i="7"/>
  <c r="C75" i="7"/>
  <c r="C76" i="7" s="1"/>
  <c r="G76" i="7" s="1"/>
  <c r="P125" i="3"/>
  <c r="K125" i="3"/>
  <c r="F125" i="3"/>
  <c r="L76" i="7" l="1"/>
  <c r="Q76" i="7"/>
  <c r="Q85" i="7" s="1"/>
  <c r="V76" i="7"/>
  <c r="V85" i="7" s="1"/>
  <c r="G85" i="7"/>
  <c r="L85" i="7"/>
  <c r="G65" i="5"/>
  <c r="P50" i="2"/>
  <c r="I50" i="2"/>
  <c r="F129" i="7" l="1"/>
  <c r="D82" i="5"/>
  <c r="I129" i="7"/>
  <c r="G82" i="5"/>
  <c r="H129" i="7"/>
  <c r="F82" i="5"/>
  <c r="G129" i="7"/>
  <c r="E82" i="5"/>
  <c r="AD61" i="2"/>
  <c r="Z61" i="2"/>
  <c r="Z25" i="2"/>
  <c r="Z26" i="2"/>
  <c r="Z29" i="2"/>
  <c r="Z23" i="2"/>
  <c r="S25" i="2"/>
  <c r="S26" i="2"/>
  <c r="S29" i="2"/>
  <c r="S23" i="2"/>
  <c r="L60" i="2"/>
  <c r="L29" i="2"/>
  <c r="L45" i="2"/>
  <c r="P60" i="2"/>
  <c r="P45" i="2"/>
  <c r="L26" i="2"/>
  <c r="L25" i="2"/>
  <c r="L23" i="2"/>
  <c r="L20" i="2"/>
  <c r="I45" i="2"/>
  <c r="E45" i="2"/>
  <c r="E29" i="2"/>
  <c r="E26" i="2"/>
  <c r="E25" i="2"/>
  <c r="E20" i="2"/>
  <c r="K41" i="10" l="1"/>
  <c r="K40" i="10"/>
  <c r="J45" i="2"/>
  <c r="S92" i="10"/>
  <c r="S94" i="10"/>
  <c r="S96" i="10"/>
  <c r="S98" i="10"/>
  <c r="S100" i="10"/>
  <c r="S102" i="10"/>
  <c r="S104" i="10"/>
  <c r="S106" i="10"/>
  <c r="S93" i="10"/>
  <c r="S101" i="10"/>
  <c r="S95" i="10"/>
  <c r="S103" i="10"/>
  <c r="S97" i="10"/>
  <c r="S105" i="10"/>
  <c r="S99" i="10"/>
  <c r="K15" i="10"/>
  <c r="U15" i="10" s="1"/>
  <c r="K19" i="10"/>
  <c r="K16" i="10"/>
  <c r="K20" i="10"/>
  <c r="U20" i="10" s="1"/>
  <c r="K14" i="10"/>
  <c r="U14" i="10" s="1"/>
  <c r="K22" i="10"/>
  <c r="K17" i="10"/>
  <c r="U17" i="10" s="1"/>
  <c r="K18" i="10"/>
  <c r="U18" i="10" s="1"/>
  <c r="K21" i="10"/>
  <c r="U21" i="10" s="1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39" i="10"/>
  <c r="U39" i="10" s="1"/>
  <c r="Q45" i="2"/>
  <c r="AE61" i="2"/>
  <c r="AF61" i="2" s="1"/>
  <c r="Q60" i="2"/>
  <c r="R60" i="2" s="1"/>
  <c r="W101" i="7"/>
  <c r="I146" i="7" s="1"/>
  <c r="R101" i="7"/>
  <c r="H146" i="7" s="1"/>
  <c r="M101" i="7"/>
  <c r="G146" i="7" s="1"/>
  <c r="H101" i="7"/>
  <c r="F146" i="7" s="1"/>
  <c r="C100" i="7"/>
  <c r="C99" i="7"/>
  <c r="C98" i="7"/>
  <c r="D97" i="7"/>
  <c r="C97" i="7"/>
  <c r="C96" i="7"/>
  <c r="D95" i="7"/>
  <c r="C95" i="7"/>
  <c r="D94" i="7"/>
  <c r="C94" i="7"/>
  <c r="C93" i="7"/>
  <c r="D91" i="7"/>
  <c r="C91" i="7"/>
  <c r="C92" i="7" s="1"/>
  <c r="M72" i="7"/>
  <c r="H72" i="7"/>
  <c r="C71" i="7"/>
  <c r="C70" i="7"/>
  <c r="D69" i="7"/>
  <c r="C69" i="7"/>
  <c r="C68" i="7"/>
  <c r="D66" i="7"/>
  <c r="D65" i="7"/>
  <c r="C65" i="7"/>
  <c r="C67" i="7" s="1"/>
  <c r="W62" i="7"/>
  <c r="R62" i="7"/>
  <c r="C61" i="7"/>
  <c r="V61" i="7" s="1"/>
  <c r="V62" i="7" s="1"/>
  <c r="R54" i="7"/>
  <c r="D53" i="7"/>
  <c r="C53" i="7"/>
  <c r="D52" i="7"/>
  <c r="Q52" i="7" s="1"/>
  <c r="C52" i="7"/>
  <c r="C51" i="7"/>
  <c r="C50" i="7"/>
  <c r="D49" i="7"/>
  <c r="C49" i="7"/>
  <c r="C48" i="7"/>
  <c r="D47" i="7"/>
  <c r="C47" i="7"/>
  <c r="D46" i="7"/>
  <c r="C46" i="7"/>
  <c r="C45" i="7"/>
  <c r="D44" i="7"/>
  <c r="C44" i="7"/>
  <c r="D43" i="7"/>
  <c r="C43" i="7"/>
  <c r="D42" i="7"/>
  <c r="C42" i="7"/>
  <c r="D41" i="7"/>
  <c r="C41" i="7"/>
  <c r="D40" i="7"/>
  <c r="C40" i="7"/>
  <c r="D39" i="7"/>
  <c r="C39" i="7"/>
  <c r="S20" i="2"/>
  <c r="CC113" i="15" l="1"/>
  <c r="AG113" i="15"/>
  <c r="DA113" i="14"/>
  <c r="BE113" i="14"/>
  <c r="I113" i="14"/>
  <c r="CC113" i="13"/>
  <c r="AG113" i="13"/>
  <c r="DA113" i="15"/>
  <c r="BE113" i="15"/>
  <c r="I113" i="15"/>
  <c r="CC113" i="14"/>
  <c r="AG113" i="14"/>
  <c r="DA113" i="13"/>
  <c r="BE113" i="13"/>
  <c r="I113" i="13"/>
  <c r="DA93" i="15"/>
  <c r="BE93" i="15"/>
  <c r="I93" i="15"/>
  <c r="CC93" i="14"/>
  <c r="AG93" i="14"/>
  <c r="DA93" i="13"/>
  <c r="BE93" i="13"/>
  <c r="I93" i="13"/>
  <c r="BE93" i="14"/>
  <c r="AG93" i="13"/>
  <c r="CC93" i="15"/>
  <c r="AG93" i="15"/>
  <c r="DA93" i="14"/>
  <c r="I93" i="14"/>
  <c r="CC93" i="13"/>
  <c r="CC95" i="15"/>
  <c r="AG95" i="15"/>
  <c r="DA95" i="14"/>
  <c r="BE95" i="14"/>
  <c r="I95" i="14"/>
  <c r="CC95" i="13"/>
  <c r="AG95" i="13"/>
  <c r="DA95" i="15"/>
  <c r="BE95" i="15"/>
  <c r="I95" i="15"/>
  <c r="CC95" i="14"/>
  <c r="AG95" i="14"/>
  <c r="DA95" i="13"/>
  <c r="BE95" i="13"/>
  <c r="I95" i="13"/>
  <c r="DA92" i="15"/>
  <c r="BE92" i="15"/>
  <c r="I92" i="15"/>
  <c r="CC92" i="14"/>
  <c r="AG92" i="14"/>
  <c r="DA92" i="13"/>
  <c r="BE92" i="13"/>
  <c r="I92" i="13"/>
  <c r="CC92" i="15"/>
  <c r="AG92" i="15"/>
  <c r="DA92" i="14"/>
  <c r="BE92" i="14"/>
  <c r="I92" i="14"/>
  <c r="CC92" i="13"/>
  <c r="AG92" i="13"/>
  <c r="DA96" i="15"/>
  <c r="BE96" i="15"/>
  <c r="I96" i="15"/>
  <c r="CC96" i="14"/>
  <c r="AG96" i="14"/>
  <c r="DA96" i="13"/>
  <c r="BE96" i="13"/>
  <c r="I96" i="13"/>
  <c r="CC96" i="15"/>
  <c r="AG96" i="15"/>
  <c r="DA96" i="14"/>
  <c r="BE96" i="14"/>
  <c r="I96" i="14"/>
  <c r="CC96" i="13"/>
  <c r="AG96" i="13"/>
  <c r="DA89" i="15"/>
  <c r="BE89" i="15"/>
  <c r="I89" i="15"/>
  <c r="CC89" i="14"/>
  <c r="AG89" i="14"/>
  <c r="DA89" i="13"/>
  <c r="BE89" i="13"/>
  <c r="I89" i="13"/>
  <c r="CC89" i="15"/>
  <c r="AG89" i="15"/>
  <c r="DA89" i="14"/>
  <c r="BE89" i="14"/>
  <c r="I89" i="14"/>
  <c r="CC89" i="13"/>
  <c r="AG89" i="13"/>
  <c r="CC90" i="15"/>
  <c r="AG90" i="15"/>
  <c r="DA90" i="14"/>
  <c r="BE90" i="14"/>
  <c r="I90" i="14"/>
  <c r="CC90" i="13"/>
  <c r="AG90" i="13"/>
  <c r="DA90" i="15"/>
  <c r="BE90" i="15"/>
  <c r="I90" i="15"/>
  <c r="CC90" i="14"/>
  <c r="AG90" i="14"/>
  <c r="DA90" i="13"/>
  <c r="BE90" i="13"/>
  <c r="I90" i="13"/>
  <c r="I131" i="7"/>
  <c r="G86" i="5"/>
  <c r="Z28" i="2" s="1"/>
  <c r="DA89" i="16"/>
  <c r="CC89" i="16"/>
  <c r="BE89" i="16"/>
  <c r="AG89" i="16"/>
  <c r="I89" i="16"/>
  <c r="DA113" i="16"/>
  <c r="CC113" i="16"/>
  <c r="BE113" i="16"/>
  <c r="AG113" i="16"/>
  <c r="I113" i="16"/>
  <c r="DA96" i="16"/>
  <c r="CC96" i="16"/>
  <c r="BE96" i="16"/>
  <c r="AG96" i="16"/>
  <c r="I96" i="16"/>
  <c r="DA90" i="16"/>
  <c r="CC90" i="16"/>
  <c r="BE90" i="16"/>
  <c r="AG90" i="16"/>
  <c r="I90" i="16"/>
  <c r="DA93" i="16"/>
  <c r="CC93" i="16"/>
  <c r="BE93" i="16"/>
  <c r="AG93" i="16"/>
  <c r="I93" i="16"/>
  <c r="DA95" i="16"/>
  <c r="CC95" i="16"/>
  <c r="BE95" i="16"/>
  <c r="AG95" i="16"/>
  <c r="I95" i="16"/>
  <c r="DA92" i="16"/>
  <c r="CC92" i="16"/>
  <c r="BE92" i="16"/>
  <c r="AG92" i="16"/>
  <c r="I92" i="16"/>
  <c r="K45" i="2"/>
  <c r="R45" i="2"/>
  <c r="G65" i="7"/>
  <c r="G72" i="7" s="1"/>
  <c r="F130" i="7" s="1"/>
  <c r="V65" i="7"/>
  <c r="V72" i="7" s="1"/>
  <c r="Q65" i="7"/>
  <c r="Q72" i="7" s="1"/>
  <c r="Q92" i="7"/>
  <c r="G92" i="7"/>
  <c r="V92" i="7"/>
  <c r="V101" i="7" s="1"/>
  <c r="I141" i="7" s="1"/>
  <c r="L92" i="7"/>
  <c r="Q54" i="7"/>
  <c r="H132" i="7" s="1"/>
  <c r="L65" i="7"/>
  <c r="L72" i="7" s="1"/>
  <c r="G130" i="7" s="1"/>
  <c r="Q61" i="7"/>
  <c r="Z12" i="2"/>
  <c r="Z20" i="2"/>
  <c r="H130" i="7" l="1"/>
  <c r="I130" i="7"/>
  <c r="Q62" i="7"/>
  <c r="G101" i="7"/>
  <c r="F141" i="7" s="1"/>
  <c r="F144" i="7" s="1"/>
  <c r="Q101" i="7"/>
  <c r="H141" i="7" s="1"/>
  <c r="H144" i="7" s="1"/>
  <c r="I144" i="7"/>
  <c r="L101" i="7"/>
  <c r="G141" i="7" s="1"/>
  <c r="AC10" i="2"/>
  <c r="O10" i="2"/>
  <c r="H10" i="2"/>
  <c r="V10" i="2"/>
  <c r="AB10" i="2"/>
  <c r="U10" i="2"/>
  <c r="N10" i="2"/>
  <c r="G10" i="2"/>
  <c r="AA10" i="2"/>
  <c r="T10" i="2"/>
  <c r="M10" i="2"/>
  <c r="F10" i="2"/>
  <c r="R104" i="3"/>
  <c r="M25" i="3"/>
  <c r="H25" i="3"/>
  <c r="H35" i="3"/>
  <c r="F38" i="1"/>
  <c r="F39" i="1" s="1"/>
  <c r="G38" i="1"/>
  <c r="G39" i="1" s="1"/>
  <c r="H38" i="1"/>
  <c r="H39" i="1" s="1"/>
  <c r="I38" i="1"/>
  <c r="I39" i="1" s="1"/>
  <c r="F26" i="1"/>
  <c r="F27" i="1" s="1"/>
  <c r="G26" i="1"/>
  <c r="G27" i="1" s="1"/>
  <c r="H26" i="1"/>
  <c r="H27" i="1" s="1"/>
  <c r="I26" i="1"/>
  <c r="I27" i="1" s="1"/>
  <c r="E38" i="1"/>
  <c r="E39" i="1" s="1"/>
  <c r="E26" i="1"/>
  <c r="E27" i="1" s="1"/>
  <c r="H131" i="7" l="1"/>
  <c r="F86" i="5"/>
  <c r="S28" i="2" s="1"/>
  <c r="CV116" i="13"/>
  <c r="CV120" i="13"/>
  <c r="CV124" i="13"/>
  <c r="CV128" i="13"/>
  <c r="BX116" i="13"/>
  <c r="BX120" i="13"/>
  <c r="BX124" i="13"/>
  <c r="BX128" i="13"/>
  <c r="AZ116" i="13"/>
  <c r="AZ120" i="13"/>
  <c r="AZ124" i="13"/>
  <c r="AZ128" i="13"/>
  <c r="AB116" i="13"/>
  <c r="AB120" i="13"/>
  <c r="AB124" i="13"/>
  <c r="AB128" i="13"/>
  <c r="D116" i="13"/>
  <c r="D120" i="13"/>
  <c r="D124" i="13"/>
  <c r="D128" i="13"/>
  <c r="CV117" i="13"/>
  <c r="CV121" i="13"/>
  <c r="CV125" i="13"/>
  <c r="CV113" i="13"/>
  <c r="BX117" i="13"/>
  <c r="BX121" i="13"/>
  <c r="BX125" i="13"/>
  <c r="BX113" i="13"/>
  <c r="AZ117" i="13"/>
  <c r="AZ121" i="13"/>
  <c r="AZ125" i="13"/>
  <c r="AZ113" i="13"/>
  <c r="AB117" i="13"/>
  <c r="AB121" i="13"/>
  <c r="AB125" i="13"/>
  <c r="AB113" i="13"/>
  <c r="D117" i="13"/>
  <c r="D121" i="13"/>
  <c r="D125" i="13"/>
  <c r="D113" i="13"/>
  <c r="CV114" i="13"/>
  <c r="CV118" i="13"/>
  <c r="CV122" i="13"/>
  <c r="CV126" i="13"/>
  <c r="BX114" i="13"/>
  <c r="BX118" i="13"/>
  <c r="BX122" i="13"/>
  <c r="BX126" i="13"/>
  <c r="AZ114" i="13"/>
  <c r="AZ118" i="13"/>
  <c r="AZ122" i="13"/>
  <c r="AZ126" i="13"/>
  <c r="AB114" i="13"/>
  <c r="AB118" i="13"/>
  <c r="AB122" i="13"/>
  <c r="AB126" i="13"/>
  <c r="D114" i="13"/>
  <c r="D118" i="13"/>
  <c r="D122" i="13"/>
  <c r="D126" i="13"/>
  <c r="CV115" i="13"/>
  <c r="CV119" i="13"/>
  <c r="CV123" i="13"/>
  <c r="CV127" i="13"/>
  <c r="BX115" i="13"/>
  <c r="BX119" i="13"/>
  <c r="BX123" i="13"/>
  <c r="BX127" i="13"/>
  <c r="AZ115" i="13"/>
  <c r="AZ119" i="13"/>
  <c r="AZ123" i="13"/>
  <c r="AZ127" i="13"/>
  <c r="AB115" i="13"/>
  <c r="AB119" i="13"/>
  <c r="AB123" i="13"/>
  <c r="AB127" i="13"/>
  <c r="D115" i="13"/>
  <c r="D119" i="13"/>
  <c r="D123" i="13"/>
  <c r="D127" i="13"/>
  <c r="G144" i="7"/>
  <c r="AD50" i="2"/>
  <c r="W50" i="2"/>
  <c r="W14" i="10" l="1"/>
  <c r="W15" i="10"/>
  <c r="W17" i="10"/>
  <c r="W18" i="10"/>
  <c r="W20" i="10"/>
  <c r="W21" i="10"/>
  <c r="W23" i="10"/>
  <c r="W24" i="10"/>
  <c r="W26" i="10"/>
  <c r="W27" i="10"/>
  <c r="DD78" i="16" l="1"/>
  <c r="DD75" i="16"/>
  <c r="DD74" i="16"/>
  <c r="DD73" i="16"/>
  <c r="DD70" i="16"/>
  <c r="DD69" i="16"/>
  <c r="DD68" i="16"/>
  <c r="DD65" i="16"/>
  <c r="DD64" i="16"/>
  <c r="DD63" i="16"/>
  <c r="CD78" i="16"/>
  <c r="CD75" i="16"/>
  <c r="CD74" i="16"/>
  <c r="CD73" i="16"/>
  <c r="CD70" i="16"/>
  <c r="CD69" i="16"/>
  <c r="CD68" i="16"/>
  <c r="CD65" i="16"/>
  <c r="CD64" i="16"/>
  <c r="CD63" i="16"/>
  <c r="BD78" i="16"/>
  <c r="BD75" i="16"/>
  <c r="BD74" i="16"/>
  <c r="BD73" i="16"/>
  <c r="BD70" i="16"/>
  <c r="BD69" i="16"/>
  <c r="BD68" i="16"/>
  <c r="BD65" i="16"/>
  <c r="BD64" i="16"/>
  <c r="BD63" i="16"/>
  <c r="AD78" i="16"/>
  <c r="AD75" i="16"/>
  <c r="AD74" i="16"/>
  <c r="AD73" i="16"/>
  <c r="AD70" i="16"/>
  <c r="AD69" i="16"/>
  <c r="AD68" i="16"/>
  <c r="AD65" i="16"/>
  <c r="AD64" i="16"/>
  <c r="AD63" i="16"/>
  <c r="D78" i="16"/>
  <c r="D75" i="16"/>
  <c r="D74" i="16"/>
  <c r="D73" i="16"/>
  <c r="D70" i="16"/>
  <c r="D69" i="16"/>
  <c r="D68" i="16"/>
  <c r="D65" i="16"/>
  <c r="D64" i="16"/>
  <c r="D63" i="16"/>
  <c r="DD78" i="15"/>
  <c r="DD75" i="15"/>
  <c r="DD74" i="15"/>
  <c r="DD73" i="15"/>
  <c r="DD70" i="15"/>
  <c r="DD69" i="15"/>
  <c r="DD68" i="15"/>
  <c r="DD65" i="15"/>
  <c r="DD64" i="15"/>
  <c r="DD63" i="15"/>
  <c r="CD78" i="15"/>
  <c r="CD75" i="15"/>
  <c r="CD74" i="15"/>
  <c r="CD73" i="15"/>
  <c r="CD70" i="15"/>
  <c r="CD69" i="15"/>
  <c r="CD68" i="15"/>
  <c r="CD65" i="15"/>
  <c r="CD64" i="15"/>
  <c r="CD63" i="15"/>
  <c r="BD78" i="15"/>
  <c r="BD75" i="15"/>
  <c r="BD74" i="15"/>
  <c r="BD73" i="15"/>
  <c r="BD70" i="15"/>
  <c r="BD69" i="15"/>
  <c r="BD68" i="15"/>
  <c r="BD65" i="15"/>
  <c r="BD64" i="15"/>
  <c r="BD63" i="15"/>
  <c r="AD78" i="15"/>
  <c r="AD75" i="15"/>
  <c r="AD74" i="15"/>
  <c r="AD73" i="15"/>
  <c r="AD70" i="15"/>
  <c r="AD69" i="15"/>
  <c r="AD68" i="15"/>
  <c r="AD65" i="15"/>
  <c r="AD64" i="15"/>
  <c r="AD63" i="15"/>
  <c r="D78" i="15"/>
  <c r="D75" i="15"/>
  <c r="D74" i="15"/>
  <c r="D73" i="15"/>
  <c r="D70" i="15"/>
  <c r="D69" i="15"/>
  <c r="D68" i="15"/>
  <c r="D65" i="15"/>
  <c r="D64" i="15"/>
  <c r="D63" i="15"/>
  <c r="DD78" i="14"/>
  <c r="DD75" i="14"/>
  <c r="DD74" i="14"/>
  <c r="DD73" i="14"/>
  <c r="DD70" i="14"/>
  <c r="DD69" i="14"/>
  <c r="DD68" i="14"/>
  <c r="DD65" i="14"/>
  <c r="DD64" i="14"/>
  <c r="DD63" i="14"/>
  <c r="CD78" i="14"/>
  <c r="CD75" i="14"/>
  <c r="CD74" i="14"/>
  <c r="CD73" i="14"/>
  <c r="CD70" i="14"/>
  <c r="CD69" i="14"/>
  <c r="CD68" i="14"/>
  <c r="CD65" i="14"/>
  <c r="CD64" i="14"/>
  <c r="CD63" i="14"/>
  <c r="BD63" i="14"/>
  <c r="BD78" i="14"/>
  <c r="BD75" i="14"/>
  <c r="BD74" i="14"/>
  <c r="BD73" i="14"/>
  <c r="BD70" i="14"/>
  <c r="BD69" i="14"/>
  <c r="BD68" i="14"/>
  <c r="BD65" i="14"/>
  <c r="BD64" i="14"/>
  <c r="AD78" i="14"/>
  <c r="AD75" i="14"/>
  <c r="AD74" i="14"/>
  <c r="AD73" i="14"/>
  <c r="AD70" i="14"/>
  <c r="AD69" i="14"/>
  <c r="AD68" i="14"/>
  <c r="AD65" i="14"/>
  <c r="AD64" i="14"/>
  <c r="AD63" i="14"/>
  <c r="D78" i="14"/>
  <c r="D75" i="14"/>
  <c r="D74" i="14"/>
  <c r="D73" i="14"/>
  <c r="D70" i="14"/>
  <c r="D69" i="14"/>
  <c r="D68" i="14"/>
  <c r="D65" i="14"/>
  <c r="D64" i="14"/>
  <c r="D63" i="14"/>
  <c r="DD78" i="13"/>
  <c r="DD75" i="13"/>
  <c r="DD74" i="13"/>
  <c r="DD73" i="13"/>
  <c r="DD70" i="13"/>
  <c r="DD69" i="13"/>
  <c r="DD68" i="13"/>
  <c r="DD65" i="13"/>
  <c r="DD64" i="13"/>
  <c r="DD63" i="13"/>
  <c r="CD78" i="13"/>
  <c r="CD75" i="13"/>
  <c r="CD74" i="13"/>
  <c r="CD73" i="13"/>
  <c r="CD70" i="13"/>
  <c r="CD69" i="13"/>
  <c r="CD68" i="13"/>
  <c r="CD65" i="13"/>
  <c r="CD64" i="13"/>
  <c r="CD63" i="13"/>
  <c r="BD78" i="13"/>
  <c r="BD75" i="13"/>
  <c r="BD74" i="13"/>
  <c r="BD73" i="13"/>
  <c r="BD70" i="13"/>
  <c r="BD69" i="13"/>
  <c r="BD68" i="13"/>
  <c r="BD65" i="13"/>
  <c r="BD64" i="13"/>
  <c r="BD63" i="13"/>
  <c r="AD78" i="13"/>
  <c r="AD75" i="13"/>
  <c r="AD74" i="13"/>
  <c r="AD73" i="13"/>
  <c r="AD70" i="13"/>
  <c r="AD69" i="13"/>
  <c r="AD68" i="13"/>
  <c r="AD65" i="13"/>
  <c r="AD64" i="13"/>
  <c r="AD63" i="13"/>
  <c r="D78" i="13"/>
  <c r="D75" i="13"/>
  <c r="D74" i="13"/>
  <c r="D73" i="13"/>
  <c r="D70" i="13"/>
  <c r="D69" i="13"/>
  <c r="D68" i="13"/>
  <c r="D65" i="13"/>
  <c r="D64" i="13"/>
  <c r="D63" i="13"/>
  <c r="BV14" i="16" l="1"/>
  <c r="BV15" i="16" s="1"/>
  <c r="BV16" i="16" s="1"/>
  <c r="BV17" i="16" s="1"/>
  <c r="BV18" i="16" s="1"/>
  <c r="BV19" i="16" s="1"/>
  <c r="BV20" i="16" s="1"/>
  <c r="BV21" i="16" s="1"/>
  <c r="BV22" i="16" s="1"/>
  <c r="BV23" i="16" s="1"/>
  <c r="BV24" i="16" s="1"/>
  <c r="BV25" i="16" s="1"/>
  <c r="BV26" i="16" s="1"/>
  <c r="BV27" i="16" s="1"/>
  <c r="BV40" i="16"/>
  <c r="BV41" i="16" s="1"/>
  <c r="BV42" i="16" s="1"/>
  <c r="BV43" i="16" s="1"/>
  <c r="BV44" i="16" s="1"/>
  <c r="BV45" i="16" s="1"/>
  <c r="BV46" i="16" s="1"/>
  <c r="BV47" i="16" s="1"/>
  <c r="BV48" i="16" s="1"/>
  <c r="BV49" i="16" s="1"/>
  <c r="BV50" i="16" s="1"/>
  <c r="BV51" i="16" s="1"/>
  <c r="BV52" i="16" s="1"/>
  <c r="BV53" i="16" s="1"/>
  <c r="CB65" i="16"/>
  <c r="CB66" i="16" s="1"/>
  <c r="CB67" i="16" s="1"/>
  <c r="CB68" i="16" s="1"/>
  <c r="CB69" i="16" s="1"/>
  <c r="CB70" i="16" s="1"/>
  <c r="CB71" i="16" s="1"/>
  <c r="CB72" i="16" s="1"/>
  <c r="CB73" i="16" s="1"/>
  <c r="CB74" i="16" s="1"/>
  <c r="CB75" i="16" s="1"/>
  <c r="CB76" i="16" s="1"/>
  <c r="CB77" i="16" s="1"/>
  <c r="CB78" i="16" s="1"/>
  <c r="BV90" i="16"/>
  <c r="BV91" i="16" s="1"/>
  <c r="BV92" i="16" s="1"/>
  <c r="BV93" i="16" s="1"/>
  <c r="BV94" i="16" s="1"/>
  <c r="BV95" i="16" s="1"/>
  <c r="BV96" i="16" s="1"/>
  <c r="BV97" i="16" s="1"/>
  <c r="BV98" i="16" s="1"/>
  <c r="BV99" i="16" s="1"/>
  <c r="BV100" i="16" s="1"/>
  <c r="BV101" i="16" s="1"/>
  <c r="BV102" i="16" s="1"/>
  <c r="BV103" i="16" s="1"/>
  <c r="BV115" i="16"/>
  <c r="BV116" i="16" s="1"/>
  <c r="BV117" i="16" s="1"/>
  <c r="BV118" i="16" s="1"/>
  <c r="BV119" i="16" s="1"/>
  <c r="BV120" i="16" s="1"/>
  <c r="BV121" i="16" s="1"/>
  <c r="BV122" i="16" s="1"/>
  <c r="BV123" i="16" s="1"/>
  <c r="BV124" i="16" s="1"/>
  <c r="BV125" i="16" s="1"/>
  <c r="BV126" i="16" s="1"/>
  <c r="BV127" i="16" s="1"/>
  <c r="BV128" i="16" s="1"/>
  <c r="AX115" i="16"/>
  <c r="AX116" i="16" s="1"/>
  <c r="AX117" i="16" s="1"/>
  <c r="AX118" i="16" s="1"/>
  <c r="AX119" i="16" s="1"/>
  <c r="AX120" i="16" s="1"/>
  <c r="AX121" i="16" s="1"/>
  <c r="AX122" i="16" s="1"/>
  <c r="AX123" i="16" s="1"/>
  <c r="AX124" i="16" s="1"/>
  <c r="AX125" i="16" s="1"/>
  <c r="AX126" i="16" s="1"/>
  <c r="AX127" i="16" s="1"/>
  <c r="AX128" i="16" s="1"/>
  <c r="AX90" i="16"/>
  <c r="AX91" i="16" s="1"/>
  <c r="AX92" i="16" s="1"/>
  <c r="AX93" i="16" s="1"/>
  <c r="AX94" i="16" s="1"/>
  <c r="AX95" i="16" s="1"/>
  <c r="AX96" i="16" s="1"/>
  <c r="AX97" i="16" s="1"/>
  <c r="AX98" i="16" s="1"/>
  <c r="AX99" i="16" s="1"/>
  <c r="AX100" i="16" s="1"/>
  <c r="AX101" i="16" s="1"/>
  <c r="AX102" i="16" s="1"/>
  <c r="AX103" i="16" s="1"/>
  <c r="BB65" i="16"/>
  <c r="BB66" i="16" s="1"/>
  <c r="BB67" i="16" s="1"/>
  <c r="BB68" i="16" s="1"/>
  <c r="BB69" i="16" s="1"/>
  <c r="BB70" i="16" s="1"/>
  <c r="BB71" i="16" s="1"/>
  <c r="BB72" i="16" s="1"/>
  <c r="BB73" i="16" s="1"/>
  <c r="BB74" i="16" s="1"/>
  <c r="BB75" i="16" s="1"/>
  <c r="BB76" i="16" s="1"/>
  <c r="BB77" i="16" s="1"/>
  <c r="BB78" i="16" s="1"/>
  <c r="AX40" i="16"/>
  <c r="AX41" i="16" s="1"/>
  <c r="AX42" i="16" s="1"/>
  <c r="AX43" i="16" s="1"/>
  <c r="AX44" i="16" s="1"/>
  <c r="AX45" i="16" s="1"/>
  <c r="AX46" i="16" s="1"/>
  <c r="AX47" i="16" s="1"/>
  <c r="AX48" i="16" s="1"/>
  <c r="AX49" i="16" s="1"/>
  <c r="AX50" i="16" s="1"/>
  <c r="AX51" i="16" s="1"/>
  <c r="AX52" i="16" s="1"/>
  <c r="AX53" i="16" s="1"/>
  <c r="AX14" i="16"/>
  <c r="AX15" i="16" s="1"/>
  <c r="AX16" i="16" s="1"/>
  <c r="AX17" i="16" s="1"/>
  <c r="AX18" i="16" s="1"/>
  <c r="AX19" i="16" s="1"/>
  <c r="AX20" i="16" s="1"/>
  <c r="AX21" i="16" s="1"/>
  <c r="AX22" i="16" s="1"/>
  <c r="AX23" i="16" s="1"/>
  <c r="AX24" i="16" s="1"/>
  <c r="AX25" i="16" s="1"/>
  <c r="AX26" i="16" s="1"/>
  <c r="AX27" i="16" s="1"/>
  <c r="Z14" i="16"/>
  <c r="Z15" i="16" s="1"/>
  <c r="Z16" i="16" s="1"/>
  <c r="Z17" i="16" s="1"/>
  <c r="Z18" i="16" s="1"/>
  <c r="Z19" i="16" s="1"/>
  <c r="Z20" i="16" s="1"/>
  <c r="Z21" i="16" s="1"/>
  <c r="Z22" i="16" s="1"/>
  <c r="Z23" i="16" s="1"/>
  <c r="Z24" i="16" s="1"/>
  <c r="Z25" i="16" s="1"/>
  <c r="Z26" i="16" s="1"/>
  <c r="Z27" i="16" s="1"/>
  <c r="Z40" i="16"/>
  <c r="Z41" i="16" s="1"/>
  <c r="Z42" i="16" s="1"/>
  <c r="Z43" i="16" s="1"/>
  <c r="Z44" i="16" s="1"/>
  <c r="Z45" i="16" s="1"/>
  <c r="Z46" i="16" s="1"/>
  <c r="Z47" i="16" s="1"/>
  <c r="Z48" i="16" s="1"/>
  <c r="Z49" i="16" s="1"/>
  <c r="Z50" i="16" s="1"/>
  <c r="Z51" i="16" s="1"/>
  <c r="Z52" i="16" s="1"/>
  <c r="Z53" i="16" s="1"/>
  <c r="AB65" i="16"/>
  <c r="AB66" i="16" s="1"/>
  <c r="AB67" i="16" s="1"/>
  <c r="AB68" i="16" s="1"/>
  <c r="AB69" i="16" s="1"/>
  <c r="AB70" i="16" s="1"/>
  <c r="AB71" i="16" s="1"/>
  <c r="AB72" i="16" s="1"/>
  <c r="AB73" i="16" s="1"/>
  <c r="AB74" i="16" s="1"/>
  <c r="AB75" i="16" s="1"/>
  <c r="AB76" i="16" s="1"/>
  <c r="AB77" i="16" s="1"/>
  <c r="AB78" i="16" s="1"/>
  <c r="Z90" i="16"/>
  <c r="Z91" i="16" s="1"/>
  <c r="Z92" i="16" s="1"/>
  <c r="Z93" i="16" s="1"/>
  <c r="Z94" i="16" s="1"/>
  <c r="Z95" i="16" s="1"/>
  <c r="Z96" i="16" s="1"/>
  <c r="Z97" i="16" s="1"/>
  <c r="Z98" i="16" s="1"/>
  <c r="Z99" i="16" s="1"/>
  <c r="Z100" i="16" s="1"/>
  <c r="Z101" i="16" s="1"/>
  <c r="Z102" i="16" s="1"/>
  <c r="Z103" i="16" s="1"/>
  <c r="Z115" i="16"/>
  <c r="Z116" i="16" s="1"/>
  <c r="Z117" i="16" s="1"/>
  <c r="Z118" i="16" s="1"/>
  <c r="Z119" i="16" s="1"/>
  <c r="Z120" i="16" s="1"/>
  <c r="Z121" i="16" s="1"/>
  <c r="Z122" i="16" s="1"/>
  <c r="Z123" i="16" s="1"/>
  <c r="Z124" i="16" s="1"/>
  <c r="Z125" i="16" s="1"/>
  <c r="Z126" i="16" s="1"/>
  <c r="Z127" i="16" s="1"/>
  <c r="Z128" i="16" s="1"/>
  <c r="B115" i="16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90" i="16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65" i="16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40" i="16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14" i="16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CT115" i="15"/>
  <c r="CT116" i="15" s="1"/>
  <c r="CT117" i="15" s="1"/>
  <c r="CT118" i="15" s="1"/>
  <c r="CT119" i="15" s="1"/>
  <c r="CT120" i="15" s="1"/>
  <c r="CT121" i="15" s="1"/>
  <c r="CT122" i="15" s="1"/>
  <c r="CT123" i="15" s="1"/>
  <c r="CT124" i="15" s="1"/>
  <c r="CT125" i="15" s="1"/>
  <c r="CT126" i="15" s="1"/>
  <c r="CT127" i="15" s="1"/>
  <c r="CT128" i="15" s="1"/>
  <c r="CT90" i="15"/>
  <c r="CT91" i="15" s="1"/>
  <c r="CT92" i="15" s="1"/>
  <c r="CT93" i="15" s="1"/>
  <c r="CT94" i="15" s="1"/>
  <c r="CT95" i="15" s="1"/>
  <c r="CT96" i="15" s="1"/>
  <c r="CT97" i="15" s="1"/>
  <c r="CT98" i="15" s="1"/>
  <c r="CT99" i="15" s="1"/>
  <c r="CT100" i="15" s="1"/>
  <c r="CT101" i="15" s="1"/>
  <c r="CT102" i="15" s="1"/>
  <c r="CT103" i="15" s="1"/>
  <c r="DB65" i="15"/>
  <c r="DB66" i="15" s="1"/>
  <c r="DB67" i="15" s="1"/>
  <c r="DB68" i="15" s="1"/>
  <c r="DB69" i="15" s="1"/>
  <c r="DB70" i="15" s="1"/>
  <c r="DB71" i="15" s="1"/>
  <c r="DB72" i="15" s="1"/>
  <c r="DB73" i="15" s="1"/>
  <c r="DB74" i="15" s="1"/>
  <c r="DB75" i="15" s="1"/>
  <c r="DB76" i="15" s="1"/>
  <c r="DB77" i="15" s="1"/>
  <c r="DB78" i="15" s="1"/>
  <c r="CT40" i="15"/>
  <c r="CT41" i="15" s="1"/>
  <c r="CT42" i="15" s="1"/>
  <c r="CT43" i="15" s="1"/>
  <c r="CT44" i="15" s="1"/>
  <c r="CT45" i="15" s="1"/>
  <c r="CT46" i="15" s="1"/>
  <c r="CT47" i="15" s="1"/>
  <c r="CT48" i="15" s="1"/>
  <c r="CT49" i="15" s="1"/>
  <c r="CT50" i="15" s="1"/>
  <c r="CT51" i="15" s="1"/>
  <c r="CT52" i="15" s="1"/>
  <c r="CT53" i="15" s="1"/>
  <c r="CT14" i="15"/>
  <c r="CT15" i="15" s="1"/>
  <c r="CT16" i="15" s="1"/>
  <c r="CT17" i="15" s="1"/>
  <c r="CT18" i="15" s="1"/>
  <c r="CT19" i="15" s="1"/>
  <c r="CT20" i="15" s="1"/>
  <c r="CT21" i="15" s="1"/>
  <c r="CT22" i="15" s="1"/>
  <c r="CT23" i="15" s="1"/>
  <c r="CT24" i="15" s="1"/>
  <c r="CT25" i="15" s="1"/>
  <c r="CT26" i="15" s="1"/>
  <c r="CT27" i="15" s="1"/>
  <c r="BV14" i="15"/>
  <c r="BV15" i="15" s="1"/>
  <c r="BV16" i="15" s="1"/>
  <c r="BV17" i="15" s="1"/>
  <c r="BV18" i="15" s="1"/>
  <c r="BV19" i="15" s="1"/>
  <c r="BV20" i="15" s="1"/>
  <c r="BV21" i="15" s="1"/>
  <c r="BV22" i="15" s="1"/>
  <c r="BV23" i="15" s="1"/>
  <c r="BV24" i="15" s="1"/>
  <c r="BV25" i="15" s="1"/>
  <c r="BV26" i="15" s="1"/>
  <c r="BV27" i="15" s="1"/>
  <c r="BV40" i="15"/>
  <c r="BV41" i="15" s="1"/>
  <c r="BV42" i="15" s="1"/>
  <c r="BV43" i="15" s="1"/>
  <c r="BV44" i="15" s="1"/>
  <c r="BV45" i="15" s="1"/>
  <c r="BV46" i="15" s="1"/>
  <c r="BV47" i="15" s="1"/>
  <c r="BV48" i="15" s="1"/>
  <c r="BV49" i="15" s="1"/>
  <c r="BV50" i="15" s="1"/>
  <c r="BV51" i="15" s="1"/>
  <c r="BV52" i="15" s="1"/>
  <c r="BV53" i="15" s="1"/>
  <c r="CB65" i="15"/>
  <c r="CB66" i="15" s="1"/>
  <c r="CB67" i="15" s="1"/>
  <c r="CB68" i="15" s="1"/>
  <c r="CB69" i="15" s="1"/>
  <c r="CB70" i="15" s="1"/>
  <c r="CB71" i="15" s="1"/>
  <c r="CB72" i="15" s="1"/>
  <c r="CB73" i="15" s="1"/>
  <c r="CB74" i="15" s="1"/>
  <c r="CB75" i="15" s="1"/>
  <c r="CB76" i="15" s="1"/>
  <c r="CB77" i="15" s="1"/>
  <c r="CB78" i="15" s="1"/>
  <c r="BV90" i="15"/>
  <c r="BV91" i="15" s="1"/>
  <c r="BV92" i="15" s="1"/>
  <c r="BV93" i="15" s="1"/>
  <c r="BV94" i="15" s="1"/>
  <c r="BV95" i="15" s="1"/>
  <c r="BV96" i="15" s="1"/>
  <c r="BV97" i="15" s="1"/>
  <c r="BV98" i="15" s="1"/>
  <c r="BV99" i="15" s="1"/>
  <c r="BV100" i="15" s="1"/>
  <c r="BV101" i="15" s="1"/>
  <c r="BV102" i="15" s="1"/>
  <c r="BV103" i="15" s="1"/>
  <c r="BV115" i="15"/>
  <c r="BV116" i="15" s="1"/>
  <c r="BV117" i="15" s="1"/>
  <c r="BV118" i="15" s="1"/>
  <c r="BV119" i="15" s="1"/>
  <c r="BV120" i="15" s="1"/>
  <c r="BV121" i="15" s="1"/>
  <c r="BV122" i="15" s="1"/>
  <c r="BV123" i="15" s="1"/>
  <c r="BV124" i="15" s="1"/>
  <c r="BV125" i="15" s="1"/>
  <c r="BV126" i="15" s="1"/>
  <c r="BV127" i="15" s="1"/>
  <c r="BV128" i="15" s="1"/>
  <c r="AX115" i="15"/>
  <c r="AX116" i="15" s="1"/>
  <c r="AX117" i="15" s="1"/>
  <c r="AX118" i="15" s="1"/>
  <c r="AX119" i="15" s="1"/>
  <c r="AX120" i="15" s="1"/>
  <c r="AX121" i="15" s="1"/>
  <c r="AX122" i="15" s="1"/>
  <c r="AX123" i="15" s="1"/>
  <c r="AX124" i="15" s="1"/>
  <c r="AX125" i="15" s="1"/>
  <c r="AX126" i="15" s="1"/>
  <c r="AX127" i="15" s="1"/>
  <c r="AX128" i="15" s="1"/>
  <c r="AX90" i="15"/>
  <c r="AX91" i="15" s="1"/>
  <c r="AX92" i="15" s="1"/>
  <c r="AX93" i="15" s="1"/>
  <c r="AX94" i="15" s="1"/>
  <c r="AX95" i="15" s="1"/>
  <c r="AX96" i="15" s="1"/>
  <c r="AX97" i="15" s="1"/>
  <c r="AX98" i="15" s="1"/>
  <c r="AX99" i="15" s="1"/>
  <c r="AX100" i="15" s="1"/>
  <c r="AX101" i="15" s="1"/>
  <c r="AX102" i="15" s="1"/>
  <c r="AX103" i="15" s="1"/>
  <c r="BB65" i="15"/>
  <c r="BB66" i="15" s="1"/>
  <c r="BB67" i="15" s="1"/>
  <c r="BB68" i="15" s="1"/>
  <c r="BB69" i="15" s="1"/>
  <c r="BB70" i="15" s="1"/>
  <c r="BB71" i="15" s="1"/>
  <c r="BB72" i="15" s="1"/>
  <c r="BB73" i="15" s="1"/>
  <c r="BB74" i="15" s="1"/>
  <c r="BB75" i="15" s="1"/>
  <c r="BB76" i="15" s="1"/>
  <c r="BB77" i="15" s="1"/>
  <c r="BB78" i="15" s="1"/>
  <c r="AX40" i="15"/>
  <c r="AX41" i="15" s="1"/>
  <c r="AX42" i="15" s="1"/>
  <c r="AX43" i="15" s="1"/>
  <c r="AX44" i="15" s="1"/>
  <c r="AX45" i="15" s="1"/>
  <c r="AX46" i="15" s="1"/>
  <c r="AX47" i="15" s="1"/>
  <c r="AX48" i="15" s="1"/>
  <c r="AX49" i="15" s="1"/>
  <c r="AX50" i="15" s="1"/>
  <c r="AX51" i="15" s="1"/>
  <c r="AX52" i="15" s="1"/>
  <c r="AX53" i="15" s="1"/>
  <c r="AX14" i="15"/>
  <c r="AX15" i="15" s="1"/>
  <c r="AX16" i="15" s="1"/>
  <c r="AX17" i="15" s="1"/>
  <c r="AX18" i="15" s="1"/>
  <c r="AX19" i="15" s="1"/>
  <c r="AX20" i="15" s="1"/>
  <c r="AX21" i="15" s="1"/>
  <c r="AX22" i="15" s="1"/>
  <c r="AX23" i="15" s="1"/>
  <c r="AX24" i="15" s="1"/>
  <c r="AX25" i="15" s="1"/>
  <c r="AX26" i="15" s="1"/>
  <c r="AX27" i="15" s="1"/>
  <c r="Z14" i="15"/>
  <c r="Z15" i="15" s="1"/>
  <c r="Z16" i="15" s="1"/>
  <c r="Z17" i="15" s="1"/>
  <c r="Z18" i="15" s="1"/>
  <c r="Z19" i="15" s="1"/>
  <c r="Z20" i="15" s="1"/>
  <c r="Z21" i="15" s="1"/>
  <c r="Z22" i="15" s="1"/>
  <c r="Z23" i="15" s="1"/>
  <c r="Z24" i="15" s="1"/>
  <c r="Z25" i="15" s="1"/>
  <c r="Z26" i="15" s="1"/>
  <c r="Z27" i="15" s="1"/>
  <c r="Z40" i="15"/>
  <c r="Z41" i="15" s="1"/>
  <c r="Z42" i="15" s="1"/>
  <c r="Z43" i="15" s="1"/>
  <c r="Z44" i="15" s="1"/>
  <c r="Z45" i="15" s="1"/>
  <c r="Z46" i="15" s="1"/>
  <c r="Z47" i="15" s="1"/>
  <c r="Z48" i="15" s="1"/>
  <c r="Z49" i="15" s="1"/>
  <c r="Z50" i="15" s="1"/>
  <c r="Z51" i="15" s="1"/>
  <c r="Z52" i="15" s="1"/>
  <c r="Z53" i="15" s="1"/>
  <c r="AB65" i="15"/>
  <c r="AB66" i="15" s="1"/>
  <c r="AB67" i="15" s="1"/>
  <c r="AB68" i="15" s="1"/>
  <c r="AB69" i="15" s="1"/>
  <c r="AB70" i="15" s="1"/>
  <c r="AB71" i="15" s="1"/>
  <c r="AB72" i="15" s="1"/>
  <c r="AB73" i="15" s="1"/>
  <c r="AB74" i="15" s="1"/>
  <c r="AB75" i="15" s="1"/>
  <c r="AB76" i="15" s="1"/>
  <c r="AB77" i="15" s="1"/>
  <c r="AB78" i="15" s="1"/>
  <c r="Z90" i="15"/>
  <c r="Z91" i="15" s="1"/>
  <c r="Z92" i="15" s="1"/>
  <c r="Z93" i="15" s="1"/>
  <c r="Z94" i="15" s="1"/>
  <c r="Z95" i="15" s="1"/>
  <c r="Z96" i="15" s="1"/>
  <c r="Z97" i="15" s="1"/>
  <c r="Z98" i="15" s="1"/>
  <c r="Z99" i="15" s="1"/>
  <c r="Z100" i="15" s="1"/>
  <c r="Z101" i="15" s="1"/>
  <c r="Z102" i="15" s="1"/>
  <c r="Z103" i="15" s="1"/>
  <c r="Z115" i="15"/>
  <c r="Z116" i="15" s="1"/>
  <c r="Z117" i="15" s="1"/>
  <c r="Z118" i="15" s="1"/>
  <c r="Z119" i="15" s="1"/>
  <c r="Z120" i="15" s="1"/>
  <c r="Z121" i="15" s="1"/>
  <c r="Z122" i="15" s="1"/>
  <c r="Z123" i="15" s="1"/>
  <c r="Z124" i="15" s="1"/>
  <c r="Z125" i="15" s="1"/>
  <c r="Z126" i="15" s="1"/>
  <c r="Z127" i="15" s="1"/>
  <c r="Z128" i="15" s="1"/>
  <c r="B115" i="15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90" i="15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65" i="15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40" i="15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14" i="15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CT14" i="14"/>
  <c r="CT15" i="14" s="1"/>
  <c r="CT16" i="14" s="1"/>
  <c r="CT17" i="14" s="1"/>
  <c r="CT18" i="14" s="1"/>
  <c r="CT19" i="14" s="1"/>
  <c r="CT20" i="14" s="1"/>
  <c r="CT21" i="14" s="1"/>
  <c r="CT22" i="14" s="1"/>
  <c r="CT23" i="14" s="1"/>
  <c r="CT24" i="14" s="1"/>
  <c r="CT25" i="14" s="1"/>
  <c r="CT26" i="14" s="1"/>
  <c r="CT27" i="14" s="1"/>
  <c r="CT40" i="14"/>
  <c r="CT41" i="14" s="1"/>
  <c r="CT42" i="14" s="1"/>
  <c r="CT43" i="14" s="1"/>
  <c r="CT44" i="14" s="1"/>
  <c r="CT45" i="14" s="1"/>
  <c r="CT46" i="14" s="1"/>
  <c r="CT47" i="14" s="1"/>
  <c r="CT48" i="14" s="1"/>
  <c r="CT49" i="14" s="1"/>
  <c r="CT50" i="14" s="1"/>
  <c r="CT51" i="14" s="1"/>
  <c r="CT52" i="14" s="1"/>
  <c r="CT53" i="14" s="1"/>
  <c r="DB65" i="14"/>
  <c r="DB66" i="14" s="1"/>
  <c r="DB67" i="14" s="1"/>
  <c r="DB68" i="14" s="1"/>
  <c r="DB69" i="14" s="1"/>
  <c r="DB70" i="14" s="1"/>
  <c r="DB71" i="14" s="1"/>
  <c r="DB72" i="14" s="1"/>
  <c r="DB73" i="14" s="1"/>
  <c r="DB74" i="14" s="1"/>
  <c r="DB75" i="14" s="1"/>
  <c r="DB76" i="14" s="1"/>
  <c r="DB77" i="14" s="1"/>
  <c r="DB78" i="14" s="1"/>
  <c r="CT90" i="14"/>
  <c r="CT91" i="14" s="1"/>
  <c r="CT92" i="14" s="1"/>
  <c r="CT93" i="14" s="1"/>
  <c r="CT94" i="14" s="1"/>
  <c r="CT95" i="14" s="1"/>
  <c r="CT96" i="14" s="1"/>
  <c r="CT97" i="14" s="1"/>
  <c r="CT98" i="14" s="1"/>
  <c r="CT99" i="14" s="1"/>
  <c r="CT100" i="14" s="1"/>
  <c r="CT101" i="14" s="1"/>
  <c r="CT102" i="14" s="1"/>
  <c r="CT103" i="14" s="1"/>
  <c r="CT115" i="14"/>
  <c r="CT116" i="14" s="1"/>
  <c r="CT117" i="14" s="1"/>
  <c r="CT118" i="14" s="1"/>
  <c r="CT119" i="14" s="1"/>
  <c r="CT120" i="14" s="1"/>
  <c r="CT121" i="14" s="1"/>
  <c r="CT122" i="14" s="1"/>
  <c r="CT123" i="14" s="1"/>
  <c r="CT124" i="14" s="1"/>
  <c r="CT125" i="14" s="1"/>
  <c r="CT126" i="14" s="1"/>
  <c r="CT127" i="14" s="1"/>
  <c r="CT128" i="14" s="1"/>
  <c r="BV115" i="14"/>
  <c r="BV116" i="14" s="1"/>
  <c r="BV117" i="14" s="1"/>
  <c r="BV118" i="14" s="1"/>
  <c r="BV119" i="14" s="1"/>
  <c r="BV120" i="14" s="1"/>
  <c r="BV121" i="14" s="1"/>
  <c r="BV122" i="14" s="1"/>
  <c r="BV123" i="14" s="1"/>
  <c r="BV124" i="14" s="1"/>
  <c r="BV125" i="14" s="1"/>
  <c r="BV126" i="14" s="1"/>
  <c r="BV127" i="14" s="1"/>
  <c r="BV128" i="14" s="1"/>
  <c r="BV90" i="14"/>
  <c r="BV91" i="14" s="1"/>
  <c r="BV92" i="14" s="1"/>
  <c r="BV93" i="14" s="1"/>
  <c r="BV94" i="14" s="1"/>
  <c r="BV95" i="14" s="1"/>
  <c r="BV96" i="14" s="1"/>
  <c r="BV97" i="14" s="1"/>
  <c r="BV98" i="14" s="1"/>
  <c r="BV99" i="14" s="1"/>
  <c r="BV100" i="14" s="1"/>
  <c r="BV101" i="14" s="1"/>
  <c r="BV102" i="14" s="1"/>
  <c r="BV103" i="14" s="1"/>
  <c r="CB65" i="14"/>
  <c r="CB66" i="14" s="1"/>
  <c r="CB67" i="14" s="1"/>
  <c r="CB68" i="14" s="1"/>
  <c r="CB69" i="14" s="1"/>
  <c r="CB70" i="14" s="1"/>
  <c r="CB71" i="14" s="1"/>
  <c r="CB72" i="14" s="1"/>
  <c r="CB73" i="14" s="1"/>
  <c r="CB74" i="14" s="1"/>
  <c r="CB75" i="14" s="1"/>
  <c r="CB76" i="14" s="1"/>
  <c r="CB77" i="14" s="1"/>
  <c r="CB78" i="14" s="1"/>
  <c r="BV40" i="14"/>
  <c r="BV41" i="14" s="1"/>
  <c r="BV42" i="14" s="1"/>
  <c r="BV43" i="14" s="1"/>
  <c r="BV44" i="14" s="1"/>
  <c r="BV45" i="14" s="1"/>
  <c r="BV46" i="14" s="1"/>
  <c r="BV47" i="14" s="1"/>
  <c r="BV48" i="14" s="1"/>
  <c r="BV49" i="14" s="1"/>
  <c r="BV50" i="14" s="1"/>
  <c r="BV51" i="14" s="1"/>
  <c r="BV52" i="14" s="1"/>
  <c r="BV53" i="14" s="1"/>
  <c r="BV14" i="14"/>
  <c r="BV15" i="14" s="1"/>
  <c r="BV16" i="14" s="1"/>
  <c r="BV17" i="14" s="1"/>
  <c r="BV18" i="14" s="1"/>
  <c r="BV19" i="14" s="1"/>
  <c r="BV20" i="14" s="1"/>
  <c r="BV21" i="14" s="1"/>
  <c r="BV22" i="14" s="1"/>
  <c r="BV23" i="14" s="1"/>
  <c r="BV24" i="14" s="1"/>
  <c r="BV25" i="14" s="1"/>
  <c r="BV26" i="14" s="1"/>
  <c r="BV27" i="14" s="1"/>
  <c r="AX115" i="14"/>
  <c r="AX116" i="14" s="1"/>
  <c r="AX117" i="14" s="1"/>
  <c r="AX118" i="14" s="1"/>
  <c r="AX119" i="14" s="1"/>
  <c r="AX120" i="14" s="1"/>
  <c r="AX121" i="14" s="1"/>
  <c r="AX122" i="14" s="1"/>
  <c r="AX123" i="14" s="1"/>
  <c r="AX124" i="14" s="1"/>
  <c r="AX125" i="14" s="1"/>
  <c r="AX126" i="14" s="1"/>
  <c r="AX127" i="14" s="1"/>
  <c r="AX128" i="14" s="1"/>
  <c r="AX90" i="14"/>
  <c r="AX91" i="14" s="1"/>
  <c r="AX92" i="14" s="1"/>
  <c r="AX93" i="14" s="1"/>
  <c r="AX94" i="14" s="1"/>
  <c r="AX95" i="14" s="1"/>
  <c r="AX96" i="14" s="1"/>
  <c r="AX97" i="14" s="1"/>
  <c r="AX98" i="14" s="1"/>
  <c r="AX99" i="14" s="1"/>
  <c r="AX100" i="14" s="1"/>
  <c r="AX101" i="14" s="1"/>
  <c r="AX102" i="14" s="1"/>
  <c r="AX103" i="14" s="1"/>
  <c r="BB65" i="14"/>
  <c r="BB66" i="14" s="1"/>
  <c r="BB67" i="14" s="1"/>
  <c r="BB68" i="14" s="1"/>
  <c r="BB69" i="14" s="1"/>
  <c r="BB70" i="14" s="1"/>
  <c r="BB71" i="14" s="1"/>
  <c r="BB72" i="14" s="1"/>
  <c r="BB73" i="14" s="1"/>
  <c r="BB74" i="14" s="1"/>
  <c r="BB75" i="14" s="1"/>
  <c r="BB76" i="14" s="1"/>
  <c r="BB77" i="14" s="1"/>
  <c r="BB78" i="14" s="1"/>
  <c r="AX40" i="14"/>
  <c r="AX41" i="14" s="1"/>
  <c r="AX42" i="14" s="1"/>
  <c r="AX43" i="14" s="1"/>
  <c r="AX44" i="14" s="1"/>
  <c r="AX45" i="14" s="1"/>
  <c r="AX46" i="14" s="1"/>
  <c r="AX47" i="14" s="1"/>
  <c r="AX48" i="14" s="1"/>
  <c r="AX49" i="14" s="1"/>
  <c r="AX50" i="14" s="1"/>
  <c r="AX51" i="14" s="1"/>
  <c r="AX52" i="14" s="1"/>
  <c r="AX53" i="14" s="1"/>
  <c r="AX14" i="14"/>
  <c r="AX15" i="14" s="1"/>
  <c r="AX16" i="14" s="1"/>
  <c r="AX17" i="14" s="1"/>
  <c r="AX18" i="14" s="1"/>
  <c r="AX19" i="14" s="1"/>
  <c r="AX20" i="14" s="1"/>
  <c r="AX21" i="14" s="1"/>
  <c r="AX22" i="14" s="1"/>
  <c r="AX23" i="14" s="1"/>
  <c r="AX24" i="14" s="1"/>
  <c r="AX25" i="14" s="1"/>
  <c r="AX26" i="14" s="1"/>
  <c r="AX27" i="14" s="1"/>
  <c r="Z14" i="14"/>
  <c r="Z15" i="14" s="1"/>
  <c r="Z16" i="14" s="1"/>
  <c r="Z17" i="14" s="1"/>
  <c r="Z18" i="14" s="1"/>
  <c r="Z19" i="14" s="1"/>
  <c r="Z20" i="14" s="1"/>
  <c r="Z21" i="14" s="1"/>
  <c r="Z22" i="14" s="1"/>
  <c r="Z23" i="14" s="1"/>
  <c r="Z24" i="14" s="1"/>
  <c r="Z25" i="14" s="1"/>
  <c r="Z26" i="14" s="1"/>
  <c r="Z27" i="14" s="1"/>
  <c r="Z40" i="14"/>
  <c r="Z41" i="14" s="1"/>
  <c r="Z42" i="14" s="1"/>
  <c r="Z43" i="14" s="1"/>
  <c r="Z44" i="14" s="1"/>
  <c r="Z45" i="14" s="1"/>
  <c r="Z46" i="14" s="1"/>
  <c r="Z47" i="14" s="1"/>
  <c r="Z48" i="14" s="1"/>
  <c r="Z49" i="14" s="1"/>
  <c r="Z50" i="14" s="1"/>
  <c r="Z51" i="14" s="1"/>
  <c r="Z52" i="14" s="1"/>
  <c r="Z53" i="14" s="1"/>
  <c r="AB65" i="14"/>
  <c r="AB66" i="14" s="1"/>
  <c r="AB67" i="14" s="1"/>
  <c r="AB68" i="14" s="1"/>
  <c r="AB69" i="14" s="1"/>
  <c r="AB70" i="14" s="1"/>
  <c r="AB71" i="14" s="1"/>
  <c r="AB72" i="14" s="1"/>
  <c r="AB73" i="14" s="1"/>
  <c r="AB74" i="14" s="1"/>
  <c r="AB75" i="14" s="1"/>
  <c r="AB76" i="14" s="1"/>
  <c r="AB77" i="14" s="1"/>
  <c r="AB78" i="14" s="1"/>
  <c r="Z90" i="14"/>
  <c r="Z91" i="14" s="1"/>
  <c r="Z92" i="14" s="1"/>
  <c r="Z93" i="14" s="1"/>
  <c r="Z94" i="14" s="1"/>
  <c r="Z95" i="14" s="1"/>
  <c r="Z96" i="14" s="1"/>
  <c r="Z97" i="14" s="1"/>
  <c r="Z98" i="14" s="1"/>
  <c r="Z99" i="14" s="1"/>
  <c r="Z100" i="14" s="1"/>
  <c r="Z101" i="14" s="1"/>
  <c r="Z102" i="14" s="1"/>
  <c r="Z103" i="14" s="1"/>
  <c r="Z115" i="14"/>
  <c r="Z116" i="14" s="1"/>
  <c r="Z117" i="14" s="1"/>
  <c r="Z118" i="14" s="1"/>
  <c r="Z119" i="14" s="1"/>
  <c r="Z120" i="14" s="1"/>
  <c r="Z121" i="14" s="1"/>
  <c r="Z122" i="14" s="1"/>
  <c r="Z123" i="14" s="1"/>
  <c r="Z124" i="14" s="1"/>
  <c r="Z125" i="14" s="1"/>
  <c r="Z126" i="14" s="1"/>
  <c r="Z127" i="14" s="1"/>
  <c r="Z128" i="14" s="1"/>
  <c r="B115" i="14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90" i="14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65" i="14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40" i="14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14" i="14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CT14" i="13"/>
  <c r="CT15" i="13" s="1"/>
  <c r="CT16" i="13" s="1"/>
  <c r="CT17" i="13" s="1"/>
  <c r="CT18" i="13" s="1"/>
  <c r="CT19" i="13" s="1"/>
  <c r="CT20" i="13" s="1"/>
  <c r="CT21" i="13" s="1"/>
  <c r="CT22" i="13" s="1"/>
  <c r="CT23" i="13" s="1"/>
  <c r="CT24" i="13" s="1"/>
  <c r="CT25" i="13" s="1"/>
  <c r="CT26" i="13" s="1"/>
  <c r="CT27" i="13" s="1"/>
  <c r="CT40" i="13"/>
  <c r="CT41" i="13" s="1"/>
  <c r="CT42" i="13" s="1"/>
  <c r="CT43" i="13" s="1"/>
  <c r="CT44" i="13" s="1"/>
  <c r="CT45" i="13" s="1"/>
  <c r="CT46" i="13" s="1"/>
  <c r="CT47" i="13" s="1"/>
  <c r="CT48" i="13" s="1"/>
  <c r="CT49" i="13" s="1"/>
  <c r="CT50" i="13" s="1"/>
  <c r="CT51" i="13" s="1"/>
  <c r="CT52" i="13" s="1"/>
  <c r="CT53" i="13" s="1"/>
  <c r="DB65" i="13"/>
  <c r="DB66" i="13" s="1"/>
  <c r="DB67" i="13" s="1"/>
  <c r="DB68" i="13" s="1"/>
  <c r="DB69" i="13" s="1"/>
  <c r="DB70" i="13" s="1"/>
  <c r="DB71" i="13" s="1"/>
  <c r="DB72" i="13" s="1"/>
  <c r="DB73" i="13" s="1"/>
  <c r="DB74" i="13" s="1"/>
  <c r="DB75" i="13" s="1"/>
  <c r="DB76" i="13" s="1"/>
  <c r="DB77" i="13" s="1"/>
  <c r="DB78" i="13" s="1"/>
  <c r="CT90" i="13"/>
  <c r="CT91" i="13" s="1"/>
  <c r="CT92" i="13" s="1"/>
  <c r="CT93" i="13" s="1"/>
  <c r="CT94" i="13" s="1"/>
  <c r="CT95" i="13" s="1"/>
  <c r="CT96" i="13" s="1"/>
  <c r="CT97" i="13" s="1"/>
  <c r="CT98" i="13" s="1"/>
  <c r="CT99" i="13" s="1"/>
  <c r="CT100" i="13" s="1"/>
  <c r="CT101" i="13" s="1"/>
  <c r="CT102" i="13" s="1"/>
  <c r="CT103" i="13" s="1"/>
  <c r="D8" i="5" l="1"/>
  <c r="CT114" i="16" l="1"/>
  <c r="CT115" i="16" s="1"/>
  <c r="CT116" i="16" s="1"/>
  <c r="CT117" i="16" s="1"/>
  <c r="CT118" i="16" s="1"/>
  <c r="CT119" i="16" s="1"/>
  <c r="CT115" i="13"/>
  <c r="CT116" i="13" s="1"/>
  <c r="CT117" i="13" s="1"/>
  <c r="CT118" i="13" s="1"/>
  <c r="CT89" i="16"/>
  <c r="CT90" i="16" s="1"/>
  <c r="CT91" i="16" s="1"/>
  <c r="CT92" i="16" s="1"/>
  <c r="CT93" i="16" s="1"/>
  <c r="CT119" i="13" l="1"/>
  <c r="CT120" i="13" s="1"/>
  <c r="CT121" i="13" s="1"/>
  <c r="CT122" i="13" s="1"/>
  <c r="CT123" i="13" s="1"/>
  <c r="CT120" i="16"/>
  <c r="CT94" i="16"/>
  <c r="DB64" i="16"/>
  <c r="DB65" i="16" s="1"/>
  <c r="DB66" i="16" s="1"/>
  <c r="DL61" i="16"/>
  <c r="DK61" i="16"/>
  <c r="CL61" i="16"/>
  <c r="CK61" i="16"/>
  <c r="BL61" i="16"/>
  <c r="BK61" i="16"/>
  <c r="AL61" i="16"/>
  <c r="AK61" i="16"/>
  <c r="L61" i="16"/>
  <c r="K61" i="16"/>
  <c r="DL61" i="15"/>
  <c r="DK61" i="15"/>
  <c r="CL61" i="15"/>
  <c r="CK61" i="15"/>
  <c r="BL61" i="15"/>
  <c r="BK61" i="15"/>
  <c r="AL61" i="15"/>
  <c r="AK61" i="15"/>
  <c r="L61" i="15"/>
  <c r="K61" i="15"/>
  <c r="DL61" i="14"/>
  <c r="DK61" i="14"/>
  <c r="CL61" i="14"/>
  <c r="CK61" i="14"/>
  <c r="BL61" i="14"/>
  <c r="BK61" i="14"/>
  <c r="AL61" i="14"/>
  <c r="AK61" i="14"/>
  <c r="L61" i="14"/>
  <c r="K61" i="14"/>
  <c r="G5" i="18"/>
  <c r="H5" i="18"/>
  <c r="D5" i="18"/>
  <c r="D8" i="17" l="1"/>
  <c r="D12" i="17"/>
  <c r="D16" i="17"/>
  <c r="D20" i="17"/>
  <c r="D10" i="17"/>
  <c r="D18" i="17"/>
  <c r="D11" i="17"/>
  <c r="D19" i="17"/>
  <c r="D9" i="17"/>
  <c r="D13" i="17"/>
  <c r="D17" i="17"/>
  <c r="D21" i="17"/>
  <c r="D14" i="17"/>
  <c r="D22" i="17"/>
  <c r="D15" i="17"/>
  <c r="D7" i="17"/>
  <c r="CT121" i="16"/>
  <c r="CT124" i="13"/>
  <c r="CT95" i="16"/>
  <c r="DB67" i="16"/>
  <c r="DB68" i="16" s="1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6" i="7"/>
  <c r="D15" i="7"/>
  <c r="D17" i="7" s="1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19" i="7"/>
  <c r="C18" i="7"/>
  <c r="C16" i="7"/>
  <c r="C15" i="7"/>
  <c r="C17" i="7" s="1"/>
  <c r="F25" i="22"/>
  <c r="G25" i="22"/>
  <c r="E25" i="22"/>
  <c r="D25" i="22"/>
  <c r="D159" i="3"/>
  <c r="D154" i="3"/>
  <c r="D151" i="3"/>
  <c r="D146" i="3"/>
  <c r="D145" i="3"/>
  <c r="C159" i="3"/>
  <c r="C158" i="3"/>
  <c r="C157" i="3"/>
  <c r="C156" i="3"/>
  <c r="C155" i="3"/>
  <c r="C154" i="3"/>
  <c r="C153" i="3"/>
  <c r="C152" i="3"/>
  <c r="C150" i="3"/>
  <c r="C149" i="3"/>
  <c r="C148" i="3"/>
  <c r="C147" i="3"/>
  <c r="C146" i="3"/>
  <c r="C145" i="3"/>
  <c r="D140" i="3"/>
  <c r="D139" i="3"/>
  <c r="D138" i="3"/>
  <c r="D137" i="3"/>
  <c r="C140" i="3"/>
  <c r="C139" i="3"/>
  <c r="C138" i="3"/>
  <c r="C137" i="3"/>
  <c r="D133" i="3"/>
  <c r="D125" i="3"/>
  <c r="D121" i="3"/>
  <c r="D119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D112" i="3"/>
  <c r="D111" i="3"/>
  <c r="D110" i="3"/>
  <c r="D109" i="3"/>
  <c r="C115" i="3"/>
  <c r="C114" i="3"/>
  <c r="C113" i="3"/>
  <c r="C112" i="3"/>
  <c r="C111" i="3"/>
  <c r="C110" i="3"/>
  <c r="C109" i="3"/>
  <c r="C108" i="3"/>
  <c r="D104" i="3"/>
  <c r="Q104" i="3" s="1"/>
  <c r="D103" i="3"/>
  <c r="D99" i="3"/>
  <c r="D98" i="3"/>
  <c r="D96" i="3"/>
  <c r="D95" i="3"/>
  <c r="D94" i="3"/>
  <c r="D93" i="3"/>
  <c r="D90" i="3"/>
  <c r="D89" i="3"/>
  <c r="D87" i="3"/>
  <c r="D86" i="3"/>
  <c r="D85" i="3"/>
  <c r="D84" i="3"/>
  <c r="C103" i="3"/>
  <c r="C102" i="3"/>
  <c r="C101" i="3"/>
  <c r="C100" i="3"/>
  <c r="C99" i="3"/>
  <c r="C98" i="3"/>
  <c r="C97" i="3"/>
  <c r="C96" i="3"/>
  <c r="V96" i="3" s="1"/>
  <c r="C95" i="3"/>
  <c r="C94" i="3"/>
  <c r="C93" i="3"/>
  <c r="C92" i="3"/>
  <c r="C91" i="3"/>
  <c r="C90" i="3"/>
  <c r="C89" i="3"/>
  <c r="C88" i="3"/>
  <c r="C84" i="3"/>
  <c r="C86" i="3" s="1"/>
  <c r="D78" i="3"/>
  <c r="D75" i="3"/>
  <c r="D74" i="3"/>
  <c r="C80" i="3"/>
  <c r="C79" i="3"/>
  <c r="C78" i="3"/>
  <c r="C77" i="3"/>
  <c r="C74" i="3"/>
  <c r="C76" i="3" s="1"/>
  <c r="D70" i="3"/>
  <c r="D69" i="3"/>
  <c r="D66" i="3"/>
  <c r="D64" i="3"/>
  <c r="D63" i="3"/>
  <c r="D61" i="3"/>
  <c r="D60" i="3"/>
  <c r="D59" i="3"/>
  <c r="D58" i="3"/>
  <c r="D57" i="3"/>
  <c r="D56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2" i="3"/>
  <c r="C51" i="3"/>
  <c r="D44" i="3"/>
  <c r="D42" i="3"/>
  <c r="D41" i="3"/>
  <c r="D38" i="3"/>
  <c r="C47" i="3"/>
  <c r="C46" i="3"/>
  <c r="C45" i="3"/>
  <c r="C44" i="3"/>
  <c r="C43" i="3"/>
  <c r="C42" i="3"/>
  <c r="C41" i="3"/>
  <c r="C40" i="3"/>
  <c r="C38" i="3"/>
  <c r="C39" i="3" s="1"/>
  <c r="D34" i="3"/>
  <c r="D33" i="3"/>
  <c r="D32" i="3"/>
  <c r="AA32" i="3" s="1"/>
  <c r="D31" i="3"/>
  <c r="V31" i="3" s="1"/>
  <c r="D30" i="3"/>
  <c r="Q30" i="3" s="1"/>
  <c r="D29" i="3"/>
  <c r="D28" i="3"/>
  <c r="D27" i="3"/>
  <c r="D26" i="3"/>
  <c r="D25" i="3"/>
  <c r="D24" i="3"/>
  <c r="D23" i="3"/>
  <c r="D22" i="3"/>
  <c r="D21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D20" i="3"/>
  <c r="D19" i="3"/>
  <c r="C18" i="3"/>
  <c r="C17" i="3"/>
  <c r="D17" i="3"/>
  <c r="D15" i="3"/>
  <c r="D14" i="3"/>
  <c r="D16" i="3" s="1"/>
  <c r="C15" i="3"/>
  <c r="C14" i="3"/>
  <c r="C16" i="3" s="1"/>
  <c r="F50" i="21"/>
  <c r="D50" i="21"/>
  <c r="E26" i="21"/>
  <c r="D12" i="18"/>
  <c r="S30" i="3" l="1"/>
  <c r="I34" i="1"/>
  <c r="I36" i="1" s="1"/>
  <c r="F34" i="1"/>
  <c r="F36" i="1" s="1"/>
  <c r="E34" i="1"/>
  <c r="E36" i="1" s="1"/>
  <c r="H34" i="1"/>
  <c r="H36" i="1" s="1"/>
  <c r="G34" i="1"/>
  <c r="G36" i="1" s="1"/>
  <c r="G31" i="1"/>
  <c r="G33" i="1" s="1"/>
  <c r="H31" i="1"/>
  <c r="H33" i="1" s="1"/>
  <c r="F31" i="1"/>
  <c r="F33" i="1" s="1"/>
  <c r="I31" i="1"/>
  <c r="I33" i="1" s="1"/>
  <c r="E31" i="1"/>
  <c r="E33" i="1" s="1"/>
  <c r="I28" i="1"/>
  <c r="I30" i="1" s="1"/>
  <c r="H28" i="1"/>
  <c r="H30" i="1" s="1"/>
  <c r="H37" i="1" s="1"/>
  <c r="F28" i="1"/>
  <c r="F30" i="1" s="1"/>
  <c r="E28" i="1"/>
  <c r="E30" i="1" s="1"/>
  <c r="G28" i="1"/>
  <c r="G30" i="1" s="1"/>
  <c r="E36" i="2"/>
  <c r="J38" i="2" s="1"/>
  <c r="K38" i="2" s="1"/>
  <c r="S54" i="2"/>
  <c r="Z36" i="2"/>
  <c r="AE38" i="2" s="1"/>
  <c r="AF38" i="2" s="1"/>
  <c r="E54" i="2"/>
  <c r="S36" i="2"/>
  <c r="X38" i="2" s="1"/>
  <c r="Y38" i="2" s="1"/>
  <c r="L54" i="2"/>
  <c r="L36" i="2"/>
  <c r="Q38" i="2" s="1"/>
  <c r="R38" i="2" s="1"/>
  <c r="Z54" i="2"/>
  <c r="L33" i="2"/>
  <c r="Q35" i="2" s="1"/>
  <c r="R35" i="2" s="1"/>
  <c r="S51" i="2"/>
  <c r="E33" i="2"/>
  <c r="J35" i="2" s="1"/>
  <c r="K35" i="2" s="1"/>
  <c r="E51" i="2"/>
  <c r="Z33" i="2"/>
  <c r="AE35" i="2" s="1"/>
  <c r="AF35" i="2" s="1"/>
  <c r="Z51" i="2"/>
  <c r="L51" i="2"/>
  <c r="S33" i="2"/>
  <c r="X35" i="2" s="1"/>
  <c r="Y35" i="2" s="1"/>
  <c r="E30" i="2"/>
  <c r="J32" i="2" s="1"/>
  <c r="Z30" i="2"/>
  <c r="AE32" i="2" s="1"/>
  <c r="L30" i="2"/>
  <c r="Q32" i="2" s="1"/>
  <c r="S30" i="2"/>
  <c r="X32" i="2" s="1"/>
  <c r="L48" i="2"/>
  <c r="E48" i="2"/>
  <c r="AA25" i="3"/>
  <c r="AC39" i="3"/>
  <c r="AC25" i="3"/>
  <c r="V30" i="3"/>
  <c r="Q39" i="3"/>
  <c r="AA39" i="3"/>
  <c r="AC32" i="3"/>
  <c r="X96" i="3"/>
  <c r="X30" i="3"/>
  <c r="AC102" i="3"/>
  <c r="X31" i="3"/>
  <c r="S39" i="3"/>
  <c r="S104" i="3"/>
  <c r="F9" i="18"/>
  <c r="DE76" i="16"/>
  <c r="DE66" i="16"/>
  <c r="CE76" i="16"/>
  <c r="CE66" i="16"/>
  <c r="BE76" i="16"/>
  <c r="BE66" i="16"/>
  <c r="AE76" i="16"/>
  <c r="AE66" i="16"/>
  <c r="E76" i="16"/>
  <c r="E66" i="16"/>
  <c r="DE76" i="15"/>
  <c r="DE66" i="15"/>
  <c r="CE76" i="15"/>
  <c r="CE66" i="15"/>
  <c r="BE76" i="15"/>
  <c r="BE66" i="15"/>
  <c r="AE76" i="15"/>
  <c r="AE66" i="15"/>
  <c r="E76" i="15"/>
  <c r="E66" i="15"/>
  <c r="DE71" i="16"/>
  <c r="CE71" i="16"/>
  <c r="BE71" i="16"/>
  <c r="AE71" i="16"/>
  <c r="E71" i="16"/>
  <c r="DE71" i="15"/>
  <c r="CE71" i="15"/>
  <c r="BE71" i="15"/>
  <c r="AE71" i="15"/>
  <c r="E71" i="15"/>
  <c r="AE71" i="14"/>
  <c r="BE71" i="14"/>
  <c r="CE71" i="14"/>
  <c r="DE71" i="14"/>
  <c r="DE71" i="13"/>
  <c r="CE71" i="13"/>
  <c r="BE71" i="13"/>
  <c r="AE71" i="13"/>
  <c r="E71" i="13"/>
  <c r="E76" i="14"/>
  <c r="E66" i="14"/>
  <c r="AE66" i="14"/>
  <c r="E71" i="14"/>
  <c r="AE76" i="14"/>
  <c r="CE76" i="14"/>
  <c r="DE76" i="14"/>
  <c r="DE76" i="13"/>
  <c r="AE66" i="13"/>
  <c r="E76" i="13"/>
  <c r="CE66" i="13"/>
  <c r="BE66" i="13"/>
  <c r="BE76" i="14"/>
  <c r="BE66" i="14"/>
  <c r="CE66" i="14"/>
  <c r="DE66" i="14"/>
  <c r="DE66" i="13"/>
  <c r="CE76" i="13"/>
  <c r="E66" i="13"/>
  <c r="BE76" i="13"/>
  <c r="AE76" i="13"/>
  <c r="E9" i="18"/>
  <c r="DE72" i="16"/>
  <c r="CE72" i="16"/>
  <c r="BE72" i="16"/>
  <c r="AE72" i="16"/>
  <c r="E72" i="16"/>
  <c r="DE72" i="15"/>
  <c r="CE72" i="15"/>
  <c r="BE72" i="15"/>
  <c r="AE72" i="15"/>
  <c r="E72" i="15"/>
  <c r="DE77" i="16"/>
  <c r="DE67" i="16"/>
  <c r="CE77" i="16"/>
  <c r="CE67" i="16"/>
  <c r="BE77" i="16"/>
  <c r="BE67" i="16"/>
  <c r="AE77" i="16"/>
  <c r="AE67" i="16"/>
  <c r="E77" i="16"/>
  <c r="E67" i="16"/>
  <c r="DE77" i="15"/>
  <c r="DE67" i="15"/>
  <c r="CE77" i="15"/>
  <c r="CE67" i="15"/>
  <c r="BE77" i="15"/>
  <c r="BE67" i="15"/>
  <c r="AE77" i="15"/>
  <c r="AE67" i="15"/>
  <c r="E77" i="15"/>
  <c r="E67" i="15"/>
  <c r="AE67" i="14"/>
  <c r="BE67" i="14"/>
  <c r="CE67" i="14"/>
  <c r="DE67" i="14"/>
  <c r="DE67" i="13"/>
  <c r="CE67" i="13"/>
  <c r="BE67" i="13"/>
  <c r="AE67" i="13"/>
  <c r="E67" i="13"/>
  <c r="E72" i="14"/>
  <c r="AE77" i="14"/>
  <c r="BE77" i="14"/>
  <c r="CE77" i="14"/>
  <c r="DE77" i="14"/>
  <c r="DE77" i="13"/>
  <c r="CE77" i="13"/>
  <c r="BE77" i="13"/>
  <c r="AE77" i="13"/>
  <c r="E77" i="13"/>
  <c r="E77" i="14"/>
  <c r="E67" i="14"/>
  <c r="BE72" i="13"/>
  <c r="BE72" i="14"/>
  <c r="CE72" i="14"/>
  <c r="DE72" i="14"/>
  <c r="DE72" i="13"/>
  <c r="E72" i="13"/>
  <c r="AE72" i="13"/>
  <c r="AE72" i="14"/>
  <c r="CE72" i="13"/>
  <c r="G9" i="18"/>
  <c r="DE74" i="16"/>
  <c r="DE64" i="16"/>
  <c r="CE74" i="16"/>
  <c r="CE64" i="16"/>
  <c r="BE74" i="16"/>
  <c r="BE64" i="16"/>
  <c r="AE74" i="16"/>
  <c r="AE64" i="16"/>
  <c r="E74" i="16"/>
  <c r="E64" i="16"/>
  <c r="DE74" i="15"/>
  <c r="DE64" i="15"/>
  <c r="CE74" i="15"/>
  <c r="CE64" i="15"/>
  <c r="BE74" i="15"/>
  <c r="BE64" i="15"/>
  <c r="AE74" i="15"/>
  <c r="AE64" i="15"/>
  <c r="E74" i="15"/>
  <c r="E64" i="15"/>
  <c r="DE69" i="16"/>
  <c r="CE69" i="16"/>
  <c r="BE69" i="16"/>
  <c r="AE69" i="16"/>
  <c r="E69" i="16"/>
  <c r="DE69" i="15"/>
  <c r="CE69" i="15"/>
  <c r="BE69" i="15"/>
  <c r="AE69" i="15"/>
  <c r="E69" i="15"/>
  <c r="E74" i="14"/>
  <c r="E64" i="14"/>
  <c r="AE74" i="14"/>
  <c r="BE74" i="14"/>
  <c r="AE69" i="14"/>
  <c r="BE69" i="14"/>
  <c r="CE69" i="14"/>
  <c r="DE69" i="14"/>
  <c r="DE69" i="13"/>
  <c r="CE69" i="13"/>
  <c r="BE69" i="13"/>
  <c r="AE69" i="13"/>
  <c r="E69" i="13"/>
  <c r="E69" i="14"/>
  <c r="AE64" i="14"/>
  <c r="BE64" i="13"/>
  <c r="AE74" i="13"/>
  <c r="CE64" i="13"/>
  <c r="CE74" i="14"/>
  <c r="DE74" i="14"/>
  <c r="DE74" i="13"/>
  <c r="AE64" i="13"/>
  <c r="E74" i="13"/>
  <c r="BE64" i="14"/>
  <c r="CE64" i="14"/>
  <c r="DE64" i="14"/>
  <c r="DE64" i="13"/>
  <c r="CE74" i="13"/>
  <c r="E64" i="13"/>
  <c r="BE74" i="13"/>
  <c r="Z48" i="2"/>
  <c r="S48" i="2"/>
  <c r="D9" i="18"/>
  <c r="E8" i="17" s="1"/>
  <c r="DE78" i="16"/>
  <c r="DE68" i="16"/>
  <c r="CE78" i="16"/>
  <c r="CE68" i="16"/>
  <c r="BE78" i="16"/>
  <c r="BE68" i="16"/>
  <c r="AE78" i="16"/>
  <c r="AE68" i="16"/>
  <c r="E78" i="16"/>
  <c r="E68" i="16"/>
  <c r="DE78" i="15"/>
  <c r="DE68" i="15"/>
  <c r="CE78" i="15"/>
  <c r="CE68" i="15"/>
  <c r="BE78" i="15"/>
  <c r="BE68" i="15"/>
  <c r="AE78" i="15"/>
  <c r="AE68" i="15"/>
  <c r="E78" i="15"/>
  <c r="E68" i="15"/>
  <c r="DE73" i="16"/>
  <c r="DE63" i="16"/>
  <c r="CE73" i="16"/>
  <c r="CE63" i="16"/>
  <c r="BE73" i="16"/>
  <c r="BE63" i="16"/>
  <c r="AE73" i="16"/>
  <c r="AE63" i="16"/>
  <c r="E73" i="16"/>
  <c r="E63" i="16"/>
  <c r="DE73" i="15"/>
  <c r="DE63" i="15"/>
  <c r="CE73" i="15"/>
  <c r="CE63" i="15"/>
  <c r="BE73" i="15"/>
  <c r="BE63" i="15"/>
  <c r="AE73" i="15"/>
  <c r="AE63" i="15"/>
  <c r="E73" i="15"/>
  <c r="E63" i="15"/>
  <c r="AE63" i="14"/>
  <c r="BE63" i="14"/>
  <c r="CE63" i="14"/>
  <c r="DE63" i="14"/>
  <c r="DE63" i="13"/>
  <c r="CE63" i="13"/>
  <c r="BE63" i="13"/>
  <c r="AE63" i="13"/>
  <c r="E63" i="13"/>
  <c r="E78" i="14"/>
  <c r="E68" i="14"/>
  <c r="AE78" i="14"/>
  <c r="BE78" i="14"/>
  <c r="AE73" i="14"/>
  <c r="BE73" i="14"/>
  <c r="CE73" i="14"/>
  <c r="DE73" i="14"/>
  <c r="DE73" i="13"/>
  <c r="CE73" i="13"/>
  <c r="BE73" i="13"/>
  <c r="AE73" i="13"/>
  <c r="E73" i="13"/>
  <c r="E73" i="14"/>
  <c r="E63" i="14"/>
  <c r="BE68" i="14"/>
  <c r="CE68" i="14"/>
  <c r="DE68" i="14"/>
  <c r="DE68" i="13"/>
  <c r="CE78" i="13"/>
  <c r="E68" i="13"/>
  <c r="BE68" i="13"/>
  <c r="AE78" i="13"/>
  <c r="DE78" i="13"/>
  <c r="AE68" i="13"/>
  <c r="E78" i="13"/>
  <c r="CE68" i="13"/>
  <c r="BE78" i="13"/>
  <c r="AE68" i="14"/>
  <c r="CE78" i="14"/>
  <c r="DE78" i="14"/>
  <c r="H9" i="18"/>
  <c r="DE70" i="16"/>
  <c r="CE70" i="16"/>
  <c r="BE70" i="16"/>
  <c r="AE70" i="16"/>
  <c r="E70" i="16"/>
  <c r="DE70" i="15"/>
  <c r="CE70" i="15"/>
  <c r="BE70" i="15"/>
  <c r="AE70" i="15"/>
  <c r="E70" i="15"/>
  <c r="DE75" i="16"/>
  <c r="DE65" i="16"/>
  <c r="CE75" i="16"/>
  <c r="CE65" i="16"/>
  <c r="BE75" i="16"/>
  <c r="BE65" i="16"/>
  <c r="AE75" i="16"/>
  <c r="AE65" i="16"/>
  <c r="E75" i="16"/>
  <c r="E65" i="16"/>
  <c r="DE75" i="15"/>
  <c r="DE65" i="15"/>
  <c r="CE75" i="15"/>
  <c r="CE65" i="15"/>
  <c r="BE75" i="15"/>
  <c r="BE65" i="15"/>
  <c r="AE75" i="15"/>
  <c r="AE65" i="15"/>
  <c r="E75" i="15"/>
  <c r="E65" i="15"/>
  <c r="AE75" i="14"/>
  <c r="BE75" i="14"/>
  <c r="CE75" i="14"/>
  <c r="DE75" i="14"/>
  <c r="DE75" i="13"/>
  <c r="CE75" i="13"/>
  <c r="BE75" i="13"/>
  <c r="AE75" i="13"/>
  <c r="E75" i="13"/>
  <c r="E70" i="14"/>
  <c r="AE70" i="14"/>
  <c r="AE65" i="14"/>
  <c r="BE65" i="14"/>
  <c r="CE65" i="14"/>
  <c r="DE65" i="14"/>
  <c r="DE65" i="13"/>
  <c r="CE65" i="13"/>
  <c r="BE65" i="13"/>
  <c r="AE65" i="13"/>
  <c r="E65" i="13"/>
  <c r="E75" i="14"/>
  <c r="E65" i="14"/>
  <c r="CE70" i="13"/>
  <c r="BE70" i="14"/>
  <c r="CE70" i="14"/>
  <c r="DE70" i="14"/>
  <c r="BE70" i="13"/>
  <c r="AE70" i="13"/>
  <c r="DE70" i="13"/>
  <c r="E70" i="13"/>
  <c r="C87" i="3"/>
  <c r="C85" i="3"/>
  <c r="D10" i="5"/>
  <c r="CT122" i="16"/>
  <c r="CT125" i="13"/>
  <c r="CT96" i="16"/>
  <c r="DB69" i="16"/>
  <c r="B4" i="15"/>
  <c r="B4" i="14"/>
  <c r="D9" i="5"/>
  <c r="G106" i="10" l="1"/>
  <c r="G102" i="10"/>
  <c r="G98" i="10"/>
  <c r="G94" i="10"/>
  <c r="G80" i="10"/>
  <c r="G76" i="10"/>
  <c r="G72" i="10"/>
  <c r="G68" i="10"/>
  <c r="G54" i="10"/>
  <c r="G50" i="10"/>
  <c r="G46" i="10"/>
  <c r="G42" i="10"/>
  <c r="G14" i="10"/>
  <c r="G18" i="10"/>
  <c r="G22" i="10"/>
  <c r="G26" i="10"/>
  <c r="G103" i="10"/>
  <c r="G99" i="10"/>
  <c r="G95" i="10"/>
  <c r="G91" i="10"/>
  <c r="G77" i="10"/>
  <c r="G73" i="10"/>
  <c r="G69" i="10"/>
  <c r="G65" i="10"/>
  <c r="G51" i="10"/>
  <c r="G47" i="10"/>
  <c r="G43" i="10"/>
  <c r="G39" i="10"/>
  <c r="G17" i="10"/>
  <c r="G21" i="10"/>
  <c r="G25" i="10"/>
  <c r="G13" i="10"/>
  <c r="G101" i="10"/>
  <c r="G93" i="10"/>
  <c r="G75" i="10"/>
  <c r="G67" i="10"/>
  <c r="G49" i="10"/>
  <c r="G41" i="10"/>
  <c r="G19" i="10"/>
  <c r="G27" i="10"/>
  <c r="G100" i="10"/>
  <c r="G92" i="10"/>
  <c r="G74" i="10"/>
  <c r="G66" i="10"/>
  <c r="G48" i="10"/>
  <c r="G40" i="10"/>
  <c r="G20" i="10"/>
  <c r="G28" i="10"/>
  <c r="G105" i="10"/>
  <c r="G97" i="10"/>
  <c r="G79" i="10"/>
  <c r="G71" i="10"/>
  <c r="G53" i="10"/>
  <c r="G45" i="10"/>
  <c r="G15" i="10"/>
  <c r="G23" i="10"/>
  <c r="G104" i="10"/>
  <c r="G96" i="10"/>
  <c r="G78" i="10"/>
  <c r="G70" i="10"/>
  <c r="G52" i="10"/>
  <c r="G44" i="10"/>
  <c r="G16" i="10"/>
  <c r="G24" i="10"/>
  <c r="J50" i="2"/>
  <c r="E50" i="2"/>
  <c r="AE53" i="2"/>
  <c r="AF53" i="2" s="1"/>
  <c r="Z53" i="2"/>
  <c r="X53" i="2"/>
  <c r="Y53" i="2" s="1"/>
  <c r="S53" i="2"/>
  <c r="Q56" i="2"/>
  <c r="R56" i="2" s="1"/>
  <c r="L56" i="2"/>
  <c r="X56" i="2"/>
  <c r="Y56" i="2" s="1"/>
  <c r="S56" i="2"/>
  <c r="X50" i="2"/>
  <c r="Y50" i="2" s="1"/>
  <c r="S50" i="2"/>
  <c r="Q50" i="2"/>
  <c r="L50" i="2"/>
  <c r="Q53" i="2"/>
  <c r="R53" i="2" s="1"/>
  <c r="L53" i="2"/>
  <c r="AE50" i="2"/>
  <c r="Z50" i="2"/>
  <c r="J53" i="2"/>
  <c r="K53" i="2" s="1"/>
  <c r="E53" i="2"/>
  <c r="AE56" i="2"/>
  <c r="AF56" i="2" s="1"/>
  <c r="Z56" i="2"/>
  <c r="J56" i="2"/>
  <c r="K56" i="2" s="1"/>
  <c r="E56" i="2"/>
  <c r="E37" i="1"/>
  <c r="G37" i="1"/>
  <c r="R138" i="15"/>
  <c r="DJ138" i="15"/>
  <c r="AP138" i="15"/>
  <c r="BN138" i="15"/>
  <c r="CL138" i="15"/>
  <c r="BN138" i="14"/>
  <c r="DJ138" i="14"/>
  <c r="CL138" i="14"/>
  <c r="R138" i="14"/>
  <c r="AP138" i="14"/>
  <c r="E11" i="17"/>
  <c r="E15" i="17"/>
  <c r="E21" i="17"/>
  <c r="E20" i="17"/>
  <c r="I37" i="1"/>
  <c r="E17" i="17"/>
  <c r="E16" i="17"/>
  <c r="E7" i="17"/>
  <c r="E19" i="17"/>
  <c r="F37" i="1"/>
  <c r="Y32" i="2"/>
  <c r="X40" i="2"/>
  <c r="R32" i="2"/>
  <c r="Q40" i="2"/>
  <c r="K50" i="2"/>
  <c r="AF32" i="2"/>
  <c r="AE40" i="2"/>
  <c r="R50" i="2"/>
  <c r="K32" i="2"/>
  <c r="J40" i="2"/>
  <c r="AF50" i="2"/>
  <c r="AE58" i="2"/>
  <c r="AF58" i="2" s="1"/>
  <c r="E22" i="17"/>
  <c r="E13" i="17"/>
  <c r="E18" i="17"/>
  <c r="E12" i="17"/>
  <c r="E14" i="17"/>
  <c r="E9" i="17"/>
  <c r="E10" i="17"/>
  <c r="D28" i="22"/>
  <c r="CT123" i="16"/>
  <c r="CT126" i="13"/>
  <c r="CT97" i="16"/>
  <c r="DB70" i="16"/>
  <c r="DL61" i="13"/>
  <c r="DK61" i="13"/>
  <c r="CL61" i="13"/>
  <c r="CK61" i="13"/>
  <c r="BL61" i="13"/>
  <c r="BK61" i="13"/>
  <c r="AL61" i="13"/>
  <c r="AK61" i="13"/>
  <c r="L61" i="13"/>
  <c r="K61" i="13"/>
  <c r="X58" i="2" l="1"/>
  <c r="Y58" i="2" s="1"/>
  <c r="Q58" i="2"/>
  <c r="Q64" i="2" s="1"/>
  <c r="R64" i="2"/>
  <c r="J58" i="2"/>
  <c r="K58" i="2" s="1"/>
  <c r="O22" i="10"/>
  <c r="O25" i="10"/>
  <c r="O28" i="10"/>
  <c r="O16" i="10"/>
  <c r="O19" i="10"/>
  <c r="O92" i="10"/>
  <c r="O94" i="10"/>
  <c r="O96" i="10"/>
  <c r="O98" i="10"/>
  <c r="O100" i="10"/>
  <c r="O102" i="10"/>
  <c r="O104" i="10"/>
  <c r="O106" i="10"/>
  <c r="O99" i="10"/>
  <c r="O105" i="10"/>
  <c r="O93" i="10"/>
  <c r="O101" i="10"/>
  <c r="O95" i="10"/>
  <c r="O103" i="10"/>
  <c r="O97" i="10"/>
  <c r="P19" i="10"/>
  <c r="P22" i="10"/>
  <c r="P16" i="10"/>
  <c r="P25" i="10"/>
  <c r="P28" i="10"/>
  <c r="N66" i="10"/>
  <c r="N70" i="10"/>
  <c r="N74" i="10"/>
  <c r="N78" i="10"/>
  <c r="N69" i="10"/>
  <c r="N73" i="10"/>
  <c r="N77" i="10"/>
  <c r="N71" i="10"/>
  <c r="N68" i="10"/>
  <c r="N72" i="10"/>
  <c r="N76" i="10"/>
  <c r="N80" i="10"/>
  <c r="N75" i="10"/>
  <c r="N79" i="10"/>
  <c r="N67" i="10"/>
  <c r="P93" i="10"/>
  <c r="P95" i="10"/>
  <c r="P97" i="10"/>
  <c r="P99" i="10"/>
  <c r="P101" i="10"/>
  <c r="P103" i="10"/>
  <c r="P105" i="10"/>
  <c r="P92" i="10"/>
  <c r="P94" i="10"/>
  <c r="P96" i="10"/>
  <c r="P98" i="10"/>
  <c r="P100" i="10"/>
  <c r="P102" i="10"/>
  <c r="P104" i="10"/>
  <c r="P106" i="10"/>
  <c r="N92" i="10"/>
  <c r="N94" i="10"/>
  <c r="N96" i="10"/>
  <c r="N98" i="10"/>
  <c r="N100" i="10"/>
  <c r="U100" i="10" s="1"/>
  <c r="N102" i="10"/>
  <c r="N104" i="10"/>
  <c r="N106" i="10"/>
  <c r="N93" i="10"/>
  <c r="N95" i="10"/>
  <c r="N97" i="10"/>
  <c r="N99" i="10"/>
  <c r="N101" i="10"/>
  <c r="N103" i="10"/>
  <c r="N105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P68" i="10"/>
  <c r="P72" i="10"/>
  <c r="P76" i="10"/>
  <c r="P80" i="10"/>
  <c r="P67" i="10"/>
  <c r="P71" i="10"/>
  <c r="P75" i="10"/>
  <c r="P79" i="10"/>
  <c r="P73" i="10"/>
  <c r="P77" i="10"/>
  <c r="P66" i="10"/>
  <c r="P70" i="10"/>
  <c r="P74" i="10"/>
  <c r="P78" i="10"/>
  <c r="P69" i="10"/>
  <c r="O67" i="10"/>
  <c r="O71" i="10"/>
  <c r="O75" i="10"/>
  <c r="O79" i="10"/>
  <c r="O66" i="10"/>
  <c r="O70" i="10"/>
  <c r="O74" i="10"/>
  <c r="O78" i="10"/>
  <c r="O80" i="10"/>
  <c r="O69" i="10"/>
  <c r="O73" i="10"/>
  <c r="O77" i="10"/>
  <c r="O72" i="10"/>
  <c r="O76" i="10"/>
  <c r="O68" i="10"/>
  <c r="N25" i="10"/>
  <c r="N16" i="10"/>
  <c r="N28" i="10"/>
  <c r="N19" i="10"/>
  <c r="N22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BN139" i="14"/>
  <c r="DJ139" i="15"/>
  <c r="DJ140" i="15" s="1"/>
  <c r="DJ141" i="15" s="1"/>
  <c r="DJ142" i="15" s="1"/>
  <c r="DJ143" i="15" s="1"/>
  <c r="DJ144" i="15" s="1"/>
  <c r="DJ145" i="15" s="1"/>
  <c r="DJ146" i="15" s="1"/>
  <c r="DJ147" i="15" s="1"/>
  <c r="DJ148" i="15" s="1"/>
  <c r="DJ149" i="15" s="1"/>
  <c r="DJ150" i="15" s="1"/>
  <c r="DJ151" i="15" s="1"/>
  <c r="DJ152" i="15" s="1"/>
  <c r="DJ153" i="15" s="1"/>
  <c r="AK160" i="15" s="1"/>
  <c r="R139" i="14"/>
  <c r="R140" i="14" s="1"/>
  <c r="R141" i="14" s="1"/>
  <c r="R142" i="14" s="1"/>
  <c r="R143" i="14" s="1"/>
  <c r="R144" i="14" s="1"/>
  <c r="R145" i="14" s="1"/>
  <c r="R146" i="14" s="1"/>
  <c r="R147" i="14" s="1"/>
  <c r="R148" i="14" s="1"/>
  <c r="R149" i="14" s="1"/>
  <c r="R150" i="14" s="1"/>
  <c r="R151" i="14" s="1"/>
  <c r="R152" i="14" s="1"/>
  <c r="R153" i="14" s="1"/>
  <c r="AG160" i="14" s="1"/>
  <c r="CL139" i="14"/>
  <c r="CL140" i="14" s="1"/>
  <c r="CL141" i="14" s="1"/>
  <c r="CL142" i="14" s="1"/>
  <c r="CL143" i="14" s="1"/>
  <c r="CL144" i="14" s="1"/>
  <c r="CL145" i="14" s="1"/>
  <c r="CL146" i="14" s="1"/>
  <c r="CL147" i="14" s="1"/>
  <c r="CL148" i="14" s="1"/>
  <c r="CL149" i="14" s="1"/>
  <c r="CL150" i="14" s="1"/>
  <c r="CL151" i="14" s="1"/>
  <c r="CL152" i="14" s="1"/>
  <c r="CL153" i="14" s="1"/>
  <c r="AJ160" i="14" s="1"/>
  <c r="BN139" i="15"/>
  <c r="BN140" i="15" s="1"/>
  <c r="BN141" i="15" s="1"/>
  <c r="BN142" i="15" s="1"/>
  <c r="BN143" i="15" s="1"/>
  <c r="BN144" i="15" s="1"/>
  <c r="BN145" i="15" s="1"/>
  <c r="BN146" i="15" s="1"/>
  <c r="BN147" i="15" s="1"/>
  <c r="BN148" i="15" s="1"/>
  <c r="BN149" i="15" s="1"/>
  <c r="BN150" i="15" s="1"/>
  <c r="BN151" i="15" s="1"/>
  <c r="BN152" i="15" s="1"/>
  <c r="BN153" i="15" s="1"/>
  <c r="AI160" i="15" s="1"/>
  <c r="R139" i="15"/>
  <c r="R140" i="15" s="1"/>
  <c r="R141" i="15" s="1"/>
  <c r="R142" i="15" s="1"/>
  <c r="R143" i="15" s="1"/>
  <c r="R144" i="15" s="1"/>
  <c r="R145" i="15" s="1"/>
  <c r="R146" i="15" s="1"/>
  <c r="R147" i="15" s="1"/>
  <c r="R148" i="15" s="1"/>
  <c r="R149" i="15" s="1"/>
  <c r="R150" i="15" s="1"/>
  <c r="R151" i="15" s="1"/>
  <c r="R152" i="15" s="1"/>
  <c r="R153" i="15" s="1"/>
  <c r="AG160" i="15" s="1"/>
  <c r="AP139" i="15"/>
  <c r="AP140" i="15" s="1"/>
  <c r="AP141" i="15" s="1"/>
  <c r="AP142" i="15" s="1"/>
  <c r="AP143" i="15" s="1"/>
  <c r="AP144" i="15" s="1"/>
  <c r="AP145" i="15" s="1"/>
  <c r="AP146" i="15" s="1"/>
  <c r="AP147" i="15" s="1"/>
  <c r="AP148" i="15" s="1"/>
  <c r="AP149" i="15" s="1"/>
  <c r="AP150" i="15" s="1"/>
  <c r="AP151" i="15" s="1"/>
  <c r="AP152" i="15" s="1"/>
  <c r="AP153" i="15" s="1"/>
  <c r="AH160" i="15" s="1"/>
  <c r="CL139" i="15"/>
  <c r="CL140" i="15" s="1"/>
  <c r="CL141" i="15" s="1"/>
  <c r="CL142" i="15" s="1"/>
  <c r="CL143" i="15" s="1"/>
  <c r="CL144" i="15" s="1"/>
  <c r="CL145" i="15" s="1"/>
  <c r="CL146" i="15" s="1"/>
  <c r="CL147" i="15" s="1"/>
  <c r="CL148" i="15" s="1"/>
  <c r="CL149" i="15" s="1"/>
  <c r="CL150" i="15" s="1"/>
  <c r="CL151" i="15" s="1"/>
  <c r="CL152" i="15" s="1"/>
  <c r="CL153" i="15" s="1"/>
  <c r="AJ160" i="15" s="1"/>
  <c r="BN140" i="14"/>
  <c r="BN141" i="14" s="1"/>
  <c r="BN142" i="14" s="1"/>
  <c r="BN143" i="14" s="1"/>
  <c r="BN144" i="14" s="1"/>
  <c r="BN145" i="14" s="1"/>
  <c r="BN146" i="14" s="1"/>
  <c r="BN147" i="14" s="1"/>
  <c r="BN148" i="14" s="1"/>
  <c r="BN149" i="14" s="1"/>
  <c r="BN150" i="14" s="1"/>
  <c r="BN151" i="14" s="1"/>
  <c r="BN152" i="14" s="1"/>
  <c r="BN153" i="14" s="1"/>
  <c r="AI160" i="14" s="1"/>
  <c r="AP139" i="14"/>
  <c r="AP140" i="14" s="1"/>
  <c r="AP141" i="14" s="1"/>
  <c r="AP142" i="14" s="1"/>
  <c r="AP143" i="14" s="1"/>
  <c r="AP144" i="14" s="1"/>
  <c r="AP145" i="14" s="1"/>
  <c r="AP146" i="14" s="1"/>
  <c r="AP147" i="14" s="1"/>
  <c r="AP148" i="14" s="1"/>
  <c r="AP149" i="14" s="1"/>
  <c r="AP150" i="14" s="1"/>
  <c r="AP151" i="14" s="1"/>
  <c r="AP152" i="14" s="1"/>
  <c r="AP153" i="14" s="1"/>
  <c r="AH160" i="14" s="1"/>
  <c r="DJ139" i="14"/>
  <c r="DJ140" i="14" s="1"/>
  <c r="DJ141" i="14" s="1"/>
  <c r="DJ142" i="14" s="1"/>
  <c r="DJ143" i="14" s="1"/>
  <c r="DJ144" i="14" s="1"/>
  <c r="DJ145" i="14" s="1"/>
  <c r="DJ146" i="14" s="1"/>
  <c r="DJ147" i="14" s="1"/>
  <c r="DJ148" i="14" s="1"/>
  <c r="DJ149" i="14" s="1"/>
  <c r="DJ150" i="14" s="1"/>
  <c r="DJ151" i="14" s="1"/>
  <c r="DJ152" i="14" s="1"/>
  <c r="DJ153" i="14" s="1"/>
  <c r="AK160" i="14" s="1"/>
  <c r="AF40" i="2"/>
  <c r="G81" i="5"/>
  <c r="E81" i="5"/>
  <c r="R40" i="2"/>
  <c r="D81" i="5"/>
  <c r="K40" i="2"/>
  <c r="F81" i="5"/>
  <c r="Y40" i="2"/>
  <c r="CT124" i="16"/>
  <c r="CT127" i="13"/>
  <c r="CT98" i="16"/>
  <c r="DB71" i="16"/>
  <c r="R58" i="2" l="1"/>
  <c r="U95" i="10"/>
  <c r="CC42" i="16" s="1"/>
  <c r="U105" i="10"/>
  <c r="BE52" i="16" s="1"/>
  <c r="U54" i="10"/>
  <c r="U50" i="10"/>
  <c r="U46" i="10"/>
  <c r="U42" i="10"/>
  <c r="U103" i="10"/>
  <c r="AG50" i="16" s="1"/>
  <c r="U102" i="10"/>
  <c r="DA49" i="16" s="1"/>
  <c r="U94" i="10"/>
  <c r="DA41" i="16" s="1"/>
  <c r="U106" i="10"/>
  <c r="DA53" i="16" s="1"/>
  <c r="U98" i="10"/>
  <c r="AG45" i="16" s="1"/>
  <c r="DA124" i="16"/>
  <c r="BE42" i="16"/>
  <c r="AG42" i="16"/>
  <c r="DA42" i="16"/>
  <c r="U53" i="10"/>
  <c r="U49" i="10"/>
  <c r="U45" i="10"/>
  <c r="U41" i="10"/>
  <c r="U101" i="10"/>
  <c r="CC47" i="16"/>
  <c r="BE47" i="16"/>
  <c r="AG47" i="16"/>
  <c r="DA47" i="16"/>
  <c r="I47" i="16"/>
  <c r="U52" i="10"/>
  <c r="U48" i="10"/>
  <c r="U44" i="10"/>
  <c r="U40" i="10"/>
  <c r="U99" i="10"/>
  <c r="BE53" i="16"/>
  <c r="AG53" i="16"/>
  <c r="U80" i="10"/>
  <c r="U51" i="10"/>
  <c r="U47" i="10"/>
  <c r="U43" i="10"/>
  <c r="DA52" i="16"/>
  <c r="U97" i="10"/>
  <c r="U104" i="10"/>
  <c r="U96" i="10"/>
  <c r="CT125" i="16"/>
  <c r="CT128" i="13"/>
  <c r="CT99" i="16"/>
  <c r="DB72" i="16"/>
  <c r="CC125" i="15" l="1"/>
  <c r="AG125" i="15"/>
  <c r="DA125" i="14"/>
  <c r="BE125" i="14"/>
  <c r="I125" i="14"/>
  <c r="CC125" i="13"/>
  <c r="AG125" i="13"/>
  <c r="DA125" i="15"/>
  <c r="BE125" i="15"/>
  <c r="I125" i="15"/>
  <c r="CC125" i="14"/>
  <c r="AG125" i="14"/>
  <c r="DA125" i="13"/>
  <c r="BE125" i="13"/>
  <c r="I125" i="13"/>
  <c r="DA126" i="15"/>
  <c r="BE126" i="15"/>
  <c r="I126" i="15"/>
  <c r="AG126" i="14"/>
  <c r="DA126" i="13"/>
  <c r="BE126" i="13"/>
  <c r="BE126" i="14"/>
  <c r="I126" i="14"/>
  <c r="CC126" i="13"/>
  <c r="AG126" i="13"/>
  <c r="CC126" i="15"/>
  <c r="AG126" i="15"/>
  <c r="DA126" i="14"/>
  <c r="CC126" i="14"/>
  <c r="I126" i="13"/>
  <c r="DA119" i="15"/>
  <c r="BE119" i="15"/>
  <c r="I119" i="15"/>
  <c r="CC119" i="14"/>
  <c r="AG119" i="14"/>
  <c r="DA119" i="13"/>
  <c r="BE119" i="13"/>
  <c r="I119" i="13"/>
  <c r="CC119" i="15"/>
  <c r="AG119" i="15"/>
  <c r="DA119" i="14"/>
  <c r="BE119" i="14"/>
  <c r="I119" i="14"/>
  <c r="CC119" i="13"/>
  <c r="AG119" i="13"/>
  <c r="AG116" i="16"/>
  <c r="CC116" i="15"/>
  <c r="AG116" i="15"/>
  <c r="DA116" i="14"/>
  <c r="BE116" i="14"/>
  <c r="I116" i="14"/>
  <c r="CC116" i="13"/>
  <c r="AG116" i="13"/>
  <c r="DA116" i="15"/>
  <c r="BE116" i="15"/>
  <c r="BE116" i="13"/>
  <c r="I116" i="15"/>
  <c r="CC116" i="14"/>
  <c r="AG116" i="14"/>
  <c r="DA116" i="13"/>
  <c r="I116" i="13"/>
  <c r="DA114" i="15"/>
  <c r="BE114" i="15"/>
  <c r="I114" i="15"/>
  <c r="CC114" i="14"/>
  <c r="CC114" i="15"/>
  <c r="AG114" i="15"/>
  <c r="DA114" i="14"/>
  <c r="AG114" i="13"/>
  <c r="AG114" i="14"/>
  <c r="DA114" i="13"/>
  <c r="BE114" i="13"/>
  <c r="I114" i="13"/>
  <c r="BE114" i="14"/>
  <c r="I114" i="14"/>
  <c r="CC114" i="13"/>
  <c r="DA123" i="15"/>
  <c r="BE123" i="15"/>
  <c r="I123" i="15"/>
  <c r="CC123" i="14"/>
  <c r="AG123" i="14"/>
  <c r="DA123" i="13"/>
  <c r="BE123" i="13"/>
  <c r="I123" i="13"/>
  <c r="CC123" i="15"/>
  <c r="AG123" i="15"/>
  <c r="DA123" i="14"/>
  <c r="BE123" i="14"/>
  <c r="I123" i="14"/>
  <c r="CC123" i="13"/>
  <c r="AG123" i="13"/>
  <c r="DA120" i="16"/>
  <c r="CC120" i="15"/>
  <c r="AG120" i="15"/>
  <c r="DA120" i="14"/>
  <c r="CC120" i="14"/>
  <c r="AG120" i="14"/>
  <c r="DA120" i="13"/>
  <c r="BE120" i="13"/>
  <c r="I120" i="13"/>
  <c r="I120" i="14"/>
  <c r="CC120" i="13"/>
  <c r="DA120" i="15"/>
  <c r="BE120" i="15"/>
  <c r="I120" i="15"/>
  <c r="BE120" i="14"/>
  <c r="AG120" i="13"/>
  <c r="CC117" i="15"/>
  <c r="AG117" i="15"/>
  <c r="DA117" i="14"/>
  <c r="BE117" i="14"/>
  <c r="I117" i="14"/>
  <c r="CC117" i="13"/>
  <c r="AG117" i="13"/>
  <c r="DA117" i="15"/>
  <c r="BE117" i="15"/>
  <c r="I117" i="15"/>
  <c r="CC117" i="14"/>
  <c r="AG117" i="14"/>
  <c r="DA117" i="13"/>
  <c r="BE117" i="13"/>
  <c r="I117" i="13"/>
  <c r="DA118" i="15"/>
  <c r="BE118" i="15"/>
  <c r="I118" i="15"/>
  <c r="CC118" i="14"/>
  <c r="I118" i="13"/>
  <c r="CC118" i="15"/>
  <c r="AG118" i="15"/>
  <c r="DA118" i="14"/>
  <c r="BE118" i="14"/>
  <c r="I118" i="14"/>
  <c r="CC118" i="13"/>
  <c r="AG118" i="13"/>
  <c r="AG118" i="14"/>
  <c r="DA118" i="13"/>
  <c r="BE118" i="13"/>
  <c r="DA127" i="15"/>
  <c r="BE127" i="15"/>
  <c r="I127" i="15"/>
  <c r="CC127" i="14"/>
  <c r="AG127" i="14"/>
  <c r="DA127" i="13"/>
  <c r="BE127" i="13"/>
  <c r="I127" i="13"/>
  <c r="CC127" i="15"/>
  <c r="AG127" i="15"/>
  <c r="DA127" i="14"/>
  <c r="BE127" i="14"/>
  <c r="I127" i="14"/>
  <c r="CC127" i="13"/>
  <c r="AG127" i="13"/>
  <c r="CC124" i="16"/>
  <c r="CC124" i="15"/>
  <c r="AG124" i="15"/>
  <c r="DA124" i="14"/>
  <c r="DA124" i="15"/>
  <c r="BE124" i="15"/>
  <c r="I124" i="15"/>
  <c r="BE124" i="14"/>
  <c r="I124" i="14"/>
  <c r="CC124" i="13"/>
  <c r="AG124" i="13"/>
  <c r="CC124" i="14"/>
  <c r="AG124" i="14"/>
  <c r="DA124" i="13"/>
  <c r="I124" i="13"/>
  <c r="BE124" i="13"/>
  <c r="CC121" i="15"/>
  <c r="AG121" i="15"/>
  <c r="DA121" i="14"/>
  <c r="BE121" i="14"/>
  <c r="I121" i="14"/>
  <c r="CC121" i="13"/>
  <c r="AG121" i="13"/>
  <c r="DA121" i="15"/>
  <c r="BE121" i="15"/>
  <c r="I121" i="15"/>
  <c r="CC121" i="14"/>
  <c r="AG121" i="14"/>
  <c r="DA121" i="13"/>
  <c r="BE121" i="13"/>
  <c r="I121" i="13"/>
  <c r="DA122" i="15"/>
  <c r="BE122" i="15"/>
  <c r="I122" i="15"/>
  <c r="DA122" i="14"/>
  <c r="BE122" i="14"/>
  <c r="I122" i="14"/>
  <c r="CC122" i="13"/>
  <c r="CC122" i="14"/>
  <c r="AG122" i="14"/>
  <c r="DA122" i="13"/>
  <c r="BE122" i="13"/>
  <c r="I122" i="13"/>
  <c r="CC122" i="15"/>
  <c r="AG122" i="15"/>
  <c r="AG122" i="13"/>
  <c r="DA115" i="15"/>
  <c r="BE115" i="15"/>
  <c r="I115" i="15"/>
  <c r="CC115" i="14"/>
  <c r="AG115" i="14"/>
  <c r="DA115" i="13"/>
  <c r="BE115" i="13"/>
  <c r="I115" i="13"/>
  <c r="CC115" i="15"/>
  <c r="AG115" i="15"/>
  <c r="DA115" i="14"/>
  <c r="BE115" i="14"/>
  <c r="I115" i="14"/>
  <c r="CC115" i="13"/>
  <c r="AG115" i="13"/>
  <c r="BE128" i="16"/>
  <c r="CC128" i="15"/>
  <c r="AG128" i="15"/>
  <c r="DA128" i="14"/>
  <c r="CC128" i="14"/>
  <c r="AG128" i="14"/>
  <c r="DA128" i="13"/>
  <c r="BE128" i="13"/>
  <c r="I128" i="13"/>
  <c r="BE128" i="14"/>
  <c r="AG128" i="13"/>
  <c r="DA128" i="15"/>
  <c r="BE128" i="15"/>
  <c r="I128" i="15"/>
  <c r="I128" i="14"/>
  <c r="CC128" i="13"/>
  <c r="AG49" i="16"/>
  <c r="I52" i="16"/>
  <c r="BE49" i="16"/>
  <c r="BE50" i="16"/>
  <c r="BE116" i="16"/>
  <c r="CC116" i="16"/>
  <c r="CC52" i="16"/>
  <c r="BE45" i="16"/>
  <c r="I42" i="16"/>
  <c r="I128" i="16"/>
  <c r="CC45" i="16"/>
  <c r="AG52" i="16"/>
  <c r="DA45" i="16"/>
  <c r="I53" i="16"/>
  <c r="CC53" i="16"/>
  <c r="DA50" i="16"/>
  <c r="I116" i="16"/>
  <c r="DA116" i="16"/>
  <c r="CC128" i="16"/>
  <c r="I45" i="16"/>
  <c r="I50" i="16"/>
  <c r="CC50" i="16"/>
  <c r="AG128" i="16"/>
  <c r="DA128" i="16"/>
  <c r="I49" i="16"/>
  <c r="CC49" i="16"/>
  <c r="I124" i="16"/>
  <c r="AG41" i="16"/>
  <c r="AG124" i="16"/>
  <c r="AG120" i="16"/>
  <c r="BE41" i="16"/>
  <c r="BE120" i="16"/>
  <c r="I41" i="16"/>
  <c r="CC41" i="16"/>
  <c r="CC120" i="16"/>
  <c r="BE124" i="16"/>
  <c r="I120" i="16"/>
  <c r="DA118" i="16"/>
  <c r="CC118" i="16"/>
  <c r="BE118" i="16"/>
  <c r="AG118" i="16"/>
  <c r="I118" i="16"/>
  <c r="DA123" i="16"/>
  <c r="CC123" i="16"/>
  <c r="BE123" i="16"/>
  <c r="AG123" i="16"/>
  <c r="I123" i="16"/>
  <c r="CC43" i="16"/>
  <c r="BE43" i="16"/>
  <c r="AG43" i="16"/>
  <c r="DA43" i="16"/>
  <c r="I43" i="16"/>
  <c r="DA117" i="16"/>
  <c r="CC117" i="16"/>
  <c r="BE117" i="16"/>
  <c r="AG117" i="16"/>
  <c r="I117" i="16"/>
  <c r="DA122" i="16"/>
  <c r="CC122" i="16"/>
  <c r="BE122" i="16"/>
  <c r="AG122" i="16"/>
  <c r="I122" i="16"/>
  <c r="CC48" i="16"/>
  <c r="BE48" i="16"/>
  <c r="AG48" i="16"/>
  <c r="DA48" i="16"/>
  <c r="I48" i="16"/>
  <c r="DA127" i="16"/>
  <c r="CC127" i="16"/>
  <c r="BE127" i="16"/>
  <c r="AG127" i="16"/>
  <c r="I127" i="16"/>
  <c r="CC51" i="16"/>
  <c r="BE51" i="16"/>
  <c r="AG51" i="16"/>
  <c r="DA51" i="16"/>
  <c r="I51" i="16"/>
  <c r="DA121" i="16"/>
  <c r="CC121" i="16"/>
  <c r="BE121" i="16"/>
  <c r="AG121" i="16"/>
  <c r="I121" i="16"/>
  <c r="CC46" i="16"/>
  <c r="BE46" i="16"/>
  <c r="AG46" i="16"/>
  <c r="DA46" i="16"/>
  <c r="I46" i="16"/>
  <c r="DA126" i="16"/>
  <c r="CC126" i="16"/>
  <c r="BE126" i="16"/>
  <c r="AG126" i="16"/>
  <c r="I126" i="16"/>
  <c r="DA115" i="16"/>
  <c r="CC115" i="16"/>
  <c r="BE115" i="16"/>
  <c r="AG115" i="16"/>
  <c r="I115" i="16"/>
  <c r="CC44" i="16"/>
  <c r="BE44" i="16"/>
  <c r="AG44" i="16"/>
  <c r="DA44" i="16"/>
  <c r="I44" i="16"/>
  <c r="DA125" i="16"/>
  <c r="CC125" i="16"/>
  <c r="BE125" i="16"/>
  <c r="AG125" i="16"/>
  <c r="I125" i="16"/>
  <c r="DA27" i="16"/>
  <c r="CC27" i="16"/>
  <c r="BE27" i="16"/>
  <c r="AG27" i="16"/>
  <c r="I27" i="16"/>
  <c r="DA114" i="16"/>
  <c r="CC114" i="16"/>
  <c r="BE114" i="16"/>
  <c r="AG114" i="16"/>
  <c r="I114" i="16"/>
  <c r="DA119" i="16"/>
  <c r="CC119" i="16"/>
  <c r="BE119" i="16"/>
  <c r="AG119" i="16"/>
  <c r="I119" i="16"/>
  <c r="CT126" i="16"/>
  <c r="CT100" i="16"/>
  <c r="DB73" i="16"/>
  <c r="CT127" i="16" l="1"/>
  <c r="CT101" i="16"/>
  <c r="DB74" i="16"/>
  <c r="CT128" i="16" l="1"/>
  <c r="CT102" i="16"/>
  <c r="DB75" i="16"/>
  <c r="CT103" i="16" l="1"/>
  <c r="DB76" i="16"/>
  <c r="DB77" i="16" l="1"/>
  <c r="DB78" i="16" l="1"/>
  <c r="I7" i="23" l="1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H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15" i="3"/>
  <c r="F9" i="23" l="1"/>
  <c r="F18" i="23"/>
  <c r="E8" i="23"/>
  <c r="E16" i="23"/>
  <c r="E17" i="23"/>
  <c r="D7" i="23"/>
  <c r="D8" i="23"/>
  <c r="D9" i="23"/>
  <c r="D11" i="23"/>
  <c r="D12" i="23"/>
  <c r="D14" i="23"/>
  <c r="D15" i="23"/>
  <c r="D17" i="23"/>
  <c r="D18" i="23"/>
  <c r="D20" i="23"/>
  <c r="D21" i="23"/>
  <c r="D21" i="22"/>
  <c r="D18" i="22"/>
  <c r="D15" i="22"/>
  <c r="D12" i="22"/>
  <c r="D9" i="22"/>
  <c r="E12" i="23"/>
  <c r="F11" i="23"/>
  <c r="D19" i="23" l="1"/>
  <c r="D16" i="23"/>
  <c r="K16" i="23" s="1"/>
  <c r="D10" i="23"/>
  <c r="D22" i="23"/>
  <c r="D13" i="23"/>
  <c r="K8" i="23"/>
  <c r="F17" i="23"/>
  <c r="E18" i="23"/>
  <c r="K18" i="23" s="1"/>
  <c r="L18" i="23" s="1"/>
  <c r="F10" i="23"/>
  <c r="E10" i="23"/>
  <c r="E9" i="23"/>
  <c r="K9" i="23" s="1"/>
  <c r="L9" i="23" s="1"/>
  <c r="F16" i="23"/>
  <c r="F8" i="23"/>
  <c r="K17" i="23"/>
  <c r="E7" i="23"/>
  <c r="K7" i="23" s="1"/>
  <c r="E15" i="23"/>
  <c r="K15" i="23" s="1"/>
  <c r="F7" i="23"/>
  <c r="F15" i="23"/>
  <c r="E22" i="23"/>
  <c r="E14" i="23"/>
  <c r="K14" i="23" s="1"/>
  <c r="F22" i="23"/>
  <c r="F14" i="23"/>
  <c r="E21" i="23"/>
  <c r="K21" i="23" s="1"/>
  <c r="E13" i="23"/>
  <c r="F21" i="23"/>
  <c r="F13" i="23"/>
  <c r="K12" i="23"/>
  <c r="E20" i="23"/>
  <c r="K20" i="23" s="1"/>
  <c r="F20" i="23"/>
  <c r="F12" i="23"/>
  <c r="E19" i="23"/>
  <c r="E11" i="23"/>
  <c r="K11" i="23" s="1"/>
  <c r="L11" i="23" s="1"/>
  <c r="F19" i="23"/>
  <c r="K19" i="23" l="1"/>
  <c r="L19" i="23" s="1"/>
  <c r="K13" i="23"/>
  <c r="L13" i="23" s="1"/>
  <c r="K22" i="23"/>
  <c r="L22" i="23" s="1"/>
  <c r="K10" i="23"/>
  <c r="L10" i="23" s="1"/>
  <c r="L17" i="23"/>
  <c r="L21" i="23"/>
  <c r="L16" i="23"/>
  <c r="L15" i="23"/>
  <c r="L20" i="23"/>
  <c r="L8" i="23"/>
  <c r="L14" i="23"/>
  <c r="L7" i="23"/>
  <c r="L12" i="23"/>
  <c r="P140" i="3"/>
  <c r="Z74" i="3" l="1"/>
  <c r="AB74" i="3" s="1"/>
  <c r="AB81" i="3" s="1"/>
  <c r="U74" i="3"/>
  <c r="P74" i="3"/>
  <c r="K74" i="3"/>
  <c r="F74" i="3"/>
  <c r="F40" i="1"/>
  <c r="G40" i="1"/>
  <c r="E40" i="1"/>
  <c r="F63" i="1"/>
  <c r="G63" i="1"/>
  <c r="H63" i="1"/>
  <c r="I63" i="1"/>
  <c r="E63" i="1"/>
  <c r="C4" i="7"/>
  <c r="F17" i="1"/>
  <c r="G17" i="1"/>
  <c r="E17" i="1"/>
  <c r="F16" i="1"/>
  <c r="G16" i="1"/>
  <c r="H16" i="1"/>
  <c r="I16" i="1"/>
  <c r="E16" i="1"/>
  <c r="G14" i="1"/>
  <c r="E14" i="1"/>
  <c r="H13" i="1"/>
  <c r="I13" i="1"/>
  <c r="E13" i="1"/>
  <c r="F70" i="1"/>
  <c r="G70" i="1"/>
  <c r="H70" i="1"/>
  <c r="I70" i="1"/>
  <c r="E70" i="1"/>
  <c r="F69" i="1"/>
  <c r="G69" i="1"/>
  <c r="H69" i="1"/>
  <c r="I69" i="1"/>
  <c r="E69" i="1"/>
  <c r="F18" i="1"/>
  <c r="G18" i="1"/>
  <c r="H18" i="1"/>
  <c r="I18" i="1"/>
  <c r="E18" i="1"/>
  <c r="C6" i="9"/>
  <c r="X27" i="7" l="1"/>
  <c r="I21" i="7"/>
  <c r="X21" i="7"/>
  <c r="X33" i="7"/>
  <c r="S21" i="7"/>
  <c r="S26" i="7"/>
  <c r="N21" i="7"/>
  <c r="I118" i="7"/>
  <c r="I122" i="7" s="1"/>
  <c r="N57" i="7"/>
  <c r="N58" i="7" s="1"/>
  <c r="X50" i="7"/>
  <c r="X54" i="7" s="1"/>
  <c r="S120" i="7"/>
  <c r="S122" i="7" s="1"/>
  <c r="I52" i="7"/>
  <c r="I54" i="7" s="1"/>
  <c r="X121" i="7"/>
  <c r="X122" i="7" s="1"/>
  <c r="X57" i="7"/>
  <c r="X58" i="7" s="1"/>
  <c r="I57" i="7"/>
  <c r="I58" i="7" s="1"/>
  <c r="N119" i="7"/>
  <c r="N122" i="7" s="1"/>
  <c r="S57" i="7"/>
  <c r="N52" i="7"/>
  <c r="N54" i="7" s="1"/>
  <c r="N108" i="7"/>
  <c r="N115" i="7" s="1"/>
  <c r="I108" i="7"/>
  <c r="I115" i="7" s="1"/>
  <c r="S104" i="7"/>
  <c r="S105" i="7" s="1"/>
  <c r="X104" i="7"/>
  <c r="X105" i="7" s="1"/>
  <c r="S65" i="7"/>
  <c r="S72" i="7" s="1"/>
  <c r="X65" i="7"/>
  <c r="X72" i="7" s="1"/>
  <c r="I92" i="7"/>
  <c r="I101" i="7" s="1"/>
  <c r="X92" i="7"/>
  <c r="N92" i="7"/>
  <c r="S92" i="7"/>
  <c r="X76" i="7"/>
  <c r="N76" i="7"/>
  <c r="N85" i="7" s="1"/>
  <c r="S76" i="7"/>
  <c r="S85" i="7" s="1"/>
  <c r="I76" i="7"/>
  <c r="I85" i="7" s="1"/>
  <c r="N65" i="7"/>
  <c r="N72" i="7" s="1"/>
  <c r="S61" i="7"/>
  <c r="S62" i="7" s="1"/>
  <c r="S52" i="7"/>
  <c r="I65" i="7"/>
  <c r="I72" i="7" s="1"/>
  <c r="X61" i="7"/>
  <c r="X62" i="7" s="1"/>
  <c r="C6" i="10"/>
  <c r="B4" i="16"/>
  <c r="F14" i="1"/>
  <c r="AB24" i="10" l="1"/>
  <c r="AB15" i="10"/>
  <c r="AB20" i="10"/>
  <c r="AB17" i="10"/>
  <c r="AB21" i="10"/>
  <c r="AB23" i="10"/>
  <c r="AB18" i="10"/>
  <c r="AB14" i="10"/>
  <c r="AB27" i="10"/>
  <c r="AB26" i="10"/>
  <c r="AA71" i="10"/>
  <c r="AA42" i="10"/>
  <c r="AA79" i="10"/>
  <c r="AA75" i="10"/>
  <c r="AA95" i="10"/>
  <c r="AA98" i="10"/>
  <c r="AA13" i="10"/>
  <c r="AA96" i="10"/>
  <c r="AA92" i="10"/>
  <c r="AA47" i="10"/>
  <c r="AA50" i="10"/>
  <c r="AA91" i="10"/>
  <c r="AA53" i="10"/>
  <c r="AA49" i="10"/>
  <c r="AA77" i="10"/>
  <c r="AA80" i="10"/>
  <c r="AA66" i="10"/>
  <c r="AA48" i="10"/>
  <c r="AA14" i="10"/>
  <c r="AA40" i="10"/>
  <c r="AA18" i="10"/>
  <c r="AA51" i="10"/>
  <c r="AA27" i="10"/>
  <c r="AA16" i="10"/>
  <c r="AA20" i="10"/>
  <c r="AA25" i="10"/>
  <c r="AA22" i="10"/>
  <c r="AA24" i="10"/>
  <c r="AA65" i="10"/>
  <c r="AA45" i="10"/>
  <c r="AA41" i="10"/>
  <c r="AA73" i="10"/>
  <c r="AA76" i="10"/>
  <c r="AA23" i="10"/>
  <c r="AA94" i="10"/>
  <c r="AA105" i="10"/>
  <c r="AA101" i="10"/>
  <c r="AA103" i="10"/>
  <c r="AA106" i="10"/>
  <c r="AA52" i="10"/>
  <c r="AA17" i="10"/>
  <c r="AA39" i="10"/>
  <c r="AA78" i="10"/>
  <c r="AA74" i="10"/>
  <c r="AA43" i="10"/>
  <c r="AA46" i="10"/>
  <c r="AA70" i="10"/>
  <c r="AA68" i="10"/>
  <c r="AA97" i="10"/>
  <c r="AA93" i="10"/>
  <c r="AA99" i="10"/>
  <c r="AA102" i="10"/>
  <c r="AA67" i="10"/>
  <c r="AA104" i="10"/>
  <c r="AA54" i="10"/>
  <c r="AA26" i="10"/>
  <c r="AA15" i="10"/>
  <c r="AA19" i="10"/>
  <c r="AA69" i="10"/>
  <c r="AA72" i="10"/>
  <c r="AA28" i="10"/>
  <c r="AA44" i="10"/>
  <c r="AA21" i="10"/>
  <c r="AA100" i="10"/>
  <c r="R138" i="16"/>
  <c r="S54" i="7"/>
  <c r="S58" i="7" s="1"/>
  <c r="X101" i="7"/>
  <c r="N101" i="7"/>
  <c r="S101" i="7"/>
  <c r="X85" i="7"/>
  <c r="DD72" i="16"/>
  <c r="CD72" i="16"/>
  <c r="BD72" i="16"/>
  <c r="AD72" i="16"/>
  <c r="D72" i="16"/>
  <c r="DD72" i="15"/>
  <c r="CD72" i="15"/>
  <c r="BD72" i="15"/>
  <c r="AD72" i="15"/>
  <c r="D72" i="15"/>
  <c r="DD77" i="14"/>
  <c r="CD77" i="14"/>
  <c r="DD72" i="14"/>
  <c r="CD72" i="14"/>
  <c r="BD77" i="14"/>
  <c r="AD77" i="16"/>
  <c r="AD67" i="16"/>
  <c r="BD77" i="15"/>
  <c r="BD67" i="15"/>
  <c r="BD72" i="14"/>
  <c r="AD67" i="14"/>
  <c r="D77" i="14"/>
  <c r="D67" i="14"/>
  <c r="DD67" i="13"/>
  <c r="CD67" i="13"/>
  <c r="BD67" i="13"/>
  <c r="AD67" i="13"/>
  <c r="D67" i="13"/>
  <c r="DD77" i="16"/>
  <c r="DD67" i="16"/>
  <c r="D77" i="16"/>
  <c r="D67" i="16"/>
  <c r="AD77" i="15"/>
  <c r="AD67" i="15"/>
  <c r="BD67" i="14"/>
  <c r="CD77" i="16"/>
  <c r="CD67" i="16"/>
  <c r="DD77" i="15"/>
  <c r="DD67" i="15"/>
  <c r="D77" i="15"/>
  <c r="D67" i="15"/>
  <c r="DD67" i="14"/>
  <c r="CD67" i="14"/>
  <c r="AD77" i="14"/>
  <c r="D72" i="14"/>
  <c r="DD77" i="13"/>
  <c r="CD77" i="13"/>
  <c r="BD77" i="13"/>
  <c r="AD77" i="13"/>
  <c r="D77" i="13"/>
  <c r="BD77" i="16"/>
  <c r="BD67" i="16"/>
  <c r="CD77" i="15"/>
  <c r="CD67" i="15"/>
  <c r="AD72" i="14"/>
  <c r="DD72" i="13"/>
  <c r="D72" i="13"/>
  <c r="BD72" i="13"/>
  <c r="AD72" i="13"/>
  <c r="CD72" i="13"/>
  <c r="DD66" i="14"/>
  <c r="CD66" i="14"/>
  <c r="DD76" i="16"/>
  <c r="DD66" i="16"/>
  <c r="CD76" i="16"/>
  <c r="CD66" i="16"/>
  <c r="BD76" i="16"/>
  <c r="BD66" i="16"/>
  <c r="AD76" i="16"/>
  <c r="AD66" i="16"/>
  <c r="D76" i="16"/>
  <c r="D66" i="16"/>
  <c r="DD76" i="15"/>
  <c r="DD66" i="15"/>
  <c r="CD76" i="15"/>
  <c r="CD66" i="15"/>
  <c r="BD76" i="15"/>
  <c r="BD66" i="15"/>
  <c r="AD76" i="15"/>
  <c r="AD66" i="15"/>
  <c r="D76" i="15"/>
  <c r="D66" i="15"/>
  <c r="DD76" i="14"/>
  <c r="CD76" i="14"/>
  <c r="AD71" i="16"/>
  <c r="BD71" i="15"/>
  <c r="BD76" i="14"/>
  <c r="AD71" i="14"/>
  <c r="D71" i="14"/>
  <c r="DD71" i="13"/>
  <c r="CD71" i="13"/>
  <c r="BD71" i="13"/>
  <c r="AD71" i="13"/>
  <c r="D71" i="13"/>
  <c r="DD71" i="16"/>
  <c r="D71" i="16"/>
  <c r="AD71" i="15"/>
  <c r="BD71" i="14"/>
  <c r="AD66" i="14"/>
  <c r="CD71" i="16"/>
  <c r="DD71" i="15"/>
  <c r="D71" i="15"/>
  <c r="DD71" i="14"/>
  <c r="CD71" i="14"/>
  <c r="BD66" i="14"/>
  <c r="D76" i="14"/>
  <c r="D66" i="14"/>
  <c r="BD71" i="16"/>
  <c r="CD71" i="15"/>
  <c r="AD76" i="14"/>
  <c r="DD76" i="13"/>
  <c r="DD66" i="13"/>
  <c r="D76" i="13"/>
  <c r="D66" i="13"/>
  <c r="CD76" i="13"/>
  <c r="CD66" i="13"/>
  <c r="BD76" i="13"/>
  <c r="BD66" i="13"/>
  <c r="AD76" i="13"/>
  <c r="AD66" i="13"/>
  <c r="F5" i="18"/>
  <c r="G13" i="1"/>
  <c r="E5" i="18"/>
  <c r="F13" i="1"/>
  <c r="D4" i="16"/>
  <c r="C4" i="16"/>
  <c r="B4" i="13"/>
  <c r="D28" i="23"/>
  <c r="D28" i="17"/>
  <c r="AP138" i="16" l="1"/>
  <c r="BN138" i="16"/>
  <c r="R139" i="16"/>
  <c r="R140" i="16" s="1"/>
  <c r="R141" i="16" s="1"/>
  <c r="R142" i="16" s="1"/>
  <c r="R143" i="16" s="1"/>
  <c r="R144" i="16" s="1"/>
  <c r="R145" i="16" s="1"/>
  <c r="R146" i="16" s="1"/>
  <c r="R147" i="16" s="1"/>
  <c r="R148" i="16" s="1"/>
  <c r="R149" i="16" s="1"/>
  <c r="R150" i="16" s="1"/>
  <c r="R151" i="16" s="1"/>
  <c r="R152" i="16" s="1"/>
  <c r="R153" i="16" s="1"/>
  <c r="AG160" i="16" s="1"/>
  <c r="DJ138" i="13"/>
  <c r="AP138" i="13"/>
  <c r="CL138" i="13"/>
  <c r="R138" i="13"/>
  <c r="BN138" i="13"/>
  <c r="BN139" i="13" s="1"/>
  <c r="BN140" i="13" s="1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7" i="17"/>
  <c r="BN139" i="16" l="1"/>
  <c r="CL139" i="13"/>
  <c r="CL140" i="13" s="1"/>
  <c r="CL141" i="13" s="1"/>
  <c r="CL142" i="13" s="1"/>
  <c r="CL143" i="13" s="1"/>
  <c r="CL144" i="13" s="1"/>
  <c r="CL145" i="13" s="1"/>
  <c r="CL146" i="13" s="1"/>
  <c r="CL147" i="13" s="1"/>
  <c r="CL148" i="13" s="1"/>
  <c r="CL149" i="13" s="1"/>
  <c r="CL150" i="13" s="1"/>
  <c r="CL151" i="13" s="1"/>
  <c r="CL152" i="13" s="1"/>
  <c r="CL153" i="13" s="1"/>
  <c r="AJ160" i="13" s="1"/>
  <c r="BN141" i="13"/>
  <c r="BN142" i="13" s="1"/>
  <c r="BN143" i="13" s="1"/>
  <c r="BN144" i="13" s="1"/>
  <c r="BN145" i="13" s="1"/>
  <c r="BN146" i="13" s="1"/>
  <c r="BN147" i="13" s="1"/>
  <c r="BN148" i="13" s="1"/>
  <c r="BN149" i="13" s="1"/>
  <c r="BN150" i="13" s="1"/>
  <c r="BN151" i="13" s="1"/>
  <c r="BN152" i="13" s="1"/>
  <c r="BN153" i="13" s="1"/>
  <c r="AI160" i="13" s="1"/>
  <c r="BN140" i="16"/>
  <c r="BN141" i="16" s="1"/>
  <c r="BN142" i="16" s="1"/>
  <c r="BN143" i="16" s="1"/>
  <c r="BN144" i="16" s="1"/>
  <c r="BN145" i="16" s="1"/>
  <c r="BN146" i="16" s="1"/>
  <c r="BN147" i="16" s="1"/>
  <c r="BN148" i="16" s="1"/>
  <c r="BN149" i="16" s="1"/>
  <c r="BN150" i="16" s="1"/>
  <c r="BN151" i="16" s="1"/>
  <c r="BN152" i="16" s="1"/>
  <c r="BN153" i="16" s="1"/>
  <c r="AI160" i="16" s="1"/>
  <c r="AP139" i="16"/>
  <c r="AP140" i="16" s="1"/>
  <c r="AP141" i="16" s="1"/>
  <c r="AP142" i="16" s="1"/>
  <c r="AP143" i="16" s="1"/>
  <c r="AP144" i="16" s="1"/>
  <c r="AP145" i="16" s="1"/>
  <c r="AP146" i="16" s="1"/>
  <c r="AP147" i="16" s="1"/>
  <c r="AP148" i="16" s="1"/>
  <c r="AP149" i="16" s="1"/>
  <c r="AP150" i="16" s="1"/>
  <c r="AP151" i="16" s="1"/>
  <c r="AP152" i="16" s="1"/>
  <c r="AP153" i="16" s="1"/>
  <c r="AH160" i="16" s="1"/>
  <c r="R139" i="13"/>
  <c r="R140" i="13" s="1"/>
  <c r="R141" i="13" s="1"/>
  <c r="R142" i="13" s="1"/>
  <c r="R143" i="13" s="1"/>
  <c r="R144" i="13" s="1"/>
  <c r="R145" i="13" s="1"/>
  <c r="R146" i="13" s="1"/>
  <c r="R147" i="13" s="1"/>
  <c r="R148" i="13" s="1"/>
  <c r="R149" i="13" s="1"/>
  <c r="R150" i="13" s="1"/>
  <c r="R151" i="13" s="1"/>
  <c r="R152" i="13" s="1"/>
  <c r="R153" i="13" s="1"/>
  <c r="AG160" i="13" s="1"/>
  <c r="AP139" i="13"/>
  <c r="AP140" i="13" s="1"/>
  <c r="AP141" i="13" s="1"/>
  <c r="AP142" i="13" s="1"/>
  <c r="AP143" i="13" s="1"/>
  <c r="AP144" i="13" s="1"/>
  <c r="AP145" i="13" s="1"/>
  <c r="AP146" i="13" s="1"/>
  <c r="AP147" i="13" s="1"/>
  <c r="AP148" i="13" s="1"/>
  <c r="AP149" i="13" s="1"/>
  <c r="AP150" i="13" s="1"/>
  <c r="AP151" i="13" s="1"/>
  <c r="AP152" i="13" s="1"/>
  <c r="AP153" i="13" s="1"/>
  <c r="AH160" i="13" s="1"/>
  <c r="DJ139" i="13"/>
  <c r="DJ140" i="13" s="1"/>
  <c r="DJ141" i="13" s="1"/>
  <c r="DJ142" i="13" s="1"/>
  <c r="DJ143" i="13" s="1"/>
  <c r="DJ144" i="13" s="1"/>
  <c r="DJ145" i="13" s="1"/>
  <c r="DJ146" i="13" s="1"/>
  <c r="DJ147" i="13" s="1"/>
  <c r="DJ148" i="13" s="1"/>
  <c r="DJ149" i="13" s="1"/>
  <c r="DJ150" i="13" s="1"/>
  <c r="DJ151" i="13" s="1"/>
  <c r="DJ152" i="13" s="1"/>
  <c r="DJ153" i="13" s="1"/>
  <c r="AK160" i="13" s="1"/>
  <c r="H74" i="13"/>
  <c r="H70" i="13"/>
  <c r="F10" i="8"/>
  <c r="I7" i="8"/>
  <c r="H7" i="8"/>
  <c r="G7" i="8"/>
  <c r="F7" i="8"/>
  <c r="E7" i="8"/>
  <c r="Z65" i="2"/>
  <c r="Z44" i="2"/>
  <c r="S65" i="2"/>
  <c r="S59" i="2"/>
  <c r="S44" i="2"/>
  <c r="L65" i="2"/>
  <c r="E65" i="2"/>
  <c r="E59" i="2"/>
  <c r="E23" i="2"/>
  <c r="E41" i="1"/>
  <c r="G9" i="8"/>
  <c r="F9" i="8"/>
  <c r="E11" i="8"/>
  <c r="I10" i="8"/>
  <c r="H10" i="8"/>
  <c r="G8" i="8"/>
  <c r="F8" i="8"/>
  <c r="G41" i="1"/>
  <c r="G10" i="8"/>
  <c r="F41" i="1"/>
  <c r="Q16" i="10" l="1"/>
  <c r="U16" i="10" s="1"/>
  <c r="Q19" i="10"/>
  <c r="U19" i="10" s="1"/>
  <c r="Q22" i="10"/>
  <c r="U22" i="10" s="1"/>
  <c r="Q25" i="10"/>
  <c r="U25" i="10" s="1"/>
  <c r="Q28" i="10"/>
  <c r="U28" i="10" s="1"/>
  <c r="Q69" i="10"/>
  <c r="U69" i="10" s="1"/>
  <c r="Q73" i="10"/>
  <c r="U73" i="10" s="1"/>
  <c r="Q77" i="10"/>
  <c r="U77" i="10" s="1"/>
  <c r="Q65" i="10"/>
  <c r="U65" i="10" s="1"/>
  <c r="Q68" i="10"/>
  <c r="U68" i="10" s="1"/>
  <c r="Q72" i="10"/>
  <c r="U72" i="10" s="1"/>
  <c r="Q76" i="10"/>
  <c r="U76" i="10" s="1"/>
  <c r="Q67" i="10"/>
  <c r="Q71" i="10"/>
  <c r="U71" i="10" s="1"/>
  <c r="Q75" i="10"/>
  <c r="U75" i="10" s="1"/>
  <c r="Q79" i="10"/>
  <c r="U79" i="10" s="1"/>
  <c r="Q70" i="10"/>
  <c r="U70" i="10" s="1"/>
  <c r="Q74" i="10"/>
  <c r="U74" i="10" s="1"/>
  <c r="Q78" i="10"/>
  <c r="U78" i="10" s="1"/>
  <c r="Q66" i="10"/>
  <c r="J92" i="10"/>
  <c r="U92" i="10" s="1"/>
  <c r="J93" i="10"/>
  <c r="U93" i="10" s="1"/>
  <c r="J66" i="10"/>
  <c r="J67" i="10"/>
  <c r="U67" i="10" s="1"/>
  <c r="H75" i="13"/>
  <c r="H69" i="13"/>
  <c r="H65" i="13"/>
  <c r="H64" i="13"/>
  <c r="E10" i="8"/>
  <c r="I8" i="8"/>
  <c r="E9" i="8"/>
  <c r="F11" i="8"/>
  <c r="G11" i="8"/>
  <c r="E8" i="8"/>
  <c r="H8" i="8"/>
  <c r="DA100" i="15" l="1"/>
  <c r="BE100" i="15"/>
  <c r="I100" i="15"/>
  <c r="CC100" i="14"/>
  <c r="AG100" i="14"/>
  <c r="DA100" i="13"/>
  <c r="BE100" i="13"/>
  <c r="I100" i="13"/>
  <c r="CC100" i="15"/>
  <c r="AG100" i="15"/>
  <c r="DA100" i="14"/>
  <c r="BE100" i="14"/>
  <c r="I100" i="14"/>
  <c r="CC100" i="13"/>
  <c r="AG100" i="13"/>
  <c r="DA97" i="15"/>
  <c r="BE97" i="15"/>
  <c r="I97" i="15"/>
  <c r="CC97" i="14"/>
  <c r="AG97" i="14"/>
  <c r="DA97" i="13"/>
  <c r="BE97" i="13"/>
  <c r="I97" i="13"/>
  <c r="CC97" i="15"/>
  <c r="DA97" i="14"/>
  <c r="AG97" i="15"/>
  <c r="BE97" i="14"/>
  <c r="I97" i="14"/>
  <c r="CC97" i="13"/>
  <c r="AG97" i="13"/>
  <c r="CC94" i="15"/>
  <c r="AG94" i="15"/>
  <c r="DA94" i="14"/>
  <c r="BE94" i="14"/>
  <c r="I94" i="14"/>
  <c r="CC94" i="13"/>
  <c r="AG94" i="13"/>
  <c r="DA94" i="15"/>
  <c r="BE94" i="15"/>
  <c r="I94" i="15"/>
  <c r="I94" i="13"/>
  <c r="CC94" i="14"/>
  <c r="AG94" i="14"/>
  <c r="DA94" i="13"/>
  <c r="BE94" i="13"/>
  <c r="CC103" i="15"/>
  <c r="AG103" i="15"/>
  <c r="DA103" i="14"/>
  <c r="BE103" i="14"/>
  <c r="I103" i="14"/>
  <c r="CC103" i="13"/>
  <c r="AG103" i="13"/>
  <c r="CC103" i="14"/>
  <c r="DA103" i="15"/>
  <c r="BE103" i="15"/>
  <c r="I103" i="15"/>
  <c r="AG103" i="14"/>
  <c r="DA103" i="13"/>
  <c r="BE103" i="13"/>
  <c r="I103" i="13"/>
  <c r="CC91" i="15"/>
  <c r="AG91" i="15"/>
  <c r="DA91" i="14"/>
  <c r="BE91" i="14"/>
  <c r="I91" i="14"/>
  <c r="CC91" i="13"/>
  <c r="AG91" i="13"/>
  <c r="DA91" i="15"/>
  <c r="BE91" i="15"/>
  <c r="I91" i="15"/>
  <c r="CC91" i="14"/>
  <c r="BE91" i="13"/>
  <c r="I91" i="13"/>
  <c r="AG91" i="14"/>
  <c r="DA91" i="13"/>
  <c r="U66" i="10"/>
  <c r="DA14" i="16"/>
  <c r="CC14" i="16"/>
  <c r="BE14" i="16"/>
  <c r="AG14" i="16"/>
  <c r="I14" i="16"/>
  <c r="DA26" i="16"/>
  <c r="CC26" i="16"/>
  <c r="BE26" i="16"/>
  <c r="AG26" i="16"/>
  <c r="I26" i="16"/>
  <c r="DA23" i="16"/>
  <c r="CC23" i="16"/>
  <c r="BE23" i="16"/>
  <c r="AG23" i="16"/>
  <c r="I23" i="16"/>
  <c r="DA24" i="16"/>
  <c r="CC24" i="16"/>
  <c r="BE24" i="16"/>
  <c r="AG24" i="16"/>
  <c r="I24" i="16"/>
  <c r="DA100" i="16"/>
  <c r="CC100" i="16"/>
  <c r="BE100" i="16"/>
  <c r="AG100" i="16"/>
  <c r="I100" i="16"/>
  <c r="DA13" i="16"/>
  <c r="CC13" i="16"/>
  <c r="BE13" i="16"/>
  <c r="AG13" i="16"/>
  <c r="I13" i="16"/>
  <c r="DA25" i="16"/>
  <c r="CC25" i="16"/>
  <c r="BE25" i="16"/>
  <c r="AG25" i="16"/>
  <c r="I25" i="16"/>
  <c r="DA22" i="16"/>
  <c r="CC22" i="16"/>
  <c r="BE22" i="16"/>
  <c r="AG22" i="16"/>
  <c r="I22" i="16"/>
  <c r="DA19" i="16"/>
  <c r="CC19" i="16"/>
  <c r="BE19" i="16"/>
  <c r="AG19" i="16"/>
  <c r="I19" i="16"/>
  <c r="DA20" i="16"/>
  <c r="CC20" i="16"/>
  <c r="BE20" i="16"/>
  <c r="AG20" i="16"/>
  <c r="I20" i="16"/>
  <c r="DA97" i="16"/>
  <c r="CC97" i="16"/>
  <c r="BE97" i="16"/>
  <c r="AG97" i="16"/>
  <c r="I97" i="16"/>
  <c r="CC40" i="16"/>
  <c r="BE40" i="16"/>
  <c r="AG40" i="16"/>
  <c r="DA40" i="16"/>
  <c r="I40" i="16"/>
  <c r="DA21" i="16"/>
  <c r="CC21" i="16"/>
  <c r="BE21" i="16"/>
  <c r="AG21" i="16"/>
  <c r="I21" i="16"/>
  <c r="DA18" i="16"/>
  <c r="CC18" i="16"/>
  <c r="BE18" i="16"/>
  <c r="AG18" i="16"/>
  <c r="I18" i="16"/>
  <c r="DA15" i="16"/>
  <c r="CC15" i="16"/>
  <c r="BE15" i="16"/>
  <c r="AG15" i="16"/>
  <c r="I15" i="16"/>
  <c r="DA16" i="16"/>
  <c r="CC16" i="16"/>
  <c r="BE16" i="16"/>
  <c r="AG16" i="16"/>
  <c r="I16" i="16"/>
  <c r="DA94" i="16"/>
  <c r="CC94" i="16"/>
  <c r="BE94" i="16"/>
  <c r="AG94" i="16"/>
  <c r="I94" i="16"/>
  <c r="CC39" i="16"/>
  <c r="BE39" i="16"/>
  <c r="AG39" i="16"/>
  <c r="DA39" i="16"/>
  <c r="I39" i="16"/>
  <c r="DA17" i="16"/>
  <c r="CC17" i="16"/>
  <c r="BE17" i="16"/>
  <c r="AG17" i="16"/>
  <c r="I17" i="16"/>
  <c r="DA12" i="16"/>
  <c r="CC12" i="16"/>
  <c r="BE12" i="16"/>
  <c r="AG12" i="16"/>
  <c r="I12" i="16"/>
  <c r="DA103" i="16"/>
  <c r="CC103" i="16"/>
  <c r="BE103" i="16"/>
  <c r="AG103" i="16"/>
  <c r="I103" i="16"/>
  <c r="DA91" i="16"/>
  <c r="CC91" i="16"/>
  <c r="BE91" i="16"/>
  <c r="AG91" i="16"/>
  <c r="I91" i="16"/>
  <c r="AY95" i="14"/>
  <c r="BW95" i="14"/>
  <c r="CU95" i="14"/>
  <c r="C95" i="14"/>
  <c r="AA95" i="14"/>
  <c r="BW95" i="16"/>
  <c r="CU95" i="15"/>
  <c r="C95" i="15"/>
  <c r="AA95" i="13"/>
  <c r="CU95" i="16"/>
  <c r="C95" i="16"/>
  <c r="AA95" i="15"/>
  <c r="AY95" i="13"/>
  <c r="C95" i="13"/>
  <c r="AA95" i="16"/>
  <c r="AY95" i="15"/>
  <c r="BW95" i="13"/>
  <c r="AY95" i="16"/>
  <c r="BW95" i="15"/>
  <c r="CU95" i="13"/>
  <c r="CU98" i="14"/>
  <c r="C98" i="14"/>
  <c r="AA98" i="14"/>
  <c r="AY98" i="14"/>
  <c r="BW98" i="14"/>
  <c r="AA98" i="16"/>
  <c r="AY98" i="15"/>
  <c r="BW98" i="13"/>
  <c r="AY98" i="16"/>
  <c r="BW98" i="15"/>
  <c r="CU98" i="13"/>
  <c r="BW98" i="16"/>
  <c r="CU98" i="15"/>
  <c r="C98" i="15"/>
  <c r="AA98" i="13"/>
  <c r="CU98" i="16"/>
  <c r="C98" i="16"/>
  <c r="AA98" i="15"/>
  <c r="AY98" i="13"/>
  <c r="C98" i="13"/>
  <c r="AY101" i="14"/>
  <c r="BW101" i="14"/>
  <c r="CU101" i="14"/>
  <c r="C101" i="14"/>
  <c r="AA101" i="14"/>
  <c r="BW101" i="16"/>
  <c r="CU101" i="15"/>
  <c r="C101" i="15"/>
  <c r="AA101" i="13"/>
  <c r="CU101" i="16"/>
  <c r="C101" i="16"/>
  <c r="AA101" i="15"/>
  <c r="AY101" i="13"/>
  <c r="C101" i="13"/>
  <c r="AA101" i="16"/>
  <c r="AY101" i="15"/>
  <c r="BW101" i="13"/>
  <c r="AY101" i="16"/>
  <c r="BW101" i="15"/>
  <c r="CU101" i="13"/>
  <c r="CU92" i="14"/>
  <c r="C92" i="14"/>
  <c r="AA92" i="14"/>
  <c r="AY92" i="14"/>
  <c r="BW92" i="14"/>
  <c r="AA92" i="16"/>
  <c r="AY92" i="15"/>
  <c r="BW92" i="13"/>
  <c r="AY92" i="16"/>
  <c r="BW92" i="15"/>
  <c r="CU92" i="13"/>
  <c r="BW92" i="16"/>
  <c r="CU92" i="15"/>
  <c r="C92" i="15"/>
  <c r="AA92" i="13"/>
  <c r="CU92" i="16"/>
  <c r="C92" i="16"/>
  <c r="AA92" i="15"/>
  <c r="AY92" i="13"/>
  <c r="C92" i="13"/>
  <c r="CU88" i="14"/>
  <c r="C88" i="14"/>
  <c r="AA88" i="14"/>
  <c r="AY88" i="14"/>
  <c r="AA88" i="13"/>
  <c r="BW88" i="14"/>
  <c r="AY88" i="16"/>
  <c r="BW88" i="15"/>
  <c r="CU88" i="13"/>
  <c r="BW88" i="16"/>
  <c r="CU88" i="15"/>
  <c r="C88" i="15"/>
  <c r="CU88" i="16"/>
  <c r="C88" i="16"/>
  <c r="AA88" i="15"/>
  <c r="AY88" i="13"/>
  <c r="AA88" i="16"/>
  <c r="AY88" i="15"/>
  <c r="BW88" i="13"/>
  <c r="C88" i="13"/>
  <c r="AA90" i="14"/>
  <c r="AY90" i="14"/>
  <c r="BW90" i="14"/>
  <c r="CU90" i="14"/>
  <c r="C90" i="14"/>
  <c r="CU90" i="16"/>
  <c r="C90" i="16"/>
  <c r="AA90" i="15"/>
  <c r="AY90" i="13"/>
  <c r="AA90" i="16"/>
  <c r="AY90" i="15"/>
  <c r="BW90" i="13"/>
  <c r="AY90" i="16"/>
  <c r="BW90" i="15"/>
  <c r="CU90" i="13"/>
  <c r="C90" i="13"/>
  <c r="BW90" i="16"/>
  <c r="CU90" i="15"/>
  <c r="C90" i="15"/>
  <c r="AA90" i="13"/>
  <c r="BW93" i="14"/>
  <c r="CU93" i="14"/>
  <c r="C93" i="14"/>
  <c r="AA93" i="14"/>
  <c r="AY93" i="14"/>
  <c r="AY93" i="16"/>
  <c r="BW93" i="15"/>
  <c r="CU93" i="13"/>
  <c r="C93" i="13"/>
  <c r="BW93" i="16"/>
  <c r="CU93" i="15"/>
  <c r="C93" i="15"/>
  <c r="AA93" i="13"/>
  <c r="CU93" i="16"/>
  <c r="C93" i="16"/>
  <c r="AA93" i="15"/>
  <c r="AY93" i="13"/>
  <c r="AA93" i="16"/>
  <c r="AY93" i="15"/>
  <c r="BW93" i="13"/>
  <c r="BW99" i="14"/>
  <c r="CU99" i="14"/>
  <c r="C99" i="14"/>
  <c r="AA99" i="14"/>
  <c r="AY99" i="14"/>
  <c r="AY99" i="16"/>
  <c r="BW99" i="15"/>
  <c r="CU99" i="13"/>
  <c r="C99" i="13"/>
  <c r="BW99" i="16"/>
  <c r="CU99" i="15"/>
  <c r="C99" i="15"/>
  <c r="AA99" i="13"/>
  <c r="CU99" i="16"/>
  <c r="C99" i="16"/>
  <c r="AA99" i="15"/>
  <c r="AY99" i="13"/>
  <c r="AA99" i="16"/>
  <c r="AY99" i="15"/>
  <c r="BW99" i="13"/>
  <c r="AA102" i="14"/>
  <c r="AY102" i="14"/>
  <c r="BW102" i="14"/>
  <c r="CU102" i="14"/>
  <c r="C102" i="14"/>
  <c r="CU102" i="16"/>
  <c r="C102" i="16"/>
  <c r="AA102" i="15"/>
  <c r="AY102" i="13"/>
  <c r="AA102" i="16"/>
  <c r="AY102" i="15"/>
  <c r="BW102" i="13"/>
  <c r="AY102" i="16"/>
  <c r="BW102" i="15"/>
  <c r="CU102" i="13"/>
  <c r="C102" i="13"/>
  <c r="BW102" i="16"/>
  <c r="CU102" i="15"/>
  <c r="C102" i="15"/>
  <c r="AA102" i="13"/>
  <c r="AA96" i="14"/>
  <c r="AY96" i="14"/>
  <c r="BW96" i="14"/>
  <c r="CU96" i="14"/>
  <c r="C96" i="14"/>
  <c r="CU96" i="16"/>
  <c r="C96" i="16"/>
  <c r="AA96" i="15"/>
  <c r="AY96" i="13"/>
  <c r="AA96" i="16"/>
  <c r="AY96" i="15"/>
  <c r="BW96" i="13"/>
  <c r="AY96" i="16"/>
  <c r="BW96" i="15"/>
  <c r="CU96" i="13"/>
  <c r="C96" i="13"/>
  <c r="BW96" i="16"/>
  <c r="CU96" i="15"/>
  <c r="C96" i="15"/>
  <c r="AA96" i="13"/>
  <c r="AY89" i="14"/>
  <c r="BW89" i="14"/>
  <c r="CU89" i="14"/>
  <c r="C89" i="14"/>
  <c r="AA89" i="14"/>
  <c r="BW89" i="16"/>
  <c r="CU89" i="15"/>
  <c r="C89" i="15"/>
  <c r="AA89" i="13"/>
  <c r="CU89" i="16"/>
  <c r="C89" i="16"/>
  <c r="AA89" i="15"/>
  <c r="AY89" i="13"/>
  <c r="C89" i="13"/>
  <c r="AA89" i="16"/>
  <c r="AY89" i="15"/>
  <c r="BW89" i="13"/>
  <c r="AY89" i="16"/>
  <c r="BW89" i="15"/>
  <c r="CU89" i="13"/>
  <c r="U63" i="15"/>
  <c r="AU63" i="15"/>
  <c r="U63" i="14"/>
  <c r="U63" i="16"/>
  <c r="BU63" i="15"/>
  <c r="DU63" i="14"/>
  <c r="AU63" i="16"/>
  <c r="AU63" i="14"/>
  <c r="BU63" i="16"/>
  <c r="DU63" i="15"/>
  <c r="BU63" i="14"/>
  <c r="CU63" i="14"/>
  <c r="CU63" i="15"/>
  <c r="U63" i="13"/>
  <c r="BU63" i="13"/>
  <c r="DU63" i="13"/>
  <c r="AU63" i="13"/>
  <c r="CU63" i="13"/>
  <c r="I13" i="8"/>
  <c r="H13" i="8"/>
  <c r="G13" i="8"/>
  <c r="F13" i="8"/>
  <c r="E13" i="8"/>
  <c r="E144" i="9" l="1"/>
  <c r="M144" i="9" s="1"/>
  <c r="E148" i="9"/>
  <c r="M148" i="9" s="1"/>
  <c r="E152" i="9"/>
  <c r="M152" i="9" s="1"/>
  <c r="E156" i="9"/>
  <c r="M156" i="9" s="1"/>
  <c r="E150" i="9"/>
  <c r="M150" i="9" s="1"/>
  <c r="E158" i="9"/>
  <c r="M158" i="9" s="1"/>
  <c r="E147" i="9"/>
  <c r="M147" i="9" s="1"/>
  <c r="E155" i="9"/>
  <c r="M155" i="9" s="1"/>
  <c r="E145" i="9"/>
  <c r="M145" i="9" s="1"/>
  <c r="E149" i="9"/>
  <c r="M149" i="9" s="1"/>
  <c r="E153" i="9"/>
  <c r="M153" i="9" s="1"/>
  <c r="E157" i="9"/>
  <c r="M157" i="9" s="1"/>
  <c r="E146" i="9"/>
  <c r="M146" i="9" s="1"/>
  <c r="E154" i="9"/>
  <c r="M154" i="9" s="1"/>
  <c r="E151" i="9"/>
  <c r="M151" i="9" s="1"/>
  <c r="E143" i="9"/>
  <c r="M143" i="9" s="1"/>
  <c r="U64" i="15"/>
  <c r="DU64" i="14"/>
  <c r="BU64" i="16"/>
  <c r="CU64" i="15"/>
  <c r="AU64" i="16"/>
  <c r="U64" i="16"/>
  <c r="U65" i="16" s="1"/>
  <c r="U66" i="16" s="1"/>
  <c r="U67" i="16" s="1"/>
  <c r="U68" i="16" s="1"/>
  <c r="DU64" i="15"/>
  <c r="BU64" i="14"/>
  <c r="BU65" i="14" s="1"/>
  <c r="BU66" i="14" s="1"/>
  <c r="BU67" i="14" s="1"/>
  <c r="BU68" i="14" s="1"/>
  <c r="U64" i="14"/>
  <c r="AU64" i="14"/>
  <c r="AU64" i="15"/>
  <c r="CU64" i="14"/>
  <c r="BU64" i="15"/>
  <c r="DU64" i="13"/>
  <c r="CU64" i="13"/>
  <c r="AU64" i="13"/>
  <c r="U64" i="13"/>
  <c r="BU64" i="13"/>
  <c r="AU65" i="13" l="1"/>
  <c r="AU66" i="13" s="1"/>
  <c r="AU67" i="13" s="1"/>
  <c r="AU68" i="13" s="1"/>
  <c r="AU69" i="13" s="1"/>
  <c r="AU70" i="13" s="1"/>
  <c r="AU71" i="13" s="1"/>
  <c r="AU72" i="13" s="1"/>
  <c r="AU73" i="13" s="1"/>
  <c r="AU74" i="13" s="1"/>
  <c r="AU75" i="13" s="1"/>
  <c r="AU76" i="13" s="1"/>
  <c r="AU77" i="13" s="1"/>
  <c r="AU78" i="13" s="1"/>
  <c r="S160" i="13" s="1"/>
  <c r="DI63" i="16"/>
  <c r="CI63" i="16"/>
  <c r="BI63" i="16"/>
  <c r="AI63" i="16"/>
  <c r="DI63" i="15"/>
  <c r="CI63" i="15"/>
  <c r="BI63" i="15"/>
  <c r="AI63" i="15"/>
  <c r="CI63" i="14"/>
  <c r="BI63" i="14"/>
  <c r="DI63" i="13"/>
  <c r="I63" i="16"/>
  <c r="DI63" i="14"/>
  <c r="AI63" i="14"/>
  <c r="CI63" i="13"/>
  <c r="AI63" i="13"/>
  <c r="I63" i="15"/>
  <c r="I63" i="13"/>
  <c r="BI63" i="13"/>
  <c r="I63" i="14"/>
  <c r="DI76" i="16"/>
  <c r="DJ76" i="16" s="1"/>
  <c r="CI76" i="16"/>
  <c r="CJ76" i="16" s="1"/>
  <c r="BI76" i="16"/>
  <c r="BJ76" i="16" s="1"/>
  <c r="AI76" i="16"/>
  <c r="AJ76" i="16" s="1"/>
  <c r="I76" i="13"/>
  <c r="J76" i="13" s="1"/>
  <c r="BI76" i="15"/>
  <c r="BJ76" i="15" s="1"/>
  <c r="BI76" i="13"/>
  <c r="BJ76" i="13" s="1"/>
  <c r="DI76" i="15"/>
  <c r="DJ76" i="15" s="1"/>
  <c r="CI76" i="15"/>
  <c r="CJ76" i="15" s="1"/>
  <c r="AI76" i="15"/>
  <c r="AJ76" i="15" s="1"/>
  <c r="CI76" i="14"/>
  <c r="CJ76" i="14" s="1"/>
  <c r="DI76" i="14"/>
  <c r="DJ76" i="14" s="1"/>
  <c r="BI76" i="14"/>
  <c r="BJ76" i="14" s="1"/>
  <c r="AI76" i="14"/>
  <c r="AJ76" i="14" s="1"/>
  <c r="DI76" i="13"/>
  <c r="DJ76" i="13" s="1"/>
  <c r="CI76" i="13"/>
  <c r="CJ76" i="13" s="1"/>
  <c r="AI76" i="13"/>
  <c r="AJ76" i="13" s="1"/>
  <c r="I76" i="16"/>
  <c r="J76" i="16" s="1"/>
  <c r="I76" i="15"/>
  <c r="J76" i="15" s="1"/>
  <c r="I76" i="14"/>
  <c r="J76" i="14" s="1"/>
  <c r="DI71" i="16"/>
  <c r="DJ71" i="16" s="1"/>
  <c r="CI71" i="16"/>
  <c r="CJ71" i="16" s="1"/>
  <c r="BI71" i="16"/>
  <c r="BJ71" i="16" s="1"/>
  <c r="AI71" i="16"/>
  <c r="AJ71" i="16" s="1"/>
  <c r="BI71" i="14"/>
  <c r="BJ71" i="14" s="1"/>
  <c r="DI71" i="15"/>
  <c r="DJ71" i="15" s="1"/>
  <c r="CI71" i="15"/>
  <c r="CJ71" i="15" s="1"/>
  <c r="BI71" i="15"/>
  <c r="BJ71" i="15" s="1"/>
  <c r="AI71" i="15"/>
  <c r="AJ71" i="15" s="1"/>
  <c r="CI71" i="14"/>
  <c r="CJ71" i="14" s="1"/>
  <c r="DI71" i="14"/>
  <c r="DJ71" i="14" s="1"/>
  <c r="AI71" i="14"/>
  <c r="AJ71" i="14" s="1"/>
  <c r="DI71" i="13"/>
  <c r="DJ71" i="13" s="1"/>
  <c r="CI71" i="13"/>
  <c r="CJ71" i="13" s="1"/>
  <c r="BI71" i="13"/>
  <c r="BJ71" i="13" s="1"/>
  <c r="AI71" i="13"/>
  <c r="AJ71" i="13" s="1"/>
  <c r="I71" i="16"/>
  <c r="J71" i="16" s="1"/>
  <c r="I71" i="15"/>
  <c r="J71" i="15" s="1"/>
  <c r="I71" i="14"/>
  <c r="J71" i="14" s="1"/>
  <c r="I71" i="13"/>
  <c r="J71" i="13" s="1"/>
  <c r="DI72" i="16"/>
  <c r="DJ72" i="16" s="1"/>
  <c r="CI72" i="16"/>
  <c r="CJ72" i="16" s="1"/>
  <c r="BI72" i="16"/>
  <c r="BJ72" i="16" s="1"/>
  <c r="AI72" i="16"/>
  <c r="AJ72" i="16" s="1"/>
  <c r="I72" i="13"/>
  <c r="J72" i="13" s="1"/>
  <c r="DI72" i="14"/>
  <c r="DJ72" i="14" s="1"/>
  <c r="BI72" i="14"/>
  <c r="BJ72" i="14" s="1"/>
  <c r="AI72" i="14"/>
  <c r="AJ72" i="14" s="1"/>
  <c r="DI72" i="13"/>
  <c r="DJ72" i="13" s="1"/>
  <c r="CI72" i="13"/>
  <c r="CJ72" i="13" s="1"/>
  <c r="BI72" i="13"/>
  <c r="BJ72" i="13" s="1"/>
  <c r="AI72" i="13"/>
  <c r="AJ72" i="13" s="1"/>
  <c r="I72" i="16"/>
  <c r="J72" i="16" s="1"/>
  <c r="I72" i="15"/>
  <c r="J72" i="15" s="1"/>
  <c r="I72" i="14"/>
  <c r="J72" i="14" s="1"/>
  <c r="DI72" i="15"/>
  <c r="DJ72" i="15" s="1"/>
  <c r="BI72" i="15"/>
  <c r="BJ72" i="15" s="1"/>
  <c r="AI72" i="15"/>
  <c r="AJ72" i="15" s="1"/>
  <c r="CI72" i="14"/>
  <c r="CJ72" i="14" s="1"/>
  <c r="CI72" i="15"/>
  <c r="CJ72" i="15" s="1"/>
  <c r="DI74" i="16"/>
  <c r="DJ74" i="16" s="1"/>
  <c r="CI74" i="16"/>
  <c r="CJ74" i="16" s="1"/>
  <c r="BI74" i="16"/>
  <c r="BJ74" i="16" s="1"/>
  <c r="AI74" i="16"/>
  <c r="AJ74" i="16" s="1"/>
  <c r="DI74" i="15"/>
  <c r="DJ74" i="15" s="1"/>
  <c r="CI74" i="15"/>
  <c r="CJ74" i="15" s="1"/>
  <c r="BI74" i="15"/>
  <c r="BJ74" i="15" s="1"/>
  <c r="AI74" i="15"/>
  <c r="AJ74" i="15" s="1"/>
  <c r="CI74" i="14"/>
  <c r="CJ74" i="14" s="1"/>
  <c r="DI74" i="14"/>
  <c r="DJ74" i="14" s="1"/>
  <c r="BI74" i="14"/>
  <c r="BJ74" i="14" s="1"/>
  <c r="AI74" i="14"/>
  <c r="AJ74" i="14" s="1"/>
  <c r="DI74" i="13"/>
  <c r="DJ74" i="13" s="1"/>
  <c r="CI74" i="13"/>
  <c r="CJ74" i="13" s="1"/>
  <c r="BI74" i="13"/>
  <c r="BJ74" i="13" s="1"/>
  <c r="AI74" i="13"/>
  <c r="AJ74" i="13" s="1"/>
  <c r="I74" i="16"/>
  <c r="J74" i="16" s="1"/>
  <c r="I74" i="15"/>
  <c r="J74" i="15" s="1"/>
  <c r="I74" i="14"/>
  <c r="J74" i="14" s="1"/>
  <c r="I74" i="13"/>
  <c r="J74" i="13" s="1"/>
  <c r="DI69" i="16"/>
  <c r="DJ69" i="16" s="1"/>
  <c r="CI69" i="16"/>
  <c r="CJ69" i="16" s="1"/>
  <c r="BI69" i="16"/>
  <c r="BJ69" i="16" s="1"/>
  <c r="AI69" i="16"/>
  <c r="AJ69" i="16" s="1"/>
  <c r="DI69" i="15"/>
  <c r="DJ69" i="15" s="1"/>
  <c r="CI69" i="15"/>
  <c r="CJ69" i="15" s="1"/>
  <c r="BI69" i="15"/>
  <c r="BJ69" i="15" s="1"/>
  <c r="AI69" i="15"/>
  <c r="AJ69" i="15" s="1"/>
  <c r="CI69" i="14"/>
  <c r="CJ69" i="14" s="1"/>
  <c r="BI69" i="14"/>
  <c r="BJ69" i="14" s="1"/>
  <c r="DI69" i="13"/>
  <c r="DJ69" i="13" s="1"/>
  <c r="BI69" i="13"/>
  <c r="BJ69" i="13" s="1"/>
  <c r="I69" i="16"/>
  <c r="J69" i="16" s="1"/>
  <c r="I69" i="14"/>
  <c r="J69" i="14" s="1"/>
  <c r="I69" i="15"/>
  <c r="J69" i="15" s="1"/>
  <c r="I69" i="13"/>
  <c r="J69" i="13" s="1"/>
  <c r="DI69" i="14"/>
  <c r="DJ69" i="14" s="1"/>
  <c r="AI69" i="14"/>
  <c r="AJ69" i="14" s="1"/>
  <c r="CI69" i="13"/>
  <c r="CJ69" i="13" s="1"/>
  <c r="AI69" i="13"/>
  <c r="AJ69" i="13" s="1"/>
  <c r="DI78" i="16"/>
  <c r="DJ78" i="16" s="1"/>
  <c r="CI78" i="16"/>
  <c r="CJ78" i="16" s="1"/>
  <c r="BI78" i="16"/>
  <c r="BJ78" i="16" s="1"/>
  <c r="AI78" i="16"/>
  <c r="AJ78" i="16" s="1"/>
  <c r="DI78" i="15"/>
  <c r="DJ78" i="15" s="1"/>
  <c r="CI78" i="15"/>
  <c r="CJ78" i="15" s="1"/>
  <c r="BI78" i="15"/>
  <c r="BJ78" i="15" s="1"/>
  <c r="AI78" i="15"/>
  <c r="AJ78" i="15" s="1"/>
  <c r="CI78" i="14"/>
  <c r="CJ78" i="14" s="1"/>
  <c r="DI78" i="14"/>
  <c r="DJ78" i="14" s="1"/>
  <c r="BI78" i="14"/>
  <c r="BJ78" i="14" s="1"/>
  <c r="AI78" i="14"/>
  <c r="AJ78" i="14" s="1"/>
  <c r="DI78" i="13"/>
  <c r="DJ78" i="13" s="1"/>
  <c r="CI78" i="13"/>
  <c r="CJ78" i="13" s="1"/>
  <c r="BI78" i="13"/>
  <c r="BJ78" i="13" s="1"/>
  <c r="AI78" i="13"/>
  <c r="AJ78" i="13" s="1"/>
  <c r="I78" i="16"/>
  <c r="J78" i="16" s="1"/>
  <c r="I78" i="15"/>
  <c r="J78" i="15" s="1"/>
  <c r="I78" i="14"/>
  <c r="J78" i="14" s="1"/>
  <c r="I78" i="13"/>
  <c r="J78" i="13" s="1"/>
  <c r="DI68" i="16"/>
  <c r="DJ68" i="16" s="1"/>
  <c r="CI68" i="16"/>
  <c r="CJ68" i="16" s="1"/>
  <c r="BI68" i="16"/>
  <c r="BJ68" i="16" s="1"/>
  <c r="AI68" i="16"/>
  <c r="AJ68" i="16" s="1"/>
  <c r="I68" i="13"/>
  <c r="J68" i="13" s="1"/>
  <c r="DI68" i="15"/>
  <c r="DJ68" i="15" s="1"/>
  <c r="CI68" i="15"/>
  <c r="CJ68" i="15" s="1"/>
  <c r="BI68" i="15"/>
  <c r="BJ68" i="15" s="1"/>
  <c r="AI68" i="15"/>
  <c r="AJ68" i="15" s="1"/>
  <c r="CI68" i="14"/>
  <c r="CJ68" i="14" s="1"/>
  <c r="DI68" i="14"/>
  <c r="DJ68" i="14" s="1"/>
  <c r="AI68" i="13"/>
  <c r="AJ68" i="13" s="1"/>
  <c r="BI68" i="14"/>
  <c r="BJ68" i="14" s="1"/>
  <c r="DI68" i="13"/>
  <c r="DJ68" i="13" s="1"/>
  <c r="BI68" i="13"/>
  <c r="BJ68" i="13" s="1"/>
  <c r="I68" i="16"/>
  <c r="J68" i="16" s="1"/>
  <c r="I68" i="14"/>
  <c r="J68" i="14" s="1"/>
  <c r="AI68" i="14"/>
  <c r="AJ68" i="14" s="1"/>
  <c r="CI68" i="13"/>
  <c r="CJ68" i="13" s="1"/>
  <c r="I68" i="15"/>
  <c r="J68" i="15" s="1"/>
  <c r="DI77" i="16"/>
  <c r="DJ77" i="16" s="1"/>
  <c r="CI77" i="16"/>
  <c r="CJ77" i="16" s="1"/>
  <c r="BI77" i="16"/>
  <c r="BJ77" i="16" s="1"/>
  <c r="AI77" i="16"/>
  <c r="AJ77" i="16" s="1"/>
  <c r="DI77" i="15"/>
  <c r="DJ77" i="15" s="1"/>
  <c r="CI77" i="15"/>
  <c r="CJ77" i="15" s="1"/>
  <c r="BI77" i="15"/>
  <c r="BJ77" i="15" s="1"/>
  <c r="AI77" i="15"/>
  <c r="AJ77" i="15" s="1"/>
  <c r="CI77" i="14"/>
  <c r="CJ77" i="14" s="1"/>
  <c r="DI77" i="14"/>
  <c r="DJ77" i="14" s="1"/>
  <c r="BI77" i="14"/>
  <c r="BJ77" i="14" s="1"/>
  <c r="AI77" i="14"/>
  <c r="AJ77" i="14" s="1"/>
  <c r="DI77" i="13"/>
  <c r="DJ77" i="13" s="1"/>
  <c r="CI77" i="13"/>
  <c r="CJ77" i="13" s="1"/>
  <c r="BI77" i="13"/>
  <c r="BJ77" i="13" s="1"/>
  <c r="AI77" i="13"/>
  <c r="AJ77" i="13" s="1"/>
  <c r="I77" i="16"/>
  <c r="J77" i="16" s="1"/>
  <c r="I77" i="15"/>
  <c r="J77" i="15" s="1"/>
  <c r="I77" i="14"/>
  <c r="J77" i="14" s="1"/>
  <c r="I77" i="13"/>
  <c r="J77" i="13" s="1"/>
  <c r="DI75" i="16"/>
  <c r="DJ75" i="16" s="1"/>
  <c r="CI75" i="16"/>
  <c r="CJ75" i="16" s="1"/>
  <c r="BI75" i="16"/>
  <c r="BJ75" i="16" s="1"/>
  <c r="AI75" i="16"/>
  <c r="AJ75" i="16" s="1"/>
  <c r="I75" i="13"/>
  <c r="J75" i="13" s="1"/>
  <c r="DI75" i="15"/>
  <c r="DJ75" i="15" s="1"/>
  <c r="CI75" i="15"/>
  <c r="CJ75" i="15" s="1"/>
  <c r="BI75" i="15"/>
  <c r="BJ75" i="15" s="1"/>
  <c r="AI75" i="15"/>
  <c r="AJ75" i="15" s="1"/>
  <c r="CI75" i="14"/>
  <c r="CJ75" i="14" s="1"/>
  <c r="DI75" i="14"/>
  <c r="DJ75" i="14" s="1"/>
  <c r="AI75" i="14"/>
  <c r="AJ75" i="14" s="1"/>
  <c r="CI75" i="13"/>
  <c r="CJ75" i="13" s="1"/>
  <c r="AI75" i="13"/>
  <c r="AJ75" i="13" s="1"/>
  <c r="I75" i="15"/>
  <c r="J75" i="15" s="1"/>
  <c r="BI75" i="13"/>
  <c r="BJ75" i="13" s="1"/>
  <c r="I75" i="16"/>
  <c r="J75" i="16" s="1"/>
  <c r="BI75" i="14"/>
  <c r="BJ75" i="14" s="1"/>
  <c r="DI75" i="13"/>
  <c r="DJ75" i="13" s="1"/>
  <c r="I75" i="14"/>
  <c r="J75" i="14" s="1"/>
  <c r="DI73" i="16"/>
  <c r="DJ73" i="16" s="1"/>
  <c r="CI73" i="16"/>
  <c r="CJ73" i="16" s="1"/>
  <c r="BI73" i="16"/>
  <c r="BJ73" i="16" s="1"/>
  <c r="AI73" i="16"/>
  <c r="AJ73" i="16" s="1"/>
  <c r="DI73" i="15"/>
  <c r="DJ73" i="15" s="1"/>
  <c r="CI73" i="15"/>
  <c r="CJ73" i="15" s="1"/>
  <c r="BI73" i="15"/>
  <c r="BJ73" i="15" s="1"/>
  <c r="AI73" i="15"/>
  <c r="AJ73" i="15" s="1"/>
  <c r="CI73" i="14"/>
  <c r="CJ73" i="14" s="1"/>
  <c r="BI73" i="13"/>
  <c r="BJ73" i="13" s="1"/>
  <c r="I73" i="14"/>
  <c r="J73" i="14" s="1"/>
  <c r="DI73" i="14"/>
  <c r="DJ73" i="14" s="1"/>
  <c r="AI73" i="14"/>
  <c r="AJ73" i="14" s="1"/>
  <c r="CI73" i="13"/>
  <c r="CJ73" i="13" s="1"/>
  <c r="AI73" i="13"/>
  <c r="AJ73" i="13" s="1"/>
  <c r="I73" i="15"/>
  <c r="J73" i="15" s="1"/>
  <c r="I73" i="13"/>
  <c r="J73" i="13" s="1"/>
  <c r="BI73" i="14"/>
  <c r="BJ73" i="14" s="1"/>
  <c r="DI73" i="13"/>
  <c r="DJ73" i="13" s="1"/>
  <c r="I73" i="16"/>
  <c r="J73" i="16" s="1"/>
  <c r="DI67" i="16"/>
  <c r="DJ67" i="16" s="1"/>
  <c r="CI67" i="16"/>
  <c r="CJ67" i="16" s="1"/>
  <c r="BI67" i="16"/>
  <c r="BJ67" i="16" s="1"/>
  <c r="AI67" i="16"/>
  <c r="AJ67" i="16" s="1"/>
  <c r="DI67" i="14"/>
  <c r="DJ67" i="14" s="1"/>
  <c r="BI67" i="14"/>
  <c r="BJ67" i="14" s="1"/>
  <c r="AI67" i="14"/>
  <c r="AJ67" i="14" s="1"/>
  <c r="DI67" i="13"/>
  <c r="DJ67" i="13" s="1"/>
  <c r="CI67" i="13"/>
  <c r="CJ67" i="13" s="1"/>
  <c r="BI67" i="13"/>
  <c r="BJ67" i="13" s="1"/>
  <c r="AI67" i="13"/>
  <c r="AJ67" i="13" s="1"/>
  <c r="I67" i="16"/>
  <c r="J67" i="16" s="1"/>
  <c r="I67" i="15"/>
  <c r="J67" i="15" s="1"/>
  <c r="I67" i="14"/>
  <c r="J67" i="14" s="1"/>
  <c r="DI67" i="15"/>
  <c r="DJ67" i="15" s="1"/>
  <c r="CI67" i="15"/>
  <c r="CJ67" i="15" s="1"/>
  <c r="I67" i="13"/>
  <c r="J67" i="13" s="1"/>
  <c r="BI67" i="15"/>
  <c r="BJ67" i="15" s="1"/>
  <c r="AI67" i="15"/>
  <c r="AJ67" i="15" s="1"/>
  <c r="CI67" i="14"/>
  <c r="CJ67" i="14" s="1"/>
  <c r="DI66" i="16"/>
  <c r="DJ66" i="16" s="1"/>
  <c r="CI66" i="16"/>
  <c r="CJ66" i="16" s="1"/>
  <c r="BI66" i="16"/>
  <c r="BJ66" i="16" s="1"/>
  <c r="AI66" i="16"/>
  <c r="AJ66" i="16" s="1"/>
  <c r="DI66" i="15"/>
  <c r="DJ66" i="15" s="1"/>
  <c r="CI66" i="15"/>
  <c r="CJ66" i="15" s="1"/>
  <c r="BI66" i="15"/>
  <c r="BJ66" i="15" s="1"/>
  <c r="AI66" i="15"/>
  <c r="AJ66" i="15" s="1"/>
  <c r="CI66" i="14"/>
  <c r="CJ66" i="14" s="1"/>
  <c r="DI66" i="14"/>
  <c r="DJ66" i="14" s="1"/>
  <c r="BI66" i="14"/>
  <c r="BJ66" i="14" s="1"/>
  <c r="AI66" i="14"/>
  <c r="AJ66" i="14" s="1"/>
  <c r="DI66" i="13"/>
  <c r="DJ66" i="13" s="1"/>
  <c r="CI66" i="13"/>
  <c r="CJ66" i="13" s="1"/>
  <c r="BI66" i="13"/>
  <c r="BJ66" i="13" s="1"/>
  <c r="AI66" i="13"/>
  <c r="AJ66" i="13" s="1"/>
  <c r="I66" i="16"/>
  <c r="J66" i="16" s="1"/>
  <c r="I66" i="15"/>
  <c r="J66" i="15" s="1"/>
  <c r="I66" i="14"/>
  <c r="J66" i="14" s="1"/>
  <c r="I66" i="13"/>
  <c r="J66" i="13" s="1"/>
  <c r="DI65" i="16"/>
  <c r="DJ65" i="16" s="1"/>
  <c r="CI65" i="16"/>
  <c r="CJ65" i="16" s="1"/>
  <c r="BI65" i="16"/>
  <c r="BJ65" i="16" s="1"/>
  <c r="AI65" i="16"/>
  <c r="AJ65" i="16" s="1"/>
  <c r="DI65" i="15"/>
  <c r="DJ65" i="15" s="1"/>
  <c r="CI65" i="15"/>
  <c r="CJ65" i="15" s="1"/>
  <c r="BI65" i="15"/>
  <c r="BJ65" i="15" s="1"/>
  <c r="AI65" i="15"/>
  <c r="AJ65" i="15" s="1"/>
  <c r="CI65" i="14"/>
  <c r="CJ65" i="14" s="1"/>
  <c r="I65" i="15"/>
  <c r="J65" i="15" s="1"/>
  <c r="I65" i="13"/>
  <c r="J65" i="13" s="1"/>
  <c r="DI65" i="14"/>
  <c r="DJ65" i="14" s="1"/>
  <c r="BI65" i="14"/>
  <c r="BJ65" i="14" s="1"/>
  <c r="AI65" i="14"/>
  <c r="AJ65" i="14" s="1"/>
  <c r="DI65" i="13"/>
  <c r="DJ65" i="13" s="1"/>
  <c r="CI65" i="13"/>
  <c r="CJ65" i="13" s="1"/>
  <c r="BI65" i="13"/>
  <c r="BJ65" i="13" s="1"/>
  <c r="AI65" i="13"/>
  <c r="AJ65" i="13" s="1"/>
  <c r="I65" i="16"/>
  <c r="J65" i="16" s="1"/>
  <c r="I65" i="14"/>
  <c r="J65" i="14" s="1"/>
  <c r="DI70" i="16"/>
  <c r="DJ70" i="16" s="1"/>
  <c r="CI70" i="16"/>
  <c r="CJ70" i="16" s="1"/>
  <c r="BI70" i="16"/>
  <c r="BJ70" i="16" s="1"/>
  <c r="AI70" i="16"/>
  <c r="AJ70" i="16" s="1"/>
  <c r="DI70" i="15"/>
  <c r="DJ70" i="15" s="1"/>
  <c r="CI70" i="15"/>
  <c r="CJ70" i="15" s="1"/>
  <c r="BI70" i="15"/>
  <c r="BJ70" i="15" s="1"/>
  <c r="AI70" i="15"/>
  <c r="AJ70" i="15" s="1"/>
  <c r="CI70" i="14"/>
  <c r="CJ70" i="14" s="1"/>
  <c r="DI70" i="14"/>
  <c r="DJ70" i="14" s="1"/>
  <c r="BI70" i="14"/>
  <c r="BJ70" i="14" s="1"/>
  <c r="AI70" i="14"/>
  <c r="AJ70" i="14" s="1"/>
  <c r="DI70" i="13"/>
  <c r="DJ70" i="13" s="1"/>
  <c r="CI70" i="13"/>
  <c r="CJ70" i="13" s="1"/>
  <c r="BI70" i="13"/>
  <c r="BJ70" i="13" s="1"/>
  <c r="AI70" i="13"/>
  <c r="AJ70" i="13" s="1"/>
  <c r="I70" i="16"/>
  <c r="J70" i="16" s="1"/>
  <c r="I70" i="15"/>
  <c r="J70" i="15" s="1"/>
  <c r="I70" i="14"/>
  <c r="J70" i="14" s="1"/>
  <c r="I70" i="13"/>
  <c r="J70" i="13" s="1"/>
  <c r="DI64" i="16"/>
  <c r="DJ64" i="16" s="1"/>
  <c r="CI64" i="16"/>
  <c r="CJ64" i="16" s="1"/>
  <c r="BI64" i="16"/>
  <c r="BJ64" i="16" s="1"/>
  <c r="AI64" i="16"/>
  <c r="AJ64" i="16" s="1"/>
  <c r="I64" i="13"/>
  <c r="J64" i="13" s="1"/>
  <c r="DI64" i="14"/>
  <c r="DJ64" i="14" s="1"/>
  <c r="AI64" i="14"/>
  <c r="AJ64" i="14" s="1"/>
  <c r="CI64" i="13"/>
  <c r="CJ64" i="13" s="1"/>
  <c r="AI64" i="13"/>
  <c r="AJ64" i="13" s="1"/>
  <c r="I64" i="15"/>
  <c r="J64" i="15" s="1"/>
  <c r="BI64" i="14"/>
  <c r="BJ64" i="14" s="1"/>
  <c r="DI64" i="13"/>
  <c r="DJ64" i="13" s="1"/>
  <c r="I64" i="14"/>
  <c r="J64" i="14" s="1"/>
  <c r="CI64" i="15"/>
  <c r="CJ64" i="15" s="1"/>
  <c r="AI64" i="15"/>
  <c r="AJ64" i="15" s="1"/>
  <c r="DI64" i="15"/>
  <c r="DJ64" i="15" s="1"/>
  <c r="BI64" i="13"/>
  <c r="BJ64" i="13" s="1"/>
  <c r="I64" i="16"/>
  <c r="J64" i="16" s="1"/>
  <c r="BI64" i="15"/>
  <c r="BJ64" i="15" s="1"/>
  <c r="CI64" i="14"/>
  <c r="CJ64" i="14" s="1"/>
  <c r="U69" i="16"/>
  <c r="U70" i="16" s="1"/>
  <c r="U71" i="16" s="1"/>
  <c r="U72" i="16" s="1"/>
  <c r="U73" i="16" s="1"/>
  <c r="U74" i="16" s="1"/>
  <c r="U75" i="16" s="1"/>
  <c r="U76" i="16" s="1"/>
  <c r="U77" i="16" s="1"/>
  <c r="U78" i="16" s="1"/>
  <c r="R160" i="16" s="1"/>
  <c r="AU65" i="14"/>
  <c r="AU66" i="14" s="1"/>
  <c r="AU67" i="14" s="1"/>
  <c r="AU68" i="14" s="1"/>
  <c r="AU69" i="14" s="1"/>
  <c r="AU70" i="14" s="1"/>
  <c r="AU71" i="14" s="1"/>
  <c r="AU72" i="14" s="1"/>
  <c r="AU73" i="14" s="1"/>
  <c r="AU74" i="14" s="1"/>
  <c r="AU75" i="14" s="1"/>
  <c r="AU76" i="14" s="1"/>
  <c r="AU77" i="14" s="1"/>
  <c r="AU78" i="14" s="1"/>
  <c r="S160" i="14" s="1"/>
  <c r="AU65" i="15"/>
  <c r="AU66" i="15" s="1"/>
  <c r="AU67" i="15" s="1"/>
  <c r="AU68" i="15" s="1"/>
  <c r="AU69" i="15" s="1"/>
  <c r="AU70" i="15" s="1"/>
  <c r="AU71" i="15" s="1"/>
  <c r="AU72" i="15" s="1"/>
  <c r="AU73" i="15" s="1"/>
  <c r="AU74" i="15" s="1"/>
  <c r="AU75" i="15" s="1"/>
  <c r="AU76" i="15" s="1"/>
  <c r="AU77" i="15" s="1"/>
  <c r="AU78" i="15" s="1"/>
  <c r="S160" i="15" s="1"/>
  <c r="DU65" i="15"/>
  <c r="DU66" i="15" s="1"/>
  <c r="DU67" i="15" s="1"/>
  <c r="DU68" i="15" s="1"/>
  <c r="DU69" i="15" s="1"/>
  <c r="DU70" i="15" s="1"/>
  <c r="DU71" i="15" s="1"/>
  <c r="DU72" i="15" s="1"/>
  <c r="DU73" i="15" s="1"/>
  <c r="DU74" i="15" s="1"/>
  <c r="DU75" i="15" s="1"/>
  <c r="DU76" i="15" s="1"/>
  <c r="DU77" i="15" s="1"/>
  <c r="DU78" i="15" s="1"/>
  <c r="V160" i="15" s="1"/>
  <c r="BU65" i="15"/>
  <c r="BU66" i="15" s="1"/>
  <c r="BU67" i="15" s="1"/>
  <c r="BU68" i="15" s="1"/>
  <c r="BU69" i="15" s="1"/>
  <c r="BU70" i="15" s="1"/>
  <c r="BU71" i="15" s="1"/>
  <c r="BU72" i="15" s="1"/>
  <c r="BU73" i="15" s="1"/>
  <c r="BU74" i="15" s="1"/>
  <c r="BU75" i="15" s="1"/>
  <c r="BU76" i="15" s="1"/>
  <c r="BU77" i="15" s="1"/>
  <c r="BU78" i="15" s="1"/>
  <c r="T160" i="15" s="1"/>
  <c r="DU65" i="14"/>
  <c r="DU66" i="14" s="1"/>
  <c r="DU67" i="14" s="1"/>
  <c r="DU68" i="14" s="1"/>
  <c r="DU69" i="14" s="1"/>
  <c r="DU70" i="14" s="1"/>
  <c r="DU71" i="14" s="1"/>
  <c r="DU72" i="14" s="1"/>
  <c r="DU73" i="14" s="1"/>
  <c r="DU74" i="14" s="1"/>
  <c r="DU75" i="14" s="1"/>
  <c r="DU76" i="14" s="1"/>
  <c r="DU77" i="14" s="1"/>
  <c r="DU78" i="14" s="1"/>
  <c r="V160" i="14" s="1"/>
  <c r="CU65" i="14"/>
  <c r="CU66" i="14" s="1"/>
  <c r="CU67" i="14" s="1"/>
  <c r="CU68" i="14" s="1"/>
  <c r="CU69" i="14" s="1"/>
  <c r="CU70" i="14" s="1"/>
  <c r="CU71" i="14" s="1"/>
  <c r="CU72" i="14" s="1"/>
  <c r="CU73" i="14" s="1"/>
  <c r="CU74" i="14" s="1"/>
  <c r="CU75" i="14" s="1"/>
  <c r="CU76" i="14" s="1"/>
  <c r="CU77" i="14" s="1"/>
  <c r="CU78" i="14" s="1"/>
  <c r="U160" i="14" s="1"/>
  <c r="BU65" i="16"/>
  <c r="BU66" i="16" s="1"/>
  <c r="BU67" i="16" s="1"/>
  <c r="BU68" i="16" s="1"/>
  <c r="BU69" i="16" s="1"/>
  <c r="BU70" i="16" s="1"/>
  <c r="BU71" i="16" s="1"/>
  <c r="BU72" i="16" s="1"/>
  <c r="BU73" i="16" s="1"/>
  <c r="BU74" i="16" s="1"/>
  <c r="BU75" i="16" s="1"/>
  <c r="BU76" i="16" s="1"/>
  <c r="BU77" i="16" s="1"/>
  <c r="BU78" i="16" s="1"/>
  <c r="T160" i="16" s="1"/>
  <c r="BU65" i="13"/>
  <c r="BU66" i="13" s="1"/>
  <c r="BU67" i="13" s="1"/>
  <c r="BU68" i="13" s="1"/>
  <c r="BU69" i="13" s="1"/>
  <c r="BU70" i="13" s="1"/>
  <c r="BU71" i="13" s="1"/>
  <c r="BU72" i="13" s="1"/>
  <c r="BU73" i="13" s="1"/>
  <c r="BU74" i="13" s="1"/>
  <c r="BU75" i="13" s="1"/>
  <c r="BU76" i="13" s="1"/>
  <c r="BU77" i="13" s="1"/>
  <c r="BU78" i="13" s="1"/>
  <c r="T160" i="13" s="1"/>
  <c r="AU65" i="16"/>
  <c r="AU66" i="16" s="1"/>
  <c r="AU67" i="16" s="1"/>
  <c r="AU68" i="16" s="1"/>
  <c r="AU69" i="16" s="1"/>
  <c r="AU70" i="16" s="1"/>
  <c r="AU71" i="16" s="1"/>
  <c r="AU72" i="16" s="1"/>
  <c r="AU73" i="16" s="1"/>
  <c r="AU74" i="16" s="1"/>
  <c r="AU75" i="16" s="1"/>
  <c r="AU76" i="16" s="1"/>
  <c r="AU77" i="16" s="1"/>
  <c r="AU78" i="16" s="1"/>
  <c r="S160" i="16" s="1"/>
  <c r="CU65" i="15"/>
  <c r="CU66" i="15" s="1"/>
  <c r="CU67" i="15" s="1"/>
  <c r="CU68" i="15" s="1"/>
  <c r="CU69" i="15" s="1"/>
  <c r="CU70" i="15" s="1"/>
  <c r="CU71" i="15" s="1"/>
  <c r="CU72" i="15" s="1"/>
  <c r="CU73" i="15" s="1"/>
  <c r="CU74" i="15" s="1"/>
  <c r="CU75" i="15" s="1"/>
  <c r="CU76" i="15" s="1"/>
  <c r="CU77" i="15" s="1"/>
  <c r="CU78" i="15" s="1"/>
  <c r="U160" i="15" s="1"/>
  <c r="U65" i="14"/>
  <c r="U66" i="14" s="1"/>
  <c r="U67" i="14" s="1"/>
  <c r="U68" i="14" s="1"/>
  <c r="U69" i="14" s="1"/>
  <c r="U70" i="14" s="1"/>
  <c r="U71" i="14" s="1"/>
  <c r="U72" i="14" s="1"/>
  <c r="U73" i="14" s="1"/>
  <c r="U74" i="14" s="1"/>
  <c r="U75" i="14" s="1"/>
  <c r="U76" i="14" s="1"/>
  <c r="U77" i="14" s="1"/>
  <c r="U78" i="14" s="1"/>
  <c r="R160" i="14" s="1"/>
  <c r="U65" i="15"/>
  <c r="U66" i="15" s="1"/>
  <c r="U67" i="15" s="1"/>
  <c r="U68" i="15" s="1"/>
  <c r="U69" i="15" s="1"/>
  <c r="U70" i="15" s="1"/>
  <c r="U71" i="15" s="1"/>
  <c r="U72" i="15" s="1"/>
  <c r="U73" i="15" s="1"/>
  <c r="U74" i="15" s="1"/>
  <c r="U75" i="15" s="1"/>
  <c r="U76" i="15" s="1"/>
  <c r="U77" i="15" s="1"/>
  <c r="U78" i="15" s="1"/>
  <c r="R160" i="15" s="1"/>
  <c r="BU69" i="14"/>
  <c r="BU70" i="14" s="1"/>
  <c r="BU71" i="14" s="1"/>
  <c r="BU72" i="14" s="1"/>
  <c r="BU73" i="14" s="1"/>
  <c r="BU74" i="14" s="1"/>
  <c r="BU75" i="14" s="1"/>
  <c r="BU76" i="14" s="1"/>
  <c r="BU77" i="14" s="1"/>
  <c r="BU78" i="14" s="1"/>
  <c r="T160" i="14" s="1"/>
  <c r="CU65" i="13"/>
  <c r="CU66" i="13" s="1"/>
  <c r="CU67" i="13" s="1"/>
  <c r="CU68" i="13" s="1"/>
  <c r="CU69" i="13" s="1"/>
  <c r="CU70" i="13" s="1"/>
  <c r="CU71" i="13" s="1"/>
  <c r="CU72" i="13" s="1"/>
  <c r="CU73" i="13" s="1"/>
  <c r="CU74" i="13" s="1"/>
  <c r="CU75" i="13" s="1"/>
  <c r="CU76" i="13" s="1"/>
  <c r="CU77" i="13" s="1"/>
  <c r="CU78" i="13" s="1"/>
  <c r="U160" i="13" s="1"/>
  <c r="U65" i="13"/>
  <c r="U66" i="13" s="1"/>
  <c r="U67" i="13" s="1"/>
  <c r="U68" i="13" s="1"/>
  <c r="U69" i="13" s="1"/>
  <c r="U70" i="13" s="1"/>
  <c r="U71" i="13" s="1"/>
  <c r="U72" i="13" s="1"/>
  <c r="U73" i="13" s="1"/>
  <c r="U74" i="13" s="1"/>
  <c r="U75" i="13" s="1"/>
  <c r="U76" i="13" s="1"/>
  <c r="U77" i="13" s="1"/>
  <c r="U78" i="13" s="1"/>
  <c r="R160" i="13" s="1"/>
  <c r="DU65" i="13"/>
  <c r="DU66" i="13" s="1"/>
  <c r="DU67" i="13" s="1"/>
  <c r="DU68" i="13" s="1"/>
  <c r="DU69" i="13" s="1"/>
  <c r="DU70" i="13" s="1"/>
  <c r="DU71" i="13" s="1"/>
  <c r="DU72" i="13" s="1"/>
  <c r="DU73" i="13" s="1"/>
  <c r="DU74" i="13" s="1"/>
  <c r="DU75" i="13" s="1"/>
  <c r="DU76" i="13" s="1"/>
  <c r="DU77" i="13" s="1"/>
  <c r="DU78" i="13" s="1"/>
  <c r="V160" i="13" s="1"/>
  <c r="CT39" i="16"/>
  <c r="CT40" i="16" s="1"/>
  <c r="CT41" i="16" s="1"/>
  <c r="CT42" i="16" s="1"/>
  <c r="CT43" i="16" s="1"/>
  <c r="CT44" i="16" s="1"/>
  <c r="CT45" i="16" s="1"/>
  <c r="CT46" i="16" s="1"/>
  <c r="CT47" i="16" s="1"/>
  <c r="CT48" i="16" s="1"/>
  <c r="CT49" i="16" s="1"/>
  <c r="CT50" i="16" s="1"/>
  <c r="CT51" i="16" s="1"/>
  <c r="CT52" i="16" s="1"/>
  <c r="CT53" i="16" s="1"/>
  <c r="F4" i="16"/>
  <c r="CT13" i="16"/>
  <c r="CT14" i="16" s="1"/>
  <c r="CT15" i="16" s="1"/>
  <c r="CT16" i="16" s="1"/>
  <c r="CT17" i="16" s="1"/>
  <c r="CT18" i="16" s="1"/>
  <c r="CT19" i="16" s="1"/>
  <c r="CT20" i="16" s="1"/>
  <c r="CT21" i="16" s="1"/>
  <c r="CT22" i="16" s="1"/>
  <c r="CT23" i="16" s="1"/>
  <c r="CT24" i="16" s="1"/>
  <c r="CT25" i="16" s="1"/>
  <c r="CT26" i="16" s="1"/>
  <c r="CT27" i="16" s="1"/>
  <c r="E4" i="16"/>
  <c r="B39" i="13"/>
  <c r="B40" i="13" s="1"/>
  <c r="B41" i="13" s="1"/>
  <c r="B42" i="13" s="1"/>
  <c r="B13" i="13"/>
  <c r="B14" i="13" l="1"/>
  <c r="AJ63" i="16"/>
  <c r="BJ63" i="13"/>
  <c r="CJ63" i="13"/>
  <c r="DJ63" i="13"/>
  <c r="BJ63" i="15"/>
  <c r="BJ63" i="16"/>
  <c r="J63" i="14"/>
  <c r="AJ63" i="15"/>
  <c r="J63" i="13"/>
  <c r="AJ63" i="14"/>
  <c r="BJ63" i="14"/>
  <c r="CJ63" i="15"/>
  <c r="CJ63" i="16"/>
  <c r="AJ63" i="13"/>
  <c r="J63" i="16"/>
  <c r="J63" i="15"/>
  <c r="DJ63" i="14"/>
  <c r="CJ63" i="14"/>
  <c r="DJ63" i="15"/>
  <c r="DJ63" i="16"/>
  <c r="CL138" i="16"/>
  <c r="DJ138" i="16"/>
  <c r="CU63" i="16"/>
  <c r="DU63" i="16"/>
  <c r="B43" i="13"/>
  <c r="B44" i="13" s="1"/>
  <c r="B15" i="13"/>
  <c r="DJ139" i="16" l="1"/>
  <c r="DJ140" i="16" s="1"/>
  <c r="DJ141" i="16" s="1"/>
  <c r="DJ142" i="16" s="1"/>
  <c r="DJ143" i="16" s="1"/>
  <c r="DJ144" i="16" s="1"/>
  <c r="DJ145" i="16" s="1"/>
  <c r="DJ146" i="16" s="1"/>
  <c r="DJ147" i="16" s="1"/>
  <c r="DJ148" i="16" s="1"/>
  <c r="DJ149" i="16" s="1"/>
  <c r="DJ150" i="16" s="1"/>
  <c r="DJ151" i="16" s="1"/>
  <c r="DJ152" i="16" s="1"/>
  <c r="DJ153" i="16" s="1"/>
  <c r="AK160" i="16" s="1"/>
  <c r="CL139" i="16"/>
  <c r="CL140" i="16" s="1"/>
  <c r="CL141" i="16" s="1"/>
  <c r="CL142" i="16" s="1"/>
  <c r="CL143" i="16" s="1"/>
  <c r="CL144" i="16" s="1"/>
  <c r="CL145" i="16" s="1"/>
  <c r="CL146" i="16" s="1"/>
  <c r="CL147" i="16" s="1"/>
  <c r="CL148" i="16" s="1"/>
  <c r="CL149" i="16" s="1"/>
  <c r="CL150" i="16" s="1"/>
  <c r="CL151" i="16" s="1"/>
  <c r="CL152" i="16" s="1"/>
  <c r="CL153" i="16" s="1"/>
  <c r="AJ160" i="16" s="1"/>
  <c r="DU64" i="16"/>
  <c r="DU65" i="16" s="1"/>
  <c r="DU66" i="16" s="1"/>
  <c r="DU67" i="16" s="1"/>
  <c r="DU68" i="16" s="1"/>
  <c r="DU69" i="16" s="1"/>
  <c r="DU70" i="16" s="1"/>
  <c r="DU71" i="16" s="1"/>
  <c r="DU72" i="16" s="1"/>
  <c r="DU73" i="16" s="1"/>
  <c r="DU74" i="16" s="1"/>
  <c r="DU75" i="16" s="1"/>
  <c r="DU76" i="16" s="1"/>
  <c r="DU77" i="16" s="1"/>
  <c r="DU78" i="16" s="1"/>
  <c r="V160" i="16" s="1"/>
  <c r="CU64" i="16"/>
  <c r="CU65" i="16" s="1"/>
  <c r="CU66" i="16" s="1"/>
  <c r="CU67" i="16" s="1"/>
  <c r="CU68" i="16" s="1"/>
  <c r="CU69" i="16" s="1"/>
  <c r="CU70" i="16" s="1"/>
  <c r="CU71" i="16" s="1"/>
  <c r="CU72" i="16" s="1"/>
  <c r="CU73" i="16" s="1"/>
  <c r="CU74" i="16" s="1"/>
  <c r="CU75" i="16" s="1"/>
  <c r="CU76" i="16" s="1"/>
  <c r="CU77" i="16" s="1"/>
  <c r="CU78" i="16" s="1"/>
  <c r="U160" i="16" s="1"/>
  <c r="B45" i="13"/>
  <c r="B16" i="13"/>
  <c r="B17" i="13" l="1"/>
  <c r="B46" i="13"/>
  <c r="B18" i="13" l="1"/>
  <c r="B47" i="13"/>
  <c r="B19" i="13" l="1"/>
  <c r="B48" i="13"/>
  <c r="B20" i="13" l="1"/>
  <c r="B49" i="13"/>
  <c r="B21" i="13" l="1"/>
  <c r="B50" i="13"/>
  <c r="B22" i="13" l="1"/>
  <c r="B51" i="13"/>
  <c r="B23" i="13" l="1"/>
  <c r="B52" i="13"/>
  <c r="B24" i="13" l="1"/>
  <c r="B53" i="13"/>
  <c r="B25" i="13" l="1"/>
  <c r="B26" i="13" l="1"/>
  <c r="B27" i="13" l="1"/>
  <c r="M23" i="8" l="1"/>
  <c r="M21" i="8"/>
  <c r="M19" i="8"/>
  <c r="V7" i="8"/>
  <c r="T7" i="8"/>
  <c r="R7" i="8"/>
  <c r="P7" i="8"/>
  <c r="M14" i="8"/>
  <c r="M13" i="8"/>
  <c r="C42" i="8"/>
  <c r="C43" i="8"/>
  <c r="C44" i="8"/>
  <c r="C45" i="8"/>
  <c r="C41" i="8"/>
  <c r="C31" i="8"/>
  <c r="C32" i="8"/>
  <c r="C33" i="8"/>
  <c r="C34" i="8"/>
  <c r="C30" i="8"/>
  <c r="B30" i="8"/>
  <c r="C26" i="8"/>
  <c r="C27" i="8"/>
  <c r="C28" i="8"/>
  <c r="C29" i="8"/>
  <c r="C25" i="8"/>
  <c r="C21" i="8"/>
  <c r="C22" i="8"/>
  <c r="C23" i="8"/>
  <c r="C24" i="8"/>
  <c r="C20" i="8"/>
  <c r="B13" i="8"/>
  <c r="W36" i="7" l="1"/>
  <c r="I136" i="7" s="1"/>
  <c r="M33" i="7"/>
  <c r="H33" i="7"/>
  <c r="H36" i="7" s="1"/>
  <c r="F136" i="7" s="1"/>
  <c r="AD65" i="2"/>
  <c r="W65" i="2"/>
  <c r="P65" i="2"/>
  <c r="I65" i="2"/>
  <c r="AD44" i="2"/>
  <c r="W59" i="2"/>
  <c r="W44" i="2"/>
  <c r="I59" i="2"/>
  <c r="AD29" i="2"/>
  <c r="AD26" i="2"/>
  <c r="AD28" i="2"/>
  <c r="AD25" i="2"/>
  <c r="AD24" i="2"/>
  <c r="AD23" i="2"/>
  <c r="W29" i="2"/>
  <c r="W26" i="2"/>
  <c r="W28" i="2"/>
  <c r="W25" i="2"/>
  <c r="W24" i="2"/>
  <c r="W23" i="2"/>
  <c r="P24" i="2"/>
  <c r="P25" i="2"/>
  <c r="P26" i="2"/>
  <c r="P29" i="2"/>
  <c r="P23" i="2"/>
  <c r="I29" i="2"/>
  <c r="I26" i="2"/>
  <c r="I25" i="2"/>
  <c r="I24" i="2"/>
  <c r="I23" i="2"/>
  <c r="H8" i="7" l="1"/>
  <c r="W8" i="7"/>
  <c r="E12" i="2"/>
  <c r="S12" i="2"/>
  <c r="E65" i="10" s="1"/>
  <c r="F65" i="10" s="1"/>
  <c r="Z65" i="10" s="1"/>
  <c r="L12" i="2"/>
  <c r="E39" i="10" s="1"/>
  <c r="F39" i="10" s="1"/>
  <c r="Z39" i="10" s="1"/>
  <c r="N33" i="7"/>
  <c r="S33" i="7"/>
  <c r="R36" i="7"/>
  <c r="H136" i="7" s="1"/>
  <c r="N16" i="7"/>
  <c r="S16" i="7"/>
  <c r="N26" i="7"/>
  <c r="I16" i="7"/>
  <c r="X16" i="7"/>
  <c r="I33" i="7"/>
  <c r="M36" i="7"/>
  <c r="G136" i="7" s="1"/>
  <c r="I26" i="7"/>
  <c r="E14" i="10" l="1"/>
  <c r="F14" i="10" s="1"/>
  <c r="E18" i="10"/>
  <c r="F18" i="10" s="1"/>
  <c r="E22" i="10"/>
  <c r="F22" i="10" s="1"/>
  <c r="Z22" i="10" s="1"/>
  <c r="E26" i="10"/>
  <c r="F26" i="10" s="1"/>
  <c r="E17" i="10"/>
  <c r="F17" i="10" s="1"/>
  <c r="E21" i="10"/>
  <c r="F21" i="10" s="1"/>
  <c r="E25" i="10"/>
  <c r="F25" i="10" s="1"/>
  <c r="Z25" i="10" s="1"/>
  <c r="E13" i="10"/>
  <c r="F13" i="10" s="1"/>
  <c r="Z13" i="10" s="1"/>
  <c r="E19" i="10"/>
  <c r="F19" i="10" s="1"/>
  <c r="Z19" i="10" s="1"/>
  <c r="E27" i="10"/>
  <c r="F27" i="10" s="1"/>
  <c r="E20" i="10"/>
  <c r="F20" i="10" s="1"/>
  <c r="E28" i="10"/>
  <c r="F28" i="10" s="1"/>
  <c r="Z28" i="10" s="1"/>
  <c r="E15" i="10"/>
  <c r="F15" i="10" s="1"/>
  <c r="E23" i="10"/>
  <c r="F23" i="10" s="1"/>
  <c r="E16" i="10"/>
  <c r="F16" i="10" s="1"/>
  <c r="Z16" i="10" s="1"/>
  <c r="E24" i="10"/>
  <c r="F24" i="10" s="1"/>
  <c r="R8" i="7"/>
  <c r="M8" i="7"/>
  <c r="R10" i="7"/>
  <c r="H128" i="7"/>
  <c r="H134" i="7" s="1"/>
  <c r="M10" i="7"/>
  <c r="G128" i="7"/>
  <c r="G134" i="7" s="1"/>
  <c r="W10" i="7"/>
  <c r="I128" i="7"/>
  <c r="I134" i="7" s="1"/>
  <c r="H10" i="7"/>
  <c r="F128" i="7"/>
  <c r="F134" i="7" s="1"/>
  <c r="CW114" i="13"/>
  <c r="CW118" i="13"/>
  <c r="CW122" i="13"/>
  <c r="CW126" i="13"/>
  <c r="BY114" i="13"/>
  <c r="BY118" i="13"/>
  <c r="BY122" i="13"/>
  <c r="BY126" i="13"/>
  <c r="BA114" i="13"/>
  <c r="BA118" i="13"/>
  <c r="BA122" i="13"/>
  <c r="BA126" i="13"/>
  <c r="AC114" i="13"/>
  <c r="AC118" i="13"/>
  <c r="CW115" i="13"/>
  <c r="CW119" i="13"/>
  <c r="CW123" i="13"/>
  <c r="BY115" i="13"/>
  <c r="BY119" i="13"/>
  <c r="BY123" i="13"/>
  <c r="BY127" i="13"/>
  <c r="BA115" i="13"/>
  <c r="BA119" i="13"/>
  <c r="BA123" i="13"/>
  <c r="BA127" i="13"/>
  <c r="AC115" i="13"/>
  <c r="CW116" i="13"/>
  <c r="CW120" i="13"/>
  <c r="CW124" i="13"/>
  <c r="CW128" i="13"/>
  <c r="BY116" i="13"/>
  <c r="BY120" i="13"/>
  <c r="BY124" i="13"/>
  <c r="BY128" i="13"/>
  <c r="BA116" i="13"/>
  <c r="BA120" i="13"/>
  <c r="BA124" i="13"/>
  <c r="BA128" i="13"/>
  <c r="AC116" i="13"/>
  <c r="CW117" i="13"/>
  <c r="BY117" i="13"/>
  <c r="BA117" i="13"/>
  <c r="AC117" i="13"/>
  <c r="AC122" i="13"/>
  <c r="AC126" i="13"/>
  <c r="CW113" i="13"/>
  <c r="AC113" i="13"/>
  <c r="CW121" i="13"/>
  <c r="BY121" i="13"/>
  <c r="BA121" i="13"/>
  <c r="AC119" i="13"/>
  <c r="AC123" i="13"/>
  <c r="AC127" i="13"/>
  <c r="BY113" i="13"/>
  <c r="AC125" i="13"/>
  <c r="CW125" i="13"/>
  <c r="BY125" i="13"/>
  <c r="BA125" i="13"/>
  <c r="AC120" i="13"/>
  <c r="AC124" i="13"/>
  <c r="AC128" i="13"/>
  <c r="BA113" i="13"/>
  <c r="AC121" i="13"/>
  <c r="S11" i="8"/>
  <c r="CV128" i="16"/>
  <c r="CW128" i="16" s="1"/>
  <c r="CV124" i="16"/>
  <c r="CW124" i="16" s="1"/>
  <c r="CV120" i="16"/>
  <c r="CW120" i="16" s="1"/>
  <c r="CV116" i="16"/>
  <c r="CW116" i="16" s="1"/>
  <c r="BX128" i="16"/>
  <c r="BY128" i="16" s="1"/>
  <c r="BX124" i="16"/>
  <c r="BY124" i="16" s="1"/>
  <c r="BX120" i="16"/>
  <c r="BY120" i="16" s="1"/>
  <c r="BX116" i="16"/>
  <c r="BY116" i="16" s="1"/>
  <c r="AZ128" i="16"/>
  <c r="BA128" i="16" s="1"/>
  <c r="AZ124" i="16"/>
  <c r="BA124" i="16" s="1"/>
  <c r="AZ120" i="16"/>
  <c r="BA120" i="16" s="1"/>
  <c r="AZ116" i="16"/>
  <c r="BA116" i="16" s="1"/>
  <c r="AB128" i="16"/>
  <c r="AC128" i="16" s="1"/>
  <c r="AB124" i="16"/>
  <c r="AC124" i="16" s="1"/>
  <c r="AB120" i="16"/>
  <c r="AC120" i="16" s="1"/>
  <c r="AB116" i="16"/>
  <c r="AC116" i="16" s="1"/>
  <c r="D128" i="16"/>
  <c r="E128" i="16" s="1"/>
  <c r="D124" i="16"/>
  <c r="E124" i="16" s="1"/>
  <c r="D120" i="16"/>
  <c r="E120" i="16" s="1"/>
  <c r="D116" i="16"/>
  <c r="E116" i="16" s="1"/>
  <c r="CV128" i="15"/>
  <c r="CW128" i="15" s="1"/>
  <c r="CV124" i="15"/>
  <c r="CW124" i="15" s="1"/>
  <c r="CV120" i="15"/>
  <c r="CW120" i="15" s="1"/>
  <c r="CV116" i="15"/>
  <c r="CW116" i="15" s="1"/>
  <c r="BX128" i="15"/>
  <c r="BY128" i="15" s="1"/>
  <c r="BX124" i="15"/>
  <c r="BY124" i="15" s="1"/>
  <c r="BX120" i="15"/>
  <c r="BY120" i="15" s="1"/>
  <c r="BX116" i="15"/>
  <c r="BY116" i="15" s="1"/>
  <c r="AZ128" i="15"/>
  <c r="BA128" i="15" s="1"/>
  <c r="AZ124" i="15"/>
  <c r="BA124" i="15" s="1"/>
  <c r="AZ120" i="15"/>
  <c r="BA120" i="15" s="1"/>
  <c r="AZ116" i="15"/>
  <c r="BA116" i="15" s="1"/>
  <c r="AB128" i="15"/>
  <c r="AC128" i="15" s="1"/>
  <c r="AB124" i="15"/>
  <c r="AC124" i="15" s="1"/>
  <c r="AB120" i="15"/>
  <c r="AC120" i="15" s="1"/>
  <c r="AB116" i="15"/>
  <c r="AC116" i="15" s="1"/>
  <c r="D128" i="15"/>
  <c r="E128" i="15" s="1"/>
  <c r="D124" i="15"/>
  <c r="E124" i="15" s="1"/>
  <c r="D120" i="15"/>
  <c r="E120" i="15" s="1"/>
  <c r="D116" i="15"/>
  <c r="E116" i="15" s="1"/>
  <c r="CV128" i="14"/>
  <c r="CW128" i="14" s="1"/>
  <c r="CV124" i="14"/>
  <c r="CW124" i="14" s="1"/>
  <c r="CV120" i="14"/>
  <c r="CW120" i="14" s="1"/>
  <c r="CV116" i="14"/>
  <c r="CW116" i="14" s="1"/>
  <c r="CV126" i="16"/>
  <c r="CW126" i="16" s="1"/>
  <c r="CV122" i="16"/>
  <c r="CW122" i="16" s="1"/>
  <c r="CV118" i="16"/>
  <c r="CW118" i="16" s="1"/>
  <c r="CV114" i="16"/>
  <c r="CW114" i="16" s="1"/>
  <c r="BX126" i="16"/>
  <c r="BY126" i="16" s="1"/>
  <c r="BX122" i="16"/>
  <c r="BY122" i="16" s="1"/>
  <c r="BX118" i="16"/>
  <c r="BY118" i="16" s="1"/>
  <c r="BX114" i="16"/>
  <c r="BY114" i="16" s="1"/>
  <c r="AZ126" i="16"/>
  <c r="BA126" i="16" s="1"/>
  <c r="AZ122" i="16"/>
  <c r="BA122" i="16" s="1"/>
  <c r="AZ118" i="16"/>
  <c r="BA118" i="16" s="1"/>
  <c r="AZ114" i="16"/>
  <c r="BA114" i="16" s="1"/>
  <c r="AB126" i="16"/>
  <c r="AC126" i="16" s="1"/>
  <c r="AB122" i="16"/>
  <c r="AC122" i="16" s="1"/>
  <c r="AB118" i="16"/>
  <c r="AC118" i="16" s="1"/>
  <c r="AB114" i="16"/>
  <c r="AC114" i="16" s="1"/>
  <c r="D126" i="16"/>
  <c r="E126" i="16" s="1"/>
  <c r="D122" i="16"/>
  <c r="E122" i="16" s="1"/>
  <c r="D118" i="16"/>
  <c r="E118" i="16" s="1"/>
  <c r="D114" i="16"/>
  <c r="E114" i="16" s="1"/>
  <c r="CV126" i="15"/>
  <c r="CW126" i="15" s="1"/>
  <c r="CV122" i="15"/>
  <c r="CW122" i="15" s="1"/>
  <c r="CV118" i="15"/>
  <c r="CW118" i="15" s="1"/>
  <c r="CV114" i="15"/>
  <c r="CW114" i="15" s="1"/>
  <c r="BX126" i="15"/>
  <c r="BY126" i="15" s="1"/>
  <c r="BX122" i="15"/>
  <c r="BY122" i="15" s="1"/>
  <c r="BX118" i="15"/>
  <c r="BY118" i="15" s="1"/>
  <c r="BX114" i="15"/>
  <c r="BY114" i="15" s="1"/>
  <c r="AZ126" i="15"/>
  <c r="BA126" i="15" s="1"/>
  <c r="AZ122" i="15"/>
  <c r="BA122" i="15" s="1"/>
  <c r="AZ118" i="15"/>
  <c r="BA118" i="15" s="1"/>
  <c r="AZ114" i="15"/>
  <c r="BA114" i="15" s="1"/>
  <c r="AB126" i="15"/>
  <c r="AC126" i="15" s="1"/>
  <c r="AB122" i="15"/>
  <c r="AC122" i="15" s="1"/>
  <c r="AB118" i="15"/>
  <c r="AC118" i="15" s="1"/>
  <c r="AB114" i="15"/>
  <c r="AC114" i="15" s="1"/>
  <c r="D126" i="15"/>
  <c r="E126" i="15" s="1"/>
  <c r="D122" i="15"/>
  <c r="E122" i="15" s="1"/>
  <c r="D118" i="15"/>
  <c r="E118" i="15" s="1"/>
  <c r="D114" i="15"/>
  <c r="E114" i="15" s="1"/>
  <c r="CV126" i="14"/>
  <c r="CW126" i="14" s="1"/>
  <c r="CV122" i="14"/>
  <c r="CW122" i="14" s="1"/>
  <c r="CV118" i="14"/>
  <c r="CW118" i="14" s="1"/>
  <c r="CV127" i="16"/>
  <c r="CW127" i="16" s="1"/>
  <c r="CV119" i="16"/>
  <c r="CW119" i="16" s="1"/>
  <c r="BX127" i="16"/>
  <c r="BY127" i="16" s="1"/>
  <c r="BX119" i="16"/>
  <c r="BY119" i="16" s="1"/>
  <c r="AZ127" i="16"/>
  <c r="BA127" i="16" s="1"/>
  <c r="AZ119" i="16"/>
  <c r="BA119" i="16" s="1"/>
  <c r="AB127" i="16"/>
  <c r="AC127" i="16" s="1"/>
  <c r="AB119" i="16"/>
  <c r="AC119" i="16" s="1"/>
  <c r="D127" i="16"/>
  <c r="E127" i="16" s="1"/>
  <c r="D119" i="16"/>
  <c r="E119" i="16" s="1"/>
  <c r="CV127" i="15"/>
  <c r="CW127" i="15" s="1"/>
  <c r="CV119" i="15"/>
  <c r="CW119" i="15" s="1"/>
  <c r="BX127" i="15"/>
  <c r="BY127" i="15" s="1"/>
  <c r="BX119" i="15"/>
  <c r="BY119" i="15" s="1"/>
  <c r="AZ127" i="15"/>
  <c r="BA127" i="15" s="1"/>
  <c r="AZ119" i="15"/>
  <c r="BA119" i="15" s="1"/>
  <c r="AB127" i="15"/>
  <c r="AC127" i="15" s="1"/>
  <c r="AB119" i="15"/>
  <c r="AC119" i="15" s="1"/>
  <c r="D127" i="15"/>
  <c r="E127" i="15" s="1"/>
  <c r="D119" i="15"/>
  <c r="E119" i="15" s="1"/>
  <c r="CV127" i="14"/>
  <c r="CW127" i="14" s="1"/>
  <c r="CV119" i="14"/>
  <c r="CW119" i="14" s="1"/>
  <c r="CV113" i="14"/>
  <c r="CW113" i="14" s="1"/>
  <c r="BX125" i="14"/>
  <c r="BY125" i="14" s="1"/>
  <c r="BX121" i="14"/>
  <c r="BY121" i="14" s="1"/>
  <c r="BX117" i="14"/>
  <c r="BY117" i="14" s="1"/>
  <c r="BX113" i="14"/>
  <c r="BY113" i="14" s="1"/>
  <c r="AZ125" i="14"/>
  <c r="BA125" i="14" s="1"/>
  <c r="AZ121" i="14"/>
  <c r="BA121" i="14" s="1"/>
  <c r="AZ117" i="14"/>
  <c r="BA117" i="14" s="1"/>
  <c r="AZ113" i="14"/>
  <c r="BA113" i="14" s="1"/>
  <c r="AB125" i="14"/>
  <c r="AC125" i="14" s="1"/>
  <c r="AB121" i="14"/>
  <c r="AC121" i="14" s="1"/>
  <c r="AB117" i="14"/>
  <c r="AC117" i="14" s="1"/>
  <c r="AB113" i="14"/>
  <c r="AC113" i="14" s="1"/>
  <c r="D125" i="14"/>
  <c r="E125" i="14" s="1"/>
  <c r="D121" i="14"/>
  <c r="E121" i="14" s="1"/>
  <c r="D117" i="14"/>
  <c r="E117" i="14" s="1"/>
  <c r="D113" i="14"/>
  <c r="E113" i="14" s="1"/>
  <c r="E117" i="13"/>
  <c r="E121" i="13"/>
  <c r="E125" i="13"/>
  <c r="E113" i="13"/>
  <c r="CV123" i="16"/>
  <c r="CW123" i="16" s="1"/>
  <c r="CV115" i="16"/>
  <c r="CW115" i="16" s="1"/>
  <c r="BX123" i="16"/>
  <c r="BY123" i="16" s="1"/>
  <c r="BX115" i="16"/>
  <c r="BY115" i="16" s="1"/>
  <c r="AZ123" i="16"/>
  <c r="BA123" i="16" s="1"/>
  <c r="AZ115" i="16"/>
  <c r="BA115" i="16" s="1"/>
  <c r="AB123" i="16"/>
  <c r="AC123" i="16" s="1"/>
  <c r="AB115" i="16"/>
  <c r="AC115" i="16" s="1"/>
  <c r="D123" i="16"/>
  <c r="E123" i="16" s="1"/>
  <c r="D115" i="16"/>
  <c r="E115" i="16" s="1"/>
  <c r="CV123" i="15"/>
  <c r="CW123" i="15" s="1"/>
  <c r="CV115" i="15"/>
  <c r="CW115" i="15" s="1"/>
  <c r="BX123" i="15"/>
  <c r="BY123" i="15" s="1"/>
  <c r="BX115" i="15"/>
  <c r="BY115" i="15" s="1"/>
  <c r="AZ123" i="15"/>
  <c r="BA123" i="15" s="1"/>
  <c r="AZ115" i="15"/>
  <c r="BA115" i="15" s="1"/>
  <c r="AB123" i="15"/>
  <c r="AC123" i="15" s="1"/>
  <c r="AB115" i="15"/>
  <c r="AC115" i="15" s="1"/>
  <c r="D123" i="15"/>
  <c r="E123" i="15" s="1"/>
  <c r="D115" i="15"/>
  <c r="E115" i="15" s="1"/>
  <c r="CV123" i="14"/>
  <c r="CW123" i="14" s="1"/>
  <c r="CV115" i="14"/>
  <c r="CW115" i="14" s="1"/>
  <c r="BX127" i="14"/>
  <c r="BY127" i="14" s="1"/>
  <c r="BX123" i="14"/>
  <c r="BY123" i="14" s="1"/>
  <c r="BX119" i="14"/>
  <c r="BY119" i="14" s="1"/>
  <c r="BX115" i="14"/>
  <c r="BY115" i="14" s="1"/>
  <c r="AZ127" i="14"/>
  <c r="BA127" i="14" s="1"/>
  <c r="AZ123" i="14"/>
  <c r="BA123" i="14" s="1"/>
  <c r="AZ119" i="14"/>
  <c r="BA119" i="14" s="1"/>
  <c r="AZ115" i="14"/>
  <c r="BA115" i="14" s="1"/>
  <c r="AB127" i="14"/>
  <c r="AC127" i="14" s="1"/>
  <c r="AB123" i="14"/>
  <c r="AC123" i="14" s="1"/>
  <c r="AB119" i="14"/>
  <c r="AC119" i="14" s="1"/>
  <c r="AB115" i="14"/>
  <c r="AC115" i="14" s="1"/>
  <c r="D127" i="14"/>
  <c r="E127" i="14" s="1"/>
  <c r="D123" i="14"/>
  <c r="E123" i="14" s="1"/>
  <c r="D119" i="14"/>
  <c r="E119" i="14" s="1"/>
  <c r="D115" i="14"/>
  <c r="E115" i="14" s="1"/>
  <c r="CW127" i="13"/>
  <c r="E115" i="13"/>
  <c r="E119" i="13"/>
  <c r="E123" i="13"/>
  <c r="E127" i="13"/>
  <c r="CV125" i="16"/>
  <c r="CW125" i="16" s="1"/>
  <c r="BX125" i="16"/>
  <c r="BY125" i="16" s="1"/>
  <c r="AZ125" i="16"/>
  <c r="BA125" i="16" s="1"/>
  <c r="AB125" i="16"/>
  <c r="AC125" i="16" s="1"/>
  <c r="D125" i="16"/>
  <c r="E125" i="16" s="1"/>
  <c r="CV125" i="15"/>
  <c r="CW125" i="15" s="1"/>
  <c r="BX125" i="15"/>
  <c r="BY125" i="15" s="1"/>
  <c r="AZ125" i="15"/>
  <c r="BA125" i="15" s="1"/>
  <c r="AB125" i="15"/>
  <c r="AC125" i="15" s="1"/>
  <c r="D125" i="15"/>
  <c r="E125" i="15" s="1"/>
  <c r="CV125" i="14"/>
  <c r="CW125" i="14" s="1"/>
  <c r="BX128" i="14"/>
  <c r="BY128" i="14" s="1"/>
  <c r="BX120" i="14"/>
  <c r="BY120" i="14" s="1"/>
  <c r="AZ128" i="14"/>
  <c r="BA128" i="14" s="1"/>
  <c r="AZ120" i="14"/>
  <c r="BA120" i="14" s="1"/>
  <c r="AB128" i="14"/>
  <c r="AC128" i="14" s="1"/>
  <c r="AB120" i="14"/>
  <c r="AC120" i="14" s="1"/>
  <c r="D128" i="14"/>
  <c r="E128" i="14" s="1"/>
  <c r="D120" i="14"/>
  <c r="E120" i="14" s="1"/>
  <c r="E114" i="13"/>
  <c r="E122" i="13"/>
  <c r="CV121" i="16"/>
  <c r="CW121" i="16" s="1"/>
  <c r="BX121" i="16"/>
  <c r="BY121" i="16" s="1"/>
  <c r="AZ121" i="16"/>
  <c r="BA121" i="16" s="1"/>
  <c r="AB121" i="16"/>
  <c r="AC121" i="16" s="1"/>
  <c r="D121" i="16"/>
  <c r="E121" i="16" s="1"/>
  <c r="CV121" i="15"/>
  <c r="CW121" i="15" s="1"/>
  <c r="BX121" i="15"/>
  <c r="BY121" i="15" s="1"/>
  <c r="AZ121" i="15"/>
  <c r="BA121" i="15" s="1"/>
  <c r="AB121" i="15"/>
  <c r="AC121" i="15" s="1"/>
  <c r="D121" i="15"/>
  <c r="E121" i="15" s="1"/>
  <c r="CV121" i="14"/>
  <c r="CW121" i="14" s="1"/>
  <c r="BX126" i="14"/>
  <c r="BY126" i="14" s="1"/>
  <c r="BX118" i="14"/>
  <c r="BY118" i="14" s="1"/>
  <c r="AZ126" i="14"/>
  <c r="BA126" i="14" s="1"/>
  <c r="AZ118" i="14"/>
  <c r="BA118" i="14" s="1"/>
  <c r="AB126" i="14"/>
  <c r="AC126" i="14" s="1"/>
  <c r="AB118" i="14"/>
  <c r="AC118" i="14" s="1"/>
  <c r="D126" i="14"/>
  <c r="E126" i="14" s="1"/>
  <c r="D118" i="14"/>
  <c r="E118" i="14" s="1"/>
  <c r="E116" i="13"/>
  <c r="E124" i="13"/>
  <c r="BX122" i="14"/>
  <c r="BY122" i="14" s="1"/>
  <c r="AB122" i="14"/>
  <c r="AC122" i="14" s="1"/>
  <c r="D122" i="14"/>
  <c r="E122" i="14" s="1"/>
  <c r="E120" i="13"/>
  <c r="CV117" i="16"/>
  <c r="CW117" i="16" s="1"/>
  <c r="BX117" i="16"/>
  <c r="BY117" i="16" s="1"/>
  <c r="AZ117" i="16"/>
  <c r="BA117" i="16" s="1"/>
  <c r="AB117" i="16"/>
  <c r="AC117" i="16" s="1"/>
  <c r="D117" i="16"/>
  <c r="E117" i="16" s="1"/>
  <c r="CV117" i="15"/>
  <c r="CW117" i="15" s="1"/>
  <c r="BX117" i="15"/>
  <c r="BY117" i="15" s="1"/>
  <c r="AZ117" i="15"/>
  <c r="BA117" i="15" s="1"/>
  <c r="AB117" i="15"/>
  <c r="AC117" i="15" s="1"/>
  <c r="D117" i="15"/>
  <c r="E117" i="15" s="1"/>
  <c r="CV117" i="14"/>
  <c r="CW117" i="14" s="1"/>
  <c r="BX124" i="14"/>
  <c r="BY124" i="14" s="1"/>
  <c r="BX116" i="14"/>
  <c r="BY116" i="14" s="1"/>
  <c r="AZ124" i="14"/>
  <c r="BA124" i="14" s="1"/>
  <c r="AZ116" i="14"/>
  <c r="BA116" i="14" s="1"/>
  <c r="AB124" i="14"/>
  <c r="AC124" i="14" s="1"/>
  <c r="AB116" i="14"/>
  <c r="AC116" i="14" s="1"/>
  <c r="D124" i="14"/>
  <c r="E124" i="14" s="1"/>
  <c r="D116" i="14"/>
  <c r="E116" i="14" s="1"/>
  <c r="E118" i="13"/>
  <c r="E126" i="13"/>
  <c r="CV113" i="16"/>
  <c r="CW113" i="16" s="1"/>
  <c r="BX113" i="16"/>
  <c r="BY113" i="16" s="1"/>
  <c r="AZ113" i="16"/>
  <c r="BA113" i="16" s="1"/>
  <c r="AB113" i="16"/>
  <c r="AC113" i="16" s="1"/>
  <c r="D113" i="16"/>
  <c r="E113" i="16" s="1"/>
  <c r="CV113" i="15"/>
  <c r="CW113" i="15" s="1"/>
  <c r="BX113" i="15"/>
  <c r="BY113" i="15" s="1"/>
  <c r="AZ113" i="15"/>
  <c r="BA113" i="15" s="1"/>
  <c r="AB113" i="15"/>
  <c r="AC113" i="15" s="1"/>
  <c r="D113" i="15"/>
  <c r="E113" i="15" s="1"/>
  <c r="CV114" i="14"/>
  <c r="CW114" i="14" s="1"/>
  <c r="BX114" i="14"/>
  <c r="BY114" i="14" s="1"/>
  <c r="AZ122" i="14"/>
  <c r="BA122" i="14" s="1"/>
  <c r="AZ114" i="14"/>
  <c r="BA114" i="14" s="1"/>
  <c r="AB114" i="14"/>
  <c r="AC114" i="14" s="1"/>
  <c r="D114" i="14"/>
  <c r="E114" i="14" s="1"/>
  <c r="E128" i="13"/>
  <c r="AE65" i="10"/>
  <c r="Q11" i="8"/>
  <c r="CW89" i="13"/>
  <c r="CW93" i="13"/>
  <c r="CW101" i="13"/>
  <c r="BY89" i="13"/>
  <c r="BY93" i="13"/>
  <c r="BY101" i="13"/>
  <c r="BA89" i="13"/>
  <c r="BA93" i="13"/>
  <c r="BA101" i="13"/>
  <c r="AC89" i="13"/>
  <c r="AC93" i="13"/>
  <c r="AC101" i="13"/>
  <c r="CW95" i="13"/>
  <c r="CW99" i="13"/>
  <c r="BY95" i="13"/>
  <c r="BY99" i="13"/>
  <c r="BA95" i="13"/>
  <c r="BA99" i="13"/>
  <c r="AC95" i="13"/>
  <c r="AC99" i="13"/>
  <c r="CW90" i="13"/>
  <c r="CW98" i="13"/>
  <c r="BY90" i="13"/>
  <c r="BY98" i="13"/>
  <c r="BA90" i="13"/>
  <c r="BA98" i="13"/>
  <c r="AC90" i="13"/>
  <c r="AC98" i="13"/>
  <c r="CW92" i="13"/>
  <c r="BY92" i="13"/>
  <c r="BA92" i="13"/>
  <c r="AC92" i="13"/>
  <c r="CW88" i="13"/>
  <c r="BY96" i="13"/>
  <c r="BA96" i="13"/>
  <c r="BA88" i="13"/>
  <c r="AC88" i="13"/>
  <c r="CW102" i="13"/>
  <c r="BY102" i="13"/>
  <c r="BA102" i="13"/>
  <c r="AC102" i="13"/>
  <c r="CW96" i="13"/>
  <c r="BY88" i="13"/>
  <c r="AC96" i="13"/>
  <c r="CV103" i="16"/>
  <c r="CV99" i="16"/>
  <c r="CW99" i="16" s="1"/>
  <c r="CV95" i="16"/>
  <c r="CW95" i="16" s="1"/>
  <c r="CV91" i="16"/>
  <c r="BX103" i="16"/>
  <c r="BX99" i="16"/>
  <c r="BY99" i="16" s="1"/>
  <c r="BX95" i="16"/>
  <c r="BY95" i="16" s="1"/>
  <c r="BX91" i="16"/>
  <c r="AZ103" i="16"/>
  <c r="AZ99" i="16"/>
  <c r="BA99" i="16" s="1"/>
  <c r="AZ95" i="16"/>
  <c r="BA95" i="16" s="1"/>
  <c r="AZ91" i="16"/>
  <c r="AB103" i="16"/>
  <c r="AB99" i="16"/>
  <c r="AC99" i="16" s="1"/>
  <c r="AB95" i="16"/>
  <c r="AC95" i="16" s="1"/>
  <c r="AB91" i="16"/>
  <c r="D103" i="16"/>
  <c r="D99" i="16"/>
  <c r="E99" i="16" s="1"/>
  <c r="D95" i="16"/>
  <c r="E95" i="16" s="1"/>
  <c r="D91" i="16"/>
  <c r="CV103" i="15"/>
  <c r="CV99" i="15"/>
  <c r="CW99" i="15" s="1"/>
  <c r="CV95" i="15"/>
  <c r="CW95" i="15" s="1"/>
  <c r="CV91" i="15"/>
  <c r="BX103" i="15"/>
  <c r="BX99" i="15"/>
  <c r="BY99" i="15" s="1"/>
  <c r="BX95" i="15"/>
  <c r="BY95" i="15" s="1"/>
  <c r="BX91" i="15"/>
  <c r="AZ103" i="15"/>
  <c r="AZ99" i="15"/>
  <c r="BA99" i="15" s="1"/>
  <c r="AZ95" i="15"/>
  <c r="BA95" i="15" s="1"/>
  <c r="AZ91" i="15"/>
  <c r="AB103" i="15"/>
  <c r="AB99" i="15"/>
  <c r="AC99" i="15" s="1"/>
  <c r="AB95" i="15"/>
  <c r="AC95" i="15" s="1"/>
  <c r="AB91" i="15"/>
  <c r="D103" i="15"/>
  <c r="D99" i="15"/>
  <c r="E99" i="15" s="1"/>
  <c r="D95" i="15"/>
  <c r="E95" i="15" s="1"/>
  <c r="D91" i="15"/>
  <c r="CV103" i="14"/>
  <c r="CV99" i="14"/>
  <c r="CW99" i="14" s="1"/>
  <c r="CV95" i="14"/>
  <c r="CW95" i="14" s="1"/>
  <c r="CV91" i="14"/>
  <c r="BX103" i="14"/>
  <c r="BX99" i="14"/>
  <c r="BY99" i="14" s="1"/>
  <c r="BX95" i="14"/>
  <c r="BY95" i="14" s="1"/>
  <c r="BX91" i="14"/>
  <c r="AZ103" i="14"/>
  <c r="AZ99" i="14"/>
  <c r="BA99" i="14" s="1"/>
  <c r="AZ95" i="14"/>
  <c r="BA95" i="14" s="1"/>
  <c r="AZ91" i="14"/>
  <c r="AB103" i="14"/>
  <c r="AB99" i="14"/>
  <c r="AC99" i="14" s="1"/>
  <c r="AB95" i="14"/>
  <c r="AC95" i="14" s="1"/>
  <c r="AB91" i="14"/>
  <c r="D103" i="14"/>
  <c r="D99" i="14"/>
  <c r="E99" i="14" s="1"/>
  <c r="D95" i="14"/>
  <c r="E95" i="14" s="1"/>
  <c r="D91" i="14"/>
  <c r="E89" i="13"/>
  <c r="E93" i="13"/>
  <c r="E101" i="13"/>
  <c r="CV101" i="16"/>
  <c r="CW101" i="16" s="1"/>
  <c r="CV97" i="16"/>
  <c r="CV93" i="16"/>
  <c r="CW93" i="16" s="1"/>
  <c r="CV89" i="16"/>
  <c r="CW89" i="16" s="1"/>
  <c r="BX101" i="16"/>
  <c r="BY101" i="16" s="1"/>
  <c r="BX97" i="16"/>
  <c r="BX93" i="16"/>
  <c r="BY93" i="16" s="1"/>
  <c r="BX89" i="16"/>
  <c r="BY89" i="16" s="1"/>
  <c r="AZ101" i="16"/>
  <c r="BA101" i="16" s="1"/>
  <c r="AZ97" i="16"/>
  <c r="AZ93" i="16"/>
  <c r="BA93" i="16" s="1"/>
  <c r="AZ89" i="16"/>
  <c r="BA89" i="16" s="1"/>
  <c r="AB101" i="16"/>
  <c r="AC101" i="16" s="1"/>
  <c r="AB97" i="16"/>
  <c r="AB93" i="16"/>
  <c r="AC93" i="16" s="1"/>
  <c r="AB89" i="16"/>
  <c r="AC89" i="16" s="1"/>
  <c r="D101" i="16"/>
  <c r="E101" i="16" s="1"/>
  <c r="D97" i="16"/>
  <c r="D93" i="16"/>
  <c r="E93" i="16" s="1"/>
  <c r="D89" i="16"/>
  <c r="E89" i="16" s="1"/>
  <c r="CV101" i="15"/>
  <c r="CW101" i="15" s="1"/>
  <c r="CV97" i="15"/>
  <c r="CV93" i="15"/>
  <c r="CW93" i="15" s="1"/>
  <c r="CV89" i="15"/>
  <c r="CW89" i="15" s="1"/>
  <c r="BX101" i="15"/>
  <c r="BY101" i="15" s="1"/>
  <c r="BX97" i="15"/>
  <c r="BX93" i="15"/>
  <c r="BY93" i="15" s="1"/>
  <c r="BX89" i="15"/>
  <c r="BY89" i="15" s="1"/>
  <c r="AZ101" i="15"/>
  <c r="BA101" i="15" s="1"/>
  <c r="AZ97" i="15"/>
  <c r="AZ93" i="15"/>
  <c r="BA93" i="15" s="1"/>
  <c r="AZ89" i="15"/>
  <c r="BA89" i="15" s="1"/>
  <c r="AB101" i="15"/>
  <c r="AC101" i="15" s="1"/>
  <c r="AB97" i="15"/>
  <c r="AB93" i="15"/>
  <c r="AC93" i="15" s="1"/>
  <c r="AB89" i="15"/>
  <c r="AC89" i="15" s="1"/>
  <c r="D101" i="15"/>
  <c r="E101" i="15" s="1"/>
  <c r="D97" i="15"/>
  <c r="D93" i="15"/>
  <c r="E93" i="15" s="1"/>
  <c r="D89" i="15"/>
  <c r="E89" i="15" s="1"/>
  <c r="CV101" i="14"/>
  <c r="CW101" i="14" s="1"/>
  <c r="CV97" i="14"/>
  <c r="CV93" i="14"/>
  <c r="CW93" i="14" s="1"/>
  <c r="CV89" i="14"/>
  <c r="CW89" i="14" s="1"/>
  <c r="BX101" i="14"/>
  <c r="BY101" i="14" s="1"/>
  <c r="BX97" i="14"/>
  <c r="BX93" i="14"/>
  <c r="BY93" i="14" s="1"/>
  <c r="BX89" i="14"/>
  <c r="BY89" i="14" s="1"/>
  <c r="AZ101" i="14"/>
  <c r="BA101" i="14" s="1"/>
  <c r="AZ97" i="14"/>
  <c r="AZ93" i="14"/>
  <c r="BA93" i="14" s="1"/>
  <c r="AZ89" i="14"/>
  <c r="BA89" i="14" s="1"/>
  <c r="AB101" i="14"/>
  <c r="AC101" i="14" s="1"/>
  <c r="AB97" i="14"/>
  <c r="AB93" i="14"/>
  <c r="AC93" i="14" s="1"/>
  <c r="AB89" i="14"/>
  <c r="AC89" i="14" s="1"/>
  <c r="D101" i="14"/>
  <c r="E101" i="14" s="1"/>
  <c r="D97" i="14"/>
  <c r="D93" i="14"/>
  <c r="E93" i="14" s="1"/>
  <c r="D89" i="14"/>
  <c r="E89" i="14" s="1"/>
  <c r="E95" i="13"/>
  <c r="E99" i="13"/>
  <c r="CV98" i="16"/>
  <c r="CW98" i="16" s="1"/>
  <c r="CV90" i="16"/>
  <c r="CW90" i="16" s="1"/>
  <c r="BX98" i="16"/>
  <c r="BY98" i="16" s="1"/>
  <c r="BX90" i="16"/>
  <c r="BY90" i="16" s="1"/>
  <c r="AZ98" i="16"/>
  <c r="BA98" i="16" s="1"/>
  <c r="AZ90" i="16"/>
  <c r="BA90" i="16" s="1"/>
  <c r="AB98" i="16"/>
  <c r="AC98" i="16" s="1"/>
  <c r="AB90" i="16"/>
  <c r="AC90" i="16" s="1"/>
  <c r="D98" i="16"/>
  <c r="E98" i="16" s="1"/>
  <c r="D90" i="16"/>
  <c r="E90" i="16" s="1"/>
  <c r="CV98" i="15"/>
  <c r="CW98" i="15" s="1"/>
  <c r="CV90" i="15"/>
  <c r="CW90" i="15" s="1"/>
  <c r="BX98" i="15"/>
  <c r="BY98" i="15" s="1"/>
  <c r="BX90" i="15"/>
  <c r="BY90" i="15" s="1"/>
  <c r="AZ98" i="15"/>
  <c r="BA98" i="15" s="1"/>
  <c r="AZ90" i="15"/>
  <c r="BA90" i="15" s="1"/>
  <c r="AB98" i="15"/>
  <c r="AC98" i="15" s="1"/>
  <c r="AB90" i="15"/>
  <c r="AC90" i="15" s="1"/>
  <c r="D98" i="15"/>
  <c r="E98" i="15" s="1"/>
  <c r="D90" i="15"/>
  <c r="E90" i="15" s="1"/>
  <c r="CV98" i="14"/>
  <c r="CW98" i="14" s="1"/>
  <c r="CV90" i="14"/>
  <c r="CW90" i="14" s="1"/>
  <c r="BX98" i="14"/>
  <c r="BY98" i="14" s="1"/>
  <c r="BX90" i="14"/>
  <c r="BY90" i="14" s="1"/>
  <c r="AZ98" i="14"/>
  <c r="BA98" i="14" s="1"/>
  <c r="AZ90" i="14"/>
  <c r="BA90" i="14" s="1"/>
  <c r="AB98" i="14"/>
  <c r="AC98" i="14" s="1"/>
  <c r="AB90" i="14"/>
  <c r="AC90" i="14" s="1"/>
  <c r="D98" i="14"/>
  <c r="E98" i="14" s="1"/>
  <c r="D90" i="14"/>
  <c r="E90" i="14" s="1"/>
  <c r="E96" i="13"/>
  <c r="E88" i="13"/>
  <c r="CV102" i="16"/>
  <c r="CW102" i="16" s="1"/>
  <c r="CV94" i="16"/>
  <c r="BX102" i="16"/>
  <c r="BY102" i="16" s="1"/>
  <c r="BX94" i="16"/>
  <c r="AZ102" i="16"/>
  <c r="BA102" i="16" s="1"/>
  <c r="AZ94" i="16"/>
  <c r="AB102" i="16"/>
  <c r="AC102" i="16" s="1"/>
  <c r="AB94" i="16"/>
  <c r="D102" i="16"/>
  <c r="E102" i="16" s="1"/>
  <c r="D94" i="16"/>
  <c r="CV102" i="15"/>
  <c r="CW102" i="15" s="1"/>
  <c r="CV94" i="15"/>
  <c r="BX102" i="15"/>
  <c r="BY102" i="15" s="1"/>
  <c r="BX94" i="15"/>
  <c r="AZ102" i="15"/>
  <c r="BA102" i="15" s="1"/>
  <c r="AZ94" i="15"/>
  <c r="AB102" i="15"/>
  <c r="AC102" i="15" s="1"/>
  <c r="AB94" i="15"/>
  <c r="D102" i="15"/>
  <c r="E102" i="15" s="1"/>
  <c r="D94" i="15"/>
  <c r="CV102" i="14"/>
  <c r="CW102" i="14" s="1"/>
  <c r="CV94" i="14"/>
  <c r="BX102" i="14"/>
  <c r="BY102" i="14" s="1"/>
  <c r="BX94" i="14"/>
  <c r="AZ102" i="14"/>
  <c r="BA102" i="14" s="1"/>
  <c r="AZ94" i="14"/>
  <c r="AB102" i="14"/>
  <c r="AC102" i="14" s="1"/>
  <c r="AB94" i="14"/>
  <c r="D102" i="14"/>
  <c r="E102" i="14" s="1"/>
  <c r="D94" i="14"/>
  <c r="E92" i="13"/>
  <c r="CV88" i="16"/>
  <c r="CW88" i="16" s="1"/>
  <c r="BX88" i="16"/>
  <c r="BY88" i="16" s="1"/>
  <c r="AZ88" i="16"/>
  <c r="BA88" i="16" s="1"/>
  <c r="AB88" i="16"/>
  <c r="AC88" i="16" s="1"/>
  <c r="D88" i="16"/>
  <c r="E88" i="16" s="1"/>
  <c r="CV88" i="15"/>
  <c r="CW88" i="15" s="1"/>
  <c r="BX88" i="15"/>
  <c r="BY88" i="15" s="1"/>
  <c r="AZ88" i="15"/>
  <c r="BA88" i="15" s="1"/>
  <c r="AB88" i="15"/>
  <c r="AC88" i="15" s="1"/>
  <c r="D88" i="15"/>
  <c r="E88" i="15" s="1"/>
  <c r="CV88" i="14"/>
  <c r="CW88" i="14" s="1"/>
  <c r="BX88" i="14"/>
  <c r="BY88" i="14" s="1"/>
  <c r="AZ88" i="14"/>
  <c r="BA88" i="14" s="1"/>
  <c r="AB88" i="14"/>
  <c r="AC88" i="14" s="1"/>
  <c r="D88" i="14"/>
  <c r="E88" i="14" s="1"/>
  <c r="E90" i="13"/>
  <c r="CV96" i="16"/>
  <c r="CW96" i="16" s="1"/>
  <c r="BX96" i="16"/>
  <c r="BY96" i="16" s="1"/>
  <c r="AZ96" i="16"/>
  <c r="BA96" i="16" s="1"/>
  <c r="AB96" i="16"/>
  <c r="AC96" i="16" s="1"/>
  <c r="D96" i="16"/>
  <c r="E96" i="16" s="1"/>
  <c r="CV96" i="15"/>
  <c r="CW96" i="15" s="1"/>
  <c r="BX96" i="15"/>
  <c r="BY96" i="15" s="1"/>
  <c r="AZ96" i="15"/>
  <c r="BA96" i="15" s="1"/>
  <c r="AB96" i="15"/>
  <c r="AC96" i="15" s="1"/>
  <c r="D96" i="15"/>
  <c r="E96" i="15" s="1"/>
  <c r="CV96" i="14"/>
  <c r="CW96" i="14" s="1"/>
  <c r="BX96" i="14"/>
  <c r="BY96" i="14" s="1"/>
  <c r="AZ96" i="14"/>
  <c r="BA96" i="14" s="1"/>
  <c r="AB96" i="14"/>
  <c r="AC96" i="14" s="1"/>
  <c r="D96" i="14"/>
  <c r="E96" i="14" s="1"/>
  <c r="E98" i="13"/>
  <c r="CV92" i="16"/>
  <c r="CW92" i="16" s="1"/>
  <c r="BX92" i="16"/>
  <c r="BY92" i="16" s="1"/>
  <c r="AZ92" i="16"/>
  <c r="BA92" i="16" s="1"/>
  <c r="AB92" i="16"/>
  <c r="AC92" i="16" s="1"/>
  <c r="D92" i="16"/>
  <c r="E92" i="16" s="1"/>
  <c r="CV92" i="15"/>
  <c r="CW92" i="15" s="1"/>
  <c r="BX92" i="15"/>
  <c r="BY92" i="15" s="1"/>
  <c r="AZ92" i="15"/>
  <c r="BA92" i="15" s="1"/>
  <c r="AB92" i="15"/>
  <c r="AC92" i="15" s="1"/>
  <c r="D92" i="15"/>
  <c r="E92" i="15" s="1"/>
  <c r="CV92" i="14"/>
  <c r="CW92" i="14" s="1"/>
  <c r="BX92" i="14"/>
  <c r="BY92" i="14" s="1"/>
  <c r="AZ92" i="14"/>
  <c r="BA92" i="14" s="1"/>
  <c r="AB92" i="14"/>
  <c r="AC92" i="14" s="1"/>
  <c r="D92" i="14"/>
  <c r="E92" i="14" s="1"/>
  <c r="E102" i="13"/>
  <c r="CV100" i="16"/>
  <c r="D100" i="16"/>
  <c r="AB100" i="15"/>
  <c r="AZ100" i="14"/>
  <c r="BX100" i="16"/>
  <c r="CV100" i="15"/>
  <c r="D100" i="15"/>
  <c r="AB100" i="14"/>
  <c r="AZ100" i="16"/>
  <c r="BX100" i="15"/>
  <c r="CV100" i="14"/>
  <c r="D100" i="14"/>
  <c r="AB100" i="16"/>
  <c r="AZ100" i="15"/>
  <c r="BX100" i="14"/>
  <c r="U11" i="8"/>
  <c r="CV12" i="15"/>
  <c r="CW12" i="15" s="1"/>
  <c r="BX24" i="15"/>
  <c r="BY24" i="15" s="1"/>
  <c r="BX20" i="15"/>
  <c r="BY20" i="15" s="1"/>
  <c r="BX16" i="15"/>
  <c r="BY16" i="15" s="1"/>
  <c r="CV26" i="15"/>
  <c r="CW26" i="15" s="1"/>
  <c r="BX26" i="15"/>
  <c r="BY26" i="15" s="1"/>
  <c r="BX14" i="15"/>
  <c r="BY14" i="15" s="1"/>
  <c r="BX17" i="15"/>
  <c r="BY17" i="15" s="1"/>
  <c r="CV24" i="15"/>
  <c r="CW24" i="15" s="1"/>
  <c r="CV27" i="15"/>
  <c r="CW27" i="15" s="1"/>
  <c r="CV23" i="15"/>
  <c r="CW23" i="15" s="1"/>
  <c r="CV19" i="15"/>
  <c r="CW19" i="15" s="1"/>
  <c r="CV15" i="15"/>
  <c r="CW15" i="15" s="1"/>
  <c r="BX12" i="15"/>
  <c r="BY12" i="15" s="1"/>
  <c r="CV18" i="15"/>
  <c r="CW18" i="15" s="1"/>
  <c r="BX22" i="15"/>
  <c r="BY22" i="15" s="1"/>
  <c r="BX25" i="15"/>
  <c r="BY25" i="15" s="1"/>
  <c r="CV16" i="15"/>
  <c r="CW16" i="15" s="1"/>
  <c r="BX27" i="15"/>
  <c r="BY27" i="15" s="1"/>
  <c r="BX23" i="15"/>
  <c r="BY23" i="15" s="1"/>
  <c r="BX19" i="15"/>
  <c r="BY19" i="15" s="1"/>
  <c r="BX15" i="15"/>
  <c r="BY15" i="15" s="1"/>
  <c r="CV22" i="15"/>
  <c r="CW22" i="15" s="1"/>
  <c r="CV14" i="15"/>
  <c r="CW14" i="15" s="1"/>
  <c r="BX18" i="15"/>
  <c r="BY18" i="15" s="1"/>
  <c r="BX13" i="15"/>
  <c r="BY13" i="15" s="1"/>
  <c r="CV25" i="15"/>
  <c r="CW25" i="15" s="1"/>
  <c r="CV21" i="15"/>
  <c r="CW21" i="15" s="1"/>
  <c r="CV17" i="15"/>
  <c r="CW17" i="15" s="1"/>
  <c r="CV13" i="15"/>
  <c r="CW13" i="15" s="1"/>
  <c r="BX21" i="15"/>
  <c r="BY21" i="15" s="1"/>
  <c r="CV20" i="15"/>
  <c r="CW20" i="15" s="1"/>
  <c r="CV26" i="16"/>
  <c r="CW26" i="16" s="1"/>
  <c r="CV22" i="16"/>
  <c r="CW22" i="16" s="1"/>
  <c r="CV18" i="16"/>
  <c r="CW18" i="16" s="1"/>
  <c r="CV14" i="16"/>
  <c r="CW14" i="16" s="1"/>
  <c r="BX27" i="16"/>
  <c r="BY27" i="16" s="1"/>
  <c r="BX23" i="16"/>
  <c r="BY23" i="16" s="1"/>
  <c r="BX19" i="16"/>
  <c r="BY19" i="16" s="1"/>
  <c r="BX15" i="16"/>
  <c r="BY15" i="16" s="1"/>
  <c r="AZ20" i="16"/>
  <c r="BA20" i="16" s="1"/>
  <c r="AZ12" i="16"/>
  <c r="BA12" i="16" s="1"/>
  <c r="AB20" i="16"/>
  <c r="AC20" i="16" s="1"/>
  <c r="AB12" i="16"/>
  <c r="AC12" i="16" s="1"/>
  <c r="AB20" i="15"/>
  <c r="AC20" i="15" s="1"/>
  <c r="AB12" i="15"/>
  <c r="AC12" i="15" s="1"/>
  <c r="AZ20" i="15"/>
  <c r="BA20" i="15" s="1"/>
  <c r="AZ12" i="15"/>
  <c r="BA12" i="15" s="1"/>
  <c r="CV22" i="14"/>
  <c r="CV14" i="14"/>
  <c r="CW14" i="14" s="1"/>
  <c r="BX17" i="14"/>
  <c r="BX25" i="14"/>
  <c r="AZ23" i="14"/>
  <c r="AZ15" i="14"/>
  <c r="BA15" i="14" s="1"/>
  <c r="AB15" i="14"/>
  <c r="AC15" i="14" s="1"/>
  <c r="AB23" i="14"/>
  <c r="CW19" i="13"/>
  <c r="CW27" i="13"/>
  <c r="BY17" i="13"/>
  <c r="BY25" i="13"/>
  <c r="D25" i="16"/>
  <c r="E25" i="16" s="1"/>
  <c r="D23" i="16"/>
  <c r="E23" i="16" s="1"/>
  <c r="D21" i="16"/>
  <c r="E21" i="16" s="1"/>
  <c r="D19" i="16"/>
  <c r="E19" i="16" s="1"/>
  <c r="D27" i="15"/>
  <c r="E27" i="15" s="1"/>
  <c r="D25" i="15"/>
  <c r="E25" i="15" s="1"/>
  <c r="D23" i="15"/>
  <c r="E23" i="15" s="1"/>
  <c r="D21" i="15"/>
  <c r="E21" i="15" s="1"/>
  <c r="D19" i="15"/>
  <c r="E19" i="15" s="1"/>
  <c r="D17" i="15"/>
  <c r="E17" i="15" s="1"/>
  <c r="D15" i="15"/>
  <c r="E15" i="15" s="1"/>
  <c r="D26" i="14"/>
  <c r="AZ13" i="16"/>
  <c r="BA13" i="16" s="1"/>
  <c r="AZ21" i="16"/>
  <c r="BA21" i="16" s="1"/>
  <c r="AB13" i="16"/>
  <c r="AC13" i="16" s="1"/>
  <c r="AB21" i="16"/>
  <c r="AC21" i="16" s="1"/>
  <c r="AB13" i="15"/>
  <c r="AC13" i="15" s="1"/>
  <c r="AB21" i="15"/>
  <c r="AC21" i="15" s="1"/>
  <c r="AZ13" i="15"/>
  <c r="BA13" i="15" s="1"/>
  <c r="AZ21" i="15"/>
  <c r="BA21" i="15" s="1"/>
  <c r="CV21" i="14"/>
  <c r="CV13" i="14"/>
  <c r="CW13" i="14" s="1"/>
  <c r="BX18" i="14"/>
  <c r="BX26" i="14"/>
  <c r="AZ22" i="14"/>
  <c r="AZ14" i="14"/>
  <c r="BA14" i="14" s="1"/>
  <c r="AB16" i="14"/>
  <c r="AC16" i="14" s="1"/>
  <c r="AB24" i="14"/>
  <c r="CW20" i="13"/>
  <c r="CW12" i="13"/>
  <c r="BY18" i="13"/>
  <c r="BY26" i="13"/>
  <c r="D17" i="16"/>
  <c r="E17" i="16" s="1"/>
  <c r="D15" i="16"/>
  <c r="E15" i="16" s="1"/>
  <c r="D12" i="16"/>
  <c r="E12" i="16" s="1"/>
  <c r="D12" i="15"/>
  <c r="E12" i="15" s="1"/>
  <c r="CV25" i="16"/>
  <c r="CW25" i="16" s="1"/>
  <c r="CV21" i="16"/>
  <c r="CW21" i="16" s="1"/>
  <c r="CV17" i="16"/>
  <c r="CW17" i="16" s="1"/>
  <c r="CV13" i="16"/>
  <c r="CW13" i="16" s="1"/>
  <c r="BX26" i="16"/>
  <c r="BY26" i="16" s="1"/>
  <c r="BX22" i="16"/>
  <c r="BY22" i="16" s="1"/>
  <c r="BX18" i="16"/>
  <c r="BY18" i="16" s="1"/>
  <c r="BX14" i="16"/>
  <c r="BY14" i="16" s="1"/>
  <c r="AZ14" i="16"/>
  <c r="BA14" i="16" s="1"/>
  <c r="AZ22" i="16"/>
  <c r="BA22" i="16" s="1"/>
  <c r="AB14" i="16"/>
  <c r="AC14" i="16" s="1"/>
  <c r="AB22" i="16"/>
  <c r="AC22" i="16" s="1"/>
  <c r="AB14" i="15"/>
  <c r="AC14" i="15" s="1"/>
  <c r="AB22" i="15"/>
  <c r="AC22" i="15" s="1"/>
  <c r="AZ14" i="15"/>
  <c r="BA14" i="15" s="1"/>
  <c r="AZ22" i="15"/>
  <c r="BA22" i="15" s="1"/>
  <c r="CV27" i="14"/>
  <c r="CV20" i="14"/>
  <c r="BX19" i="14"/>
  <c r="BX27" i="14"/>
  <c r="AZ21" i="14"/>
  <c r="AZ13" i="14"/>
  <c r="BA13" i="14" s="1"/>
  <c r="AB17" i="14"/>
  <c r="AB25" i="14"/>
  <c r="CW13" i="13"/>
  <c r="CW21" i="13"/>
  <c r="BY19" i="13"/>
  <c r="BY27" i="13"/>
  <c r="D25" i="14"/>
  <c r="CV24" i="16"/>
  <c r="CW24" i="16" s="1"/>
  <c r="CV20" i="16"/>
  <c r="CW20" i="16" s="1"/>
  <c r="CV16" i="16"/>
  <c r="CW16" i="16" s="1"/>
  <c r="BX25" i="16"/>
  <c r="BY25" i="16" s="1"/>
  <c r="BX21" i="16"/>
  <c r="BY21" i="16" s="1"/>
  <c r="BX17" i="16"/>
  <c r="BY17" i="16" s="1"/>
  <c r="BX13" i="16"/>
  <c r="BY13" i="16" s="1"/>
  <c r="AZ16" i="16"/>
  <c r="BA16" i="16" s="1"/>
  <c r="AZ24" i="16"/>
  <c r="BA24" i="16" s="1"/>
  <c r="AB16" i="16"/>
  <c r="AC16" i="16" s="1"/>
  <c r="AB24" i="16"/>
  <c r="AC24" i="16" s="1"/>
  <c r="AB16" i="15"/>
  <c r="AC16" i="15" s="1"/>
  <c r="AB24" i="15"/>
  <c r="AC24" i="15" s="1"/>
  <c r="AZ16" i="15"/>
  <c r="BA16" i="15" s="1"/>
  <c r="AZ24" i="15"/>
  <c r="BA24" i="15" s="1"/>
  <c r="CV25" i="14"/>
  <c r="CV18" i="14"/>
  <c r="BX13" i="14"/>
  <c r="BY13" i="14" s="1"/>
  <c r="BX21" i="14"/>
  <c r="AZ27" i="14"/>
  <c r="AZ19" i="14"/>
  <c r="AZ12" i="14"/>
  <c r="BA12" i="14" s="1"/>
  <c r="AB19" i="14"/>
  <c r="AB12" i="14"/>
  <c r="AC12" i="14" s="1"/>
  <c r="CW15" i="13"/>
  <c r="CW23" i="13"/>
  <c r="BY13" i="13"/>
  <c r="BY21" i="13"/>
  <c r="D24" i="16"/>
  <c r="E24" i="16" s="1"/>
  <c r="D22" i="16"/>
  <c r="E22" i="16" s="1"/>
  <c r="D20" i="16"/>
  <c r="E20" i="16" s="1"/>
  <c r="D13" i="16"/>
  <c r="E13" i="16" s="1"/>
  <c r="D26" i="15"/>
  <c r="E26" i="15" s="1"/>
  <c r="D24" i="15"/>
  <c r="E24" i="15" s="1"/>
  <c r="D22" i="15"/>
  <c r="E22" i="15" s="1"/>
  <c r="D20" i="15"/>
  <c r="E20" i="15" s="1"/>
  <c r="D18" i="15"/>
  <c r="E18" i="15" s="1"/>
  <c r="D16" i="15"/>
  <c r="E16" i="15" s="1"/>
  <c r="D24" i="14"/>
  <c r="D20" i="14"/>
  <c r="AZ25" i="16"/>
  <c r="BA25" i="16" s="1"/>
  <c r="AB25" i="16"/>
  <c r="AC25" i="16" s="1"/>
  <c r="AB23" i="15"/>
  <c r="AC23" i="15" s="1"/>
  <c r="AZ23" i="15"/>
  <c r="BA23" i="15" s="1"/>
  <c r="CV17" i="14"/>
  <c r="BX20" i="14"/>
  <c r="AZ20" i="14"/>
  <c r="AB18" i="14"/>
  <c r="CW26" i="13"/>
  <c r="BY23" i="13"/>
  <c r="D13" i="15"/>
  <c r="E13" i="15" s="1"/>
  <c r="BA14" i="13"/>
  <c r="BA22" i="13"/>
  <c r="AC18" i="13"/>
  <c r="AC26" i="13"/>
  <c r="CV12" i="16"/>
  <c r="CW12" i="16" s="1"/>
  <c r="AB15" i="16"/>
  <c r="AC15" i="16" s="1"/>
  <c r="AZ27" i="15"/>
  <c r="BA27" i="15" s="1"/>
  <c r="CV26" i="14"/>
  <c r="AZ16" i="14"/>
  <c r="BA16" i="14" s="1"/>
  <c r="CW17" i="13"/>
  <c r="D14" i="16"/>
  <c r="E14" i="16" s="1"/>
  <c r="D19" i="14"/>
  <c r="E23" i="13"/>
  <c r="CV19" i="16"/>
  <c r="CW19" i="16" s="1"/>
  <c r="BX24" i="16"/>
  <c r="BY24" i="16" s="1"/>
  <c r="BX12" i="16"/>
  <c r="BY12" i="16" s="1"/>
  <c r="AZ26" i="16"/>
  <c r="BA26" i="16" s="1"/>
  <c r="AB26" i="16"/>
  <c r="AC26" i="16" s="1"/>
  <c r="AB25" i="15"/>
  <c r="AC25" i="15" s="1"/>
  <c r="AZ25" i="15"/>
  <c r="BA25" i="15" s="1"/>
  <c r="CV16" i="14"/>
  <c r="CW16" i="14" s="1"/>
  <c r="BX22" i="14"/>
  <c r="AZ18" i="14"/>
  <c r="AB20" i="14"/>
  <c r="CW14" i="13"/>
  <c r="BY24" i="13"/>
  <c r="D26" i="16"/>
  <c r="E26" i="16" s="1"/>
  <c r="D16" i="14"/>
  <c r="E16" i="14" s="1"/>
  <c r="BA15" i="13"/>
  <c r="BA23" i="13"/>
  <c r="AC19" i="13"/>
  <c r="AC12" i="13"/>
  <c r="E24" i="13"/>
  <c r="E20" i="13"/>
  <c r="E16" i="13"/>
  <c r="AZ15" i="16"/>
  <c r="BA15" i="16" s="1"/>
  <c r="AB27" i="15"/>
  <c r="AC27" i="15" s="1"/>
  <c r="AB22" i="14"/>
  <c r="BY14" i="13"/>
  <c r="D16" i="16"/>
  <c r="E16" i="16" s="1"/>
  <c r="D23" i="14"/>
  <c r="BA17" i="13"/>
  <c r="AC13" i="13"/>
  <c r="E19" i="13"/>
  <c r="AZ27" i="16"/>
  <c r="BA27" i="16" s="1"/>
  <c r="AB27" i="16"/>
  <c r="AC27" i="16" s="1"/>
  <c r="AB26" i="15"/>
  <c r="AC26" i="15" s="1"/>
  <c r="AZ26" i="15"/>
  <c r="BA26" i="15" s="1"/>
  <c r="CV15" i="14"/>
  <c r="CW15" i="14" s="1"/>
  <c r="BX23" i="14"/>
  <c r="AZ17" i="14"/>
  <c r="AB21" i="14"/>
  <c r="CW16" i="13"/>
  <c r="BY12" i="13"/>
  <c r="D14" i="15"/>
  <c r="E14" i="15" s="1"/>
  <c r="D13" i="14"/>
  <c r="E13" i="14" s="1"/>
  <c r="BA16" i="13"/>
  <c r="BA24" i="13"/>
  <c r="AC27" i="13"/>
  <c r="AC20" i="13"/>
  <c r="E12" i="13"/>
  <c r="BX16" i="16"/>
  <c r="BY16" i="16" s="1"/>
  <c r="BX24" i="14"/>
  <c r="BA25" i="13"/>
  <c r="AC21" i="13"/>
  <c r="E27" i="13"/>
  <c r="E15" i="13"/>
  <c r="AZ18" i="16"/>
  <c r="BA18" i="16" s="1"/>
  <c r="AB18" i="16"/>
  <c r="AC18" i="16" s="1"/>
  <c r="AB17" i="15"/>
  <c r="AC17" i="15" s="1"/>
  <c r="AZ17" i="15"/>
  <c r="BA17" i="15" s="1"/>
  <c r="BX14" i="14"/>
  <c r="BY14" i="14" s="1"/>
  <c r="AZ26" i="14"/>
  <c r="AB27" i="14"/>
  <c r="CW22" i="13"/>
  <c r="BY16" i="13"/>
  <c r="D27" i="16"/>
  <c r="E27" i="16" s="1"/>
  <c r="D22" i="14"/>
  <c r="D18" i="14"/>
  <c r="D12" i="14"/>
  <c r="E12" i="14" s="1"/>
  <c r="BA19" i="13"/>
  <c r="BA27" i="13"/>
  <c r="AC15" i="13"/>
  <c r="AC23" i="13"/>
  <c r="E26" i="13"/>
  <c r="E22" i="13"/>
  <c r="E18" i="13"/>
  <c r="E14" i="13"/>
  <c r="CV15" i="16"/>
  <c r="CW15" i="16" s="1"/>
  <c r="BX20" i="16"/>
  <c r="BY20" i="16" s="1"/>
  <c r="AZ19" i="16"/>
  <c r="BA19" i="16" s="1"/>
  <c r="AB19" i="16"/>
  <c r="AC19" i="16" s="1"/>
  <c r="AB18" i="15"/>
  <c r="AC18" i="15" s="1"/>
  <c r="AZ18" i="15"/>
  <c r="BA18" i="15" s="1"/>
  <c r="CV23" i="14"/>
  <c r="BX15" i="14"/>
  <c r="BY15" i="14" s="1"/>
  <c r="AZ25" i="14"/>
  <c r="AB13" i="14"/>
  <c r="AC13" i="14" s="1"/>
  <c r="CW24" i="13"/>
  <c r="BY20" i="13"/>
  <c r="CV12" i="14"/>
  <c r="CW12" i="14" s="1"/>
  <c r="CW18" i="13"/>
  <c r="D17" i="14"/>
  <c r="BA21" i="13"/>
  <c r="AC22" i="13"/>
  <c r="AZ24" i="14"/>
  <c r="AC14" i="13"/>
  <c r="CV19" i="14"/>
  <c r="BA18" i="13"/>
  <c r="BA20" i="13"/>
  <c r="BX16" i="14"/>
  <c r="BY16" i="14" s="1"/>
  <c r="CW25" i="13"/>
  <c r="BA26" i="13"/>
  <c r="AC24" i="13"/>
  <c r="E21" i="13"/>
  <c r="AB19" i="15"/>
  <c r="AC19" i="15" s="1"/>
  <c r="E13" i="13"/>
  <c r="BA13" i="13"/>
  <c r="CV27" i="16"/>
  <c r="CW27" i="16" s="1"/>
  <c r="AB15" i="15"/>
  <c r="AC15" i="15" s="1"/>
  <c r="BX12" i="14"/>
  <c r="BY12" i="14" s="1"/>
  <c r="D21" i="14"/>
  <c r="BA12" i="13"/>
  <c r="AC25" i="13"/>
  <c r="CV23" i="16"/>
  <c r="CW23" i="16" s="1"/>
  <c r="AZ17" i="16"/>
  <c r="BA17" i="16" s="1"/>
  <c r="BY15" i="13"/>
  <c r="D27" i="14"/>
  <c r="E17" i="13"/>
  <c r="AC17" i="13"/>
  <c r="AZ23" i="16"/>
  <c r="BA23" i="16" s="1"/>
  <c r="AZ15" i="15"/>
  <c r="BA15" i="15" s="1"/>
  <c r="BY22" i="13"/>
  <c r="D15" i="14"/>
  <c r="E15" i="14" s="1"/>
  <c r="E25" i="13"/>
  <c r="AB17" i="16"/>
  <c r="AC17" i="16" s="1"/>
  <c r="AZ19" i="15"/>
  <c r="BA19" i="15" s="1"/>
  <c r="CV24" i="14"/>
  <c r="AB14" i="14"/>
  <c r="AC14" i="14" s="1"/>
  <c r="D18" i="16"/>
  <c r="E18" i="16" s="1"/>
  <c r="AB23" i="16"/>
  <c r="AC23" i="16" s="1"/>
  <c r="AB26" i="14"/>
  <c r="D14" i="14"/>
  <c r="E14" i="14" s="1"/>
  <c r="AC16" i="13"/>
  <c r="E67" i="10"/>
  <c r="F67" i="10" s="1"/>
  <c r="Z67" i="10" s="1"/>
  <c r="E75" i="10"/>
  <c r="F75" i="10" s="1"/>
  <c r="Z75" i="10" s="1"/>
  <c r="E70" i="10"/>
  <c r="F70" i="10" s="1"/>
  <c r="Z70" i="10" s="1"/>
  <c r="E71" i="10"/>
  <c r="F71" i="10" s="1"/>
  <c r="Z71" i="10" s="1"/>
  <c r="E66" i="10"/>
  <c r="F66" i="10" s="1"/>
  <c r="Z66" i="10" s="1"/>
  <c r="E68" i="10"/>
  <c r="F68" i="10" s="1"/>
  <c r="Z68" i="10" s="1"/>
  <c r="E76" i="10"/>
  <c r="F76" i="10" s="1"/>
  <c r="Z76" i="10" s="1"/>
  <c r="E79" i="10"/>
  <c r="F79" i="10" s="1"/>
  <c r="Z79" i="10" s="1"/>
  <c r="E69" i="10"/>
  <c r="F69" i="10" s="1"/>
  <c r="Z69" i="10" s="1"/>
  <c r="E77" i="10"/>
  <c r="F77" i="10" s="1"/>
  <c r="Z77" i="10" s="1"/>
  <c r="E78" i="10"/>
  <c r="F78" i="10" s="1"/>
  <c r="Z78" i="10" s="1"/>
  <c r="E72" i="10"/>
  <c r="F72" i="10" s="1"/>
  <c r="Z72" i="10" s="1"/>
  <c r="E80" i="10"/>
  <c r="F80" i="10" s="1"/>
  <c r="Z80" i="10" s="1"/>
  <c r="E73" i="10"/>
  <c r="F73" i="10" s="1"/>
  <c r="Z73" i="10" s="1"/>
  <c r="E74" i="10"/>
  <c r="F74" i="10" s="1"/>
  <c r="Z74" i="10" s="1"/>
  <c r="N36" i="7"/>
  <c r="M9" i="7" s="1"/>
  <c r="S36" i="7"/>
  <c r="R9" i="7" s="1"/>
  <c r="R11" i="7" s="1"/>
  <c r="I36" i="7"/>
  <c r="H9" i="7" s="1"/>
  <c r="H11" i="7" s="1"/>
  <c r="X36" i="7"/>
  <c r="W9" i="7" s="1"/>
  <c r="W11" i="7" s="1"/>
  <c r="Z20" i="10" l="1"/>
  <c r="X20" i="10"/>
  <c r="Z23" i="10"/>
  <c r="X23" i="10"/>
  <c r="Z27" i="10"/>
  <c r="X27" i="10"/>
  <c r="Z21" i="10"/>
  <c r="X21" i="10"/>
  <c r="Z18" i="10"/>
  <c r="X18" i="10"/>
  <c r="Z15" i="10"/>
  <c r="X15" i="10"/>
  <c r="Z17" i="10"/>
  <c r="X17" i="10"/>
  <c r="Z14" i="10"/>
  <c r="X14" i="10"/>
  <c r="Z24" i="10"/>
  <c r="X24" i="10"/>
  <c r="AE13" i="10"/>
  <c r="AE14" i="10" s="1"/>
  <c r="AE15" i="10" s="1"/>
  <c r="Z26" i="10"/>
  <c r="X26" i="10"/>
  <c r="CM12" i="13"/>
  <c r="CM13" i="13" s="1"/>
  <c r="CM14" i="13" s="1"/>
  <c r="CM15" i="13" s="1"/>
  <c r="CM16" i="13" s="1"/>
  <c r="CM17" i="13" s="1"/>
  <c r="CM18" i="13" s="1"/>
  <c r="CM19" i="13" s="1"/>
  <c r="CM20" i="13" s="1"/>
  <c r="CM21" i="13" s="1"/>
  <c r="CM22" i="13" s="1"/>
  <c r="CM23" i="13" s="1"/>
  <c r="CM24" i="13" s="1"/>
  <c r="CM25" i="13" s="1"/>
  <c r="CM26" i="13" s="1"/>
  <c r="CM27" i="13" s="1"/>
  <c r="K160" i="13" s="1"/>
  <c r="DK12" i="13"/>
  <c r="DK13" i="13" s="1"/>
  <c r="DK14" i="13" s="1"/>
  <c r="DK15" i="13" s="1"/>
  <c r="DK16" i="13" s="1"/>
  <c r="DK17" i="13" s="1"/>
  <c r="DK18" i="13" s="1"/>
  <c r="DK19" i="13" s="1"/>
  <c r="DK20" i="13" s="1"/>
  <c r="DK21" i="13" s="1"/>
  <c r="DK22" i="13" s="1"/>
  <c r="DK23" i="13" s="1"/>
  <c r="DK24" i="13" s="1"/>
  <c r="DK25" i="13" s="1"/>
  <c r="DK26" i="13" s="1"/>
  <c r="DK27" i="13" s="1"/>
  <c r="L160" i="13" s="1"/>
  <c r="AQ12" i="15"/>
  <c r="AQ13" i="15" s="1"/>
  <c r="AQ14" i="15" s="1"/>
  <c r="AQ15" i="15" s="1"/>
  <c r="AQ16" i="15" s="1"/>
  <c r="AQ17" i="15" s="1"/>
  <c r="AQ18" i="15" s="1"/>
  <c r="AQ19" i="15" s="1"/>
  <c r="AQ20" i="15" s="1"/>
  <c r="AQ21" i="15" s="1"/>
  <c r="AQ22" i="15" s="1"/>
  <c r="AQ23" i="15" s="1"/>
  <c r="AQ24" i="15" s="1"/>
  <c r="AQ25" i="15" s="1"/>
  <c r="AQ26" i="15" s="1"/>
  <c r="AQ27" i="15" s="1"/>
  <c r="I160" i="15" s="1"/>
  <c r="BO12" i="16"/>
  <c r="BO13" i="16" s="1"/>
  <c r="BO14" i="16" s="1"/>
  <c r="BO15" i="16" s="1"/>
  <c r="BO16" i="16" s="1"/>
  <c r="BO17" i="16" s="1"/>
  <c r="BO18" i="16" s="1"/>
  <c r="BO19" i="16" s="1"/>
  <c r="BO20" i="16" s="1"/>
  <c r="BO21" i="16" s="1"/>
  <c r="BO22" i="16" s="1"/>
  <c r="BO23" i="16" s="1"/>
  <c r="BO24" i="16" s="1"/>
  <c r="BO25" i="16" s="1"/>
  <c r="BO26" i="16" s="1"/>
  <c r="BO27" i="16" s="1"/>
  <c r="J160" i="16" s="1"/>
  <c r="CM12" i="15"/>
  <c r="CM13" i="15" s="1"/>
  <c r="CM14" i="15" s="1"/>
  <c r="CM15" i="15" s="1"/>
  <c r="CM16" i="15" s="1"/>
  <c r="CM17" i="15" s="1"/>
  <c r="CM18" i="15" s="1"/>
  <c r="CM19" i="15" s="1"/>
  <c r="CM20" i="15" s="1"/>
  <c r="CM21" i="15" s="1"/>
  <c r="CM22" i="15" s="1"/>
  <c r="CM23" i="15" s="1"/>
  <c r="CM24" i="15" s="1"/>
  <c r="CM25" i="15" s="1"/>
  <c r="CM26" i="15" s="1"/>
  <c r="CM27" i="15" s="1"/>
  <c r="K160" i="15" s="1"/>
  <c r="BO12" i="13"/>
  <c r="BO13" i="13" s="1"/>
  <c r="BO14" i="13" s="1"/>
  <c r="BO15" i="13" s="1"/>
  <c r="BO16" i="13" s="1"/>
  <c r="BO17" i="13" s="1"/>
  <c r="BO18" i="13" s="1"/>
  <c r="BO19" i="13" s="1"/>
  <c r="BO20" i="13" s="1"/>
  <c r="BO21" i="13" s="1"/>
  <c r="BO22" i="13" s="1"/>
  <c r="BO23" i="13" s="1"/>
  <c r="BO24" i="13" s="1"/>
  <c r="BO25" i="13" s="1"/>
  <c r="BO26" i="13" s="1"/>
  <c r="BO27" i="13" s="1"/>
  <c r="J160" i="13" s="1"/>
  <c r="S12" i="16"/>
  <c r="S13" i="16" s="1"/>
  <c r="S14" i="16" s="1"/>
  <c r="S15" i="16" s="1"/>
  <c r="S16" i="16" s="1"/>
  <c r="S17" i="16" s="1"/>
  <c r="S18" i="16" s="1"/>
  <c r="S19" i="16" s="1"/>
  <c r="S20" i="16" s="1"/>
  <c r="S21" i="16" s="1"/>
  <c r="S22" i="16" s="1"/>
  <c r="S23" i="16" s="1"/>
  <c r="S24" i="16" s="1"/>
  <c r="S25" i="16" s="1"/>
  <c r="S26" i="16" s="1"/>
  <c r="S27" i="16" s="1"/>
  <c r="H160" i="16" s="1"/>
  <c r="CM12" i="14"/>
  <c r="CM13" i="14" s="1"/>
  <c r="CM14" i="14" s="1"/>
  <c r="CM15" i="14" s="1"/>
  <c r="CM16" i="14" s="1"/>
  <c r="DK12" i="14"/>
  <c r="DK13" i="14" s="1"/>
  <c r="DK14" i="14" s="1"/>
  <c r="DK15" i="14" s="1"/>
  <c r="DK16" i="14" s="1"/>
  <c r="S12" i="13"/>
  <c r="S13" i="13" s="1"/>
  <c r="S14" i="13" s="1"/>
  <c r="S15" i="13" s="1"/>
  <c r="S16" i="13" s="1"/>
  <c r="S17" i="13" s="1"/>
  <c r="S18" i="13" s="1"/>
  <c r="S19" i="13" s="1"/>
  <c r="S20" i="13" s="1"/>
  <c r="S21" i="13" s="1"/>
  <c r="S22" i="13" s="1"/>
  <c r="S23" i="13" s="1"/>
  <c r="S24" i="13" s="1"/>
  <c r="S25" i="13" s="1"/>
  <c r="S26" i="13" s="1"/>
  <c r="S27" i="13" s="1"/>
  <c r="H160" i="13" s="1"/>
  <c r="DK12" i="16"/>
  <c r="DK13" i="16" s="1"/>
  <c r="DK14" i="16" s="1"/>
  <c r="DK15" i="16" s="1"/>
  <c r="DK16" i="16" s="1"/>
  <c r="DK17" i="16" s="1"/>
  <c r="DK18" i="16" s="1"/>
  <c r="DK19" i="16" s="1"/>
  <c r="DK20" i="16" s="1"/>
  <c r="DK21" i="16" s="1"/>
  <c r="DK22" i="16" s="1"/>
  <c r="DK23" i="16" s="1"/>
  <c r="DK24" i="16" s="1"/>
  <c r="DK25" i="16" s="1"/>
  <c r="DK26" i="16" s="1"/>
  <c r="DK27" i="16" s="1"/>
  <c r="L160" i="16" s="1"/>
  <c r="AQ12" i="14"/>
  <c r="AQ13" i="14" s="1"/>
  <c r="AQ14" i="14" s="1"/>
  <c r="AQ15" i="14" s="1"/>
  <c r="AQ16" i="14" s="1"/>
  <c r="DK12" i="15"/>
  <c r="DK13" i="15" s="1"/>
  <c r="DK14" i="15" s="1"/>
  <c r="DK15" i="15" s="1"/>
  <c r="DK16" i="15" s="1"/>
  <c r="DK17" i="15" s="1"/>
  <c r="DK18" i="15" s="1"/>
  <c r="DK19" i="15" s="1"/>
  <c r="DK20" i="15" s="1"/>
  <c r="DK21" i="15" s="1"/>
  <c r="DK22" i="15" s="1"/>
  <c r="DK23" i="15" s="1"/>
  <c r="DK24" i="15" s="1"/>
  <c r="DK25" i="15" s="1"/>
  <c r="DK26" i="15" s="1"/>
  <c r="DK27" i="15" s="1"/>
  <c r="L160" i="15" s="1"/>
  <c r="BO12" i="14"/>
  <c r="BO13" i="14" s="1"/>
  <c r="BO14" i="14" s="1"/>
  <c r="BO15" i="14" s="1"/>
  <c r="BO16" i="14" s="1"/>
  <c r="S12" i="14"/>
  <c r="AQ12" i="13"/>
  <c r="AQ13" i="13" s="1"/>
  <c r="AQ14" i="13" s="1"/>
  <c r="AQ15" i="13" s="1"/>
  <c r="AQ16" i="13" s="1"/>
  <c r="AQ17" i="13" s="1"/>
  <c r="AQ18" i="13" s="1"/>
  <c r="AQ19" i="13" s="1"/>
  <c r="AQ20" i="13" s="1"/>
  <c r="AQ21" i="13" s="1"/>
  <c r="AQ22" i="13" s="1"/>
  <c r="AQ23" i="13" s="1"/>
  <c r="AQ24" i="13" s="1"/>
  <c r="AQ25" i="13" s="1"/>
  <c r="AQ26" i="13" s="1"/>
  <c r="AQ27" i="13" s="1"/>
  <c r="I160" i="13" s="1"/>
  <c r="CM12" i="16"/>
  <c r="CM13" i="16" s="1"/>
  <c r="CM14" i="16" s="1"/>
  <c r="CM15" i="16" s="1"/>
  <c r="CM16" i="16" s="1"/>
  <c r="CM17" i="16" s="1"/>
  <c r="CM18" i="16" s="1"/>
  <c r="CM19" i="16" s="1"/>
  <c r="CM20" i="16" s="1"/>
  <c r="CM21" i="16" s="1"/>
  <c r="CM22" i="16" s="1"/>
  <c r="CM23" i="16" s="1"/>
  <c r="CM24" i="16" s="1"/>
  <c r="CM25" i="16" s="1"/>
  <c r="CM26" i="16" s="1"/>
  <c r="CM27" i="16" s="1"/>
  <c r="K160" i="16" s="1"/>
  <c r="S12" i="15"/>
  <c r="S13" i="15" s="1"/>
  <c r="S14" i="15" s="1"/>
  <c r="S15" i="15" s="1"/>
  <c r="S16" i="15" s="1"/>
  <c r="S17" i="15" s="1"/>
  <c r="S18" i="15" s="1"/>
  <c r="S19" i="15" s="1"/>
  <c r="S20" i="15" s="1"/>
  <c r="S21" i="15" s="1"/>
  <c r="S22" i="15" s="1"/>
  <c r="S23" i="15" s="1"/>
  <c r="S24" i="15" s="1"/>
  <c r="S25" i="15" s="1"/>
  <c r="S26" i="15" s="1"/>
  <c r="S27" i="15" s="1"/>
  <c r="H160" i="15" s="1"/>
  <c r="BO12" i="15"/>
  <c r="BO13" i="15" s="1"/>
  <c r="BO14" i="15" s="1"/>
  <c r="BO15" i="15" s="1"/>
  <c r="BO16" i="15" s="1"/>
  <c r="BO17" i="15" s="1"/>
  <c r="BO18" i="15" s="1"/>
  <c r="BO19" i="15" s="1"/>
  <c r="BO20" i="15" s="1"/>
  <c r="BO21" i="15" s="1"/>
  <c r="BO22" i="15" s="1"/>
  <c r="BO23" i="15" s="1"/>
  <c r="BO24" i="15" s="1"/>
  <c r="BO25" i="15" s="1"/>
  <c r="BO26" i="15" s="1"/>
  <c r="BO27" i="15" s="1"/>
  <c r="J160" i="15" s="1"/>
  <c r="AQ12" i="16"/>
  <c r="AQ13" i="16" s="1"/>
  <c r="AQ14" i="16" s="1"/>
  <c r="AQ15" i="16" s="1"/>
  <c r="AQ16" i="16" s="1"/>
  <c r="AQ17" i="16" s="1"/>
  <c r="AQ18" i="16" s="1"/>
  <c r="AQ19" i="16" s="1"/>
  <c r="AQ20" i="16" s="1"/>
  <c r="AQ21" i="16" s="1"/>
  <c r="AQ22" i="16" s="1"/>
  <c r="AQ23" i="16" s="1"/>
  <c r="AQ24" i="16" s="1"/>
  <c r="AQ25" i="16" s="1"/>
  <c r="AQ26" i="16" s="1"/>
  <c r="AQ27" i="16" s="1"/>
  <c r="I160" i="16" s="1"/>
  <c r="E18" i="14"/>
  <c r="E17" i="14"/>
  <c r="E20" i="14"/>
  <c r="E19" i="14"/>
  <c r="M11" i="7"/>
  <c r="DK88" i="14"/>
  <c r="S113" i="15"/>
  <c r="CM113" i="16"/>
  <c r="CM114" i="16" s="1"/>
  <c r="AQ88" i="14"/>
  <c r="S88" i="15"/>
  <c r="DK88" i="15"/>
  <c r="CM88" i="16"/>
  <c r="AQ113" i="15"/>
  <c r="S113" i="16"/>
  <c r="DK113" i="16"/>
  <c r="S113" i="13"/>
  <c r="AQ113" i="13"/>
  <c r="BO113" i="13"/>
  <c r="CM113" i="13"/>
  <c r="DK113" i="13"/>
  <c r="S113" i="14"/>
  <c r="AQ113" i="14"/>
  <c r="BO113" i="14"/>
  <c r="CM113" i="14"/>
  <c r="DK113" i="14"/>
  <c r="CM88" i="15"/>
  <c r="BO88" i="14"/>
  <c r="AQ88" i="15"/>
  <c r="S88" i="16"/>
  <c r="DK88" i="16"/>
  <c r="AQ88" i="13"/>
  <c r="DK88" i="13"/>
  <c r="BO113" i="15"/>
  <c r="AQ113" i="16"/>
  <c r="AQ114" i="16" s="1"/>
  <c r="AQ115" i="16" s="1"/>
  <c r="AQ116" i="16" s="1"/>
  <c r="S88" i="14"/>
  <c r="BO88" i="16"/>
  <c r="CM88" i="13"/>
  <c r="DK113" i="15"/>
  <c r="AC53" i="13"/>
  <c r="AC49" i="13"/>
  <c r="AC45" i="13"/>
  <c r="AC41" i="13"/>
  <c r="AC51" i="13"/>
  <c r="AC47" i="13"/>
  <c r="AC43" i="13"/>
  <c r="AC39" i="13"/>
  <c r="AC48" i="13"/>
  <c r="AC40" i="13"/>
  <c r="AC52" i="13"/>
  <c r="AC44" i="13"/>
  <c r="AC38" i="13"/>
  <c r="AC42" i="13"/>
  <c r="AC50" i="13"/>
  <c r="CM88" i="14"/>
  <c r="BO88" i="15"/>
  <c r="AQ88" i="16"/>
  <c r="S88" i="13"/>
  <c r="BO88" i="13"/>
  <c r="CM113" i="15"/>
  <c r="BO113" i="16"/>
  <c r="AC46" i="13"/>
  <c r="AE66" i="10"/>
  <c r="AE67" i="10" s="1"/>
  <c r="AE68" i="10" s="1"/>
  <c r="AE69" i="10" s="1"/>
  <c r="AE70" i="10" s="1"/>
  <c r="AE71" i="10" s="1"/>
  <c r="AE72" i="10" s="1"/>
  <c r="AE73" i="10" s="1"/>
  <c r="AE74" i="10" s="1"/>
  <c r="AE75" i="10" s="1"/>
  <c r="AE76" i="10" s="1"/>
  <c r="AE77" i="10" s="1"/>
  <c r="AE78" i="10" s="1"/>
  <c r="AE79" i="10" s="1"/>
  <c r="AE80" i="10" s="1"/>
  <c r="W11" i="8"/>
  <c r="AB42" i="16"/>
  <c r="AC42" i="16" s="1"/>
  <c r="AB50" i="16"/>
  <c r="AC50" i="16" s="1"/>
  <c r="CV38" i="15"/>
  <c r="CW38" i="15" s="1"/>
  <c r="BX38" i="15"/>
  <c r="BY38" i="15" s="1"/>
  <c r="AZ38" i="15"/>
  <c r="BA38" i="15" s="1"/>
  <c r="AB46" i="15"/>
  <c r="AC46" i="15" s="1"/>
  <c r="AB38" i="15"/>
  <c r="AC38" i="15" s="1"/>
  <c r="CV53" i="14"/>
  <c r="CW53" i="14" s="1"/>
  <c r="CV47" i="14"/>
  <c r="CW47" i="14" s="1"/>
  <c r="CV40" i="14"/>
  <c r="CW40" i="14" s="1"/>
  <c r="AZ44" i="14"/>
  <c r="BA44" i="14" s="1"/>
  <c r="AZ52" i="14"/>
  <c r="BA52" i="14" s="1"/>
  <c r="AB46" i="14"/>
  <c r="AC46" i="14" s="1"/>
  <c r="AB38" i="14"/>
  <c r="AC38" i="14" s="1"/>
  <c r="BX46" i="14"/>
  <c r="BY46" i="14" s="1"/>
  <c r="CW39" i="13"/>
  <c r="CW47" i="13"/>
  <c r="BY39" i="13"/>
  <c r="BY47" i="13"/>
  <c r="BA46" i="13"/>
  <c r="BA38" i="13"/>
  <c r="D47" i="16"/>
  <c r="E47" i="16" s="1"/>
  <c r="D49" i="15"/>
  <c r="E49" i="15" s="1"/>
  <c r="D51" i="14"/>
  <c r="E51" i="14" s="1"/>
  <c r="D47" i="14"/>
  <c r="E47" i="14" s="1"/>
  <c r="D43" i="14"/>
  <c r="E43" i="14" s="1"/>
  <c r="CV51" i="16"/>
  <c r="CW51" i="16" s="1"/>
  <c r="CV47" i="16"/>
  <c r="CW47" i="16" s="1"/>
  <c r="CV43" i="16"/>
  <c r="CW43" i="16" s="1"/>
  <c r="CV39" i="16"/>
  <c r="CW39" i="16" s="1"/>
  <c r="BX51" i="16"/>
  <c r="BY51" i="16" s="1"/>
  <c r="BX47" i="16"/>
  <c r="BY47" i="16" s="1"/>
  <c r="BX43" i="16"/>
  <c r="BY43" i="16" s="1"/>
  <c r="BX39" i="16"/>
  <c r="BY39" i="16" s="1"/>
  <c r="AZ51" i="16"/>
  <c r="BA51" i="16" s="1"/>
  <c r="AZ47" i="16"/>
  <c r="BA47" i="16" s="1"/>
  <c r="AZ43" i="16"/>
  <c r="BA43" i="16" s="1"/>
  <c r="AZ39" i="16"/>
  <c r="BA39" i="16" s="1"/>
  <c r="AB43" i="16"/>
  <c r="AC43" i="16" s="1"/>
  <c r="AB51" i="16"/>
  <c r="AC51" i="16" s="1"/>
  <c r="CV53" i="15"/>
  <c r="CW53" i="15" s="1"/>
  <c r="CV49" i="15"/>
  <c r="CW49" i="15" s="1"/>
  <c r="CV45" i="15"/>
  <c r="CW45" i="15" s="1"/>
  <c r="CV41" i="15"/>
  <c r="CW41" i="15" s="1"/>
  <c r="BX53" i="15"/>
  <c r="BY53" i="15" s="1"/>
  <c r="BX49" i="15"/>
  <c r="BY49" i="15" s="1"/>
  <c r="BX45" i="15"/>
  <c r="BY45" i="15" s="1"/>
  <c r="BX41" i="15"/>
  <c r="BY41" i="15" s="1"/>
  <c r="AZ53" i="15"/>
  <c r="BA53" i="15" s="1"/>
  <c r="AZ49" i="15"/>
  <c r="BA49" i="15" s="1"/>
  <c r="AZ45" i="15"/>
  <c r="BA45" i="15" s="1"/>
  <c r="AZ41" i="15"/>
  <c r="BA41" i="15" s="1"/>
  <c r="AB39" i="15"/>
  <c r="AC39" i="15" s="1"/>
  <c r="AB47" i="15"/>
  <c r="AC47" i="15" s="1"/>
  <c r="CV52" i="14"/>
  <c r="CW52" i="14" s="1"/>
  <c r="CV46" i="14"/>
  <c r="CW46" i="14" s="1"/>
  <c r="CV39" i="14"/>
  <c r="CW39" i="14" s="1"/>
  <c r="AZ45" i="14"/>
  <c r="BA45" i="14" s="1"/>
  <c r="AZ38" i="14"/>
  <c r="BA38" i="14" s="1"/>
  <c r="AB39" i="14"/>
  <c r="AC39" i="14" s="1"/>
  <c r="AB47" i="14"/>
  <c r="AC47" i="14" s="1"/>
  <c r="BX53" i="14"/>
  <c r="BY53" i="14" s="1"/>
  <c r="BX45" i="14"/>
  <c r="BY45" i="14" s="1"/>
  <c r="BX38" i="14"/>
  <c r="BY38" i="14" s="1"/>
  <c r="CW40" i="13"/>
  <c r="CW48" i="13"/>
  <c r="BY40" i="13"/>
  <c r="BY48" i="13"/>
  <c r="BA39" i="13"/>
  <c r="BA47" i="13"/>
  <c r="D52" i="16"/>
  <c r="E52" i="16" s="1"/>
  <c r="D44" i="16"/>
  <c r="E44" i="16" s="1"/>
  <c r="D39" i="16"/>
  <c r="E39" i="16" s="1"/>
  <c r="D46" i="15"/>
  <c r="E46" i="15" s="1"/>
  <c r="D41" i="15"/>
  <c r="E41" i="15" s="1"/>
  <c r="D39" i="15"/>
  <c r="E39" i="15" s="1"/>
  <c r="D39" i="14"/>
  <c r="E39" i="14" s="1"/>
  <c r="AB44" i="16"/>
  <c r="AC44" i="16" s="1"/>
  <c r="AB52" i="16"/>
  <c r="AC52" i="16" s="1"/>
  <c r="AB40" i="15"/>
  <c r="AC40" i="15" s="1"/>
  <c r="AB48" i="15"/>
  <c r="AC48" i="15" s="1"/>
  <c r="CV51" i="14"/>
  <c r="CW51" i="14" s="1"/>
  <c r="CV45" i="14"/>
  <c r="CW45" i="14" s="1"/>
  <c r="AZ53" i="14"/>
  <c r="BA53" i="14" s="1"/>
  <c r="AZ46" i="14"/>
  <c r="BA46" i="14" s="1"/>
  <c r="AB40" i="14"/>
  <c r="AC40" i="14" s="1"/>
  <c r="AB48" i="14"/>
  <c r="AC48" i="14" s="1"/>
  <c r="BX52" i="14"/>
  <c r="BY52" i="14" s="1"/>
  <c r="BX44" i="14"/>
  <c r="BY44" i="14" s="1"/>
  <c r="CW41" i="13"/>
  <c r="CW49" i="13"/>
  <c r="BY41" i="13"/>
  <c r="BY49" i="13"/>
  <c r="BA40" i="13"/>
  <c r="BA48" i="13"/>
  <c r="D49" i="16"/>
  <c r="E49" i="16" s="1"/>
  <c r="D41" i="16"/>
  <c r="E41" i="16" s="1"/>
  <c r="D51" i="15"/>
  <c r="E51" i="15" s="1"/>
  <c r="D50" i="14"/>
  <c r="E50" i="14" s="1"/>
  <c r="D46" i="14"/>
  <c r="E46" i="14" s="1"/>
  <c r="D42" i="14"/>
  <c r="E42" i="14" s="1"/>
  <c r="CV38" i="16"/>
  <c r="CW38" i="16" s="1"/>
  <c r="BX38" i="16"/>
  <c r="BY38" i="16" s="1"/>
  <c r="AZ38" i="16"/>
  <c r="BA38" i="16" s="1"/>
  <c r="AB46" i="16"/>
  <c r="AC46" i="16" s="1"/>
  <c r="AB38" i="16"/>
  <c r="AC38" i="16" s="1"/>
  <c r="AB42" i="15"/>
  <c r="AC42" i="15" s="1"/>
  <c r="AB50" i="15"/>
  <c r="AC50" i="15" s="1"/>
  <c r="CV50" i="14"/>
  <c r="CW50" i="14" s="1"/>
  <c r="CV43" i="14"/>
  <c r="CW43" i="14" s="1"/>
  <c r="AZ40" i="14"/>
  <c r="BA40" i="14" s="1"/>
  <c r="AZ48" i="14"/>
  <c r="BA48" i="14" s="1"/>
  <c r="AB42" i="14"/>
  <c r="AC42" i="14" s="1"/>
  <c r="AB50" i="14"/>
  <c r="AC50" i="14" s="1"/>
  <c r="BX50" i="14"/>
  <c r="BY50" i="14" s="1"/>
  <c r="BX42" i="14"/>
  <c r="BY42" i="14" s="1"/>
  <c r="CW43" i="13"/>
  <c r="CW51" i="13"/>
  <c r="BY43" i="13"/>
  <c r="BY51" i="13"/>
  <c r="BA42" i="13"/>
  <c r="BA50" i="13"/>
  <c r="D51" i="16"/>
  <c r="E51" i="16" s="1"/>
  <c r="D43" i="16"/>
  <c r="E43" i="16" s="1"/>
  <c r="D38" i="16"/>
  <c r="E38" i="16" s="1"/>
  <c r="D53" i="15"/>
  <c r="E53" i="15" s="1"/>
  <c r="D45" i="15"/>
  <c r="E45" i="15" s="1"/>
  <c r="D40" i="15"/>
  <c r="E40" i="15" s="1"/>
  <c r="D53" i="14"/>
  <c r="E53" i="14" s="1"/>
  <c r="D49" i="14"/>
  <c r="E49" i="14" s="1"/>
  <c r="D45" i="14"/>
  <c r="E45" i="14" s="1"/>
  <c r="D41" i="14"/>
  <c r="E41" i="14" s="1"/>
  <c r="CV42" i="16"/>
  <c r="CW42" i="16" s="1"/>
  <c r="BX53" i="16"/>
  <c r="BY53" i="16" s="1"/>
  <c r="BX44" i="16"/>
  <c r="BY44" i="16" s="1"/>
  <c r="AZ50" i="16"/>
  <c r="BA50" i="16" s="1"/>
  <c r="AZ41" i="16"/>
  <c r="BA41" i="16" s="1"/>
  <c r="AB41" i="16"/>
  <c r="AC41" i="16" s="1"/>
  <c r="CV50" i="15"/>
  <c r="CW50" i="15" s="1"/>
  <c r="BX47" i="15"/>
  <c r="BY47" i="15" s="1"/>
  <c r="AZ44" i="15"/>
  <c r="BA44" i="15" s="1"/>
  <c r="AB49" i="15"/>
  <c r="AC49" i="15" s="1"/>
  <c r="AZ49" i="14"/>
  <c r="BA49" i="14" s="1"/>
  <c r="AB52" i="14"/>
  <c r="AC52" i="14" s="1"/>
  <c r="BX40" i="14"/>
  <c r="BY40" i="14" s="1"/>
  <c r="CW42" i="13"/>
  <c r="BY42" i="13"/>
  <c r="BA53" i="13"/>
  <c r="D42" i="16"/>
  <c r="E42" i="16" s="1"/>
  <c r="D40" i="14"/>
  <c r="E40" i="14" s="1"/>
  <c r="E50" i="13"/>
  <c r="E46" i="13"/>
  <c r="E42" i="13"/>
  <c r="CV39" i="15"/>
  <c r="CW39" i="15" s="1"/>
  <c r="AB43" i="14"/>
  <c r="AC43" i="14" s="1"/>
  <c r="BY46" i="13"/>
  <c r="BA44" i="13"/>
  <c r="CV46" i="16"/>
  <c r="CW46" i="16" s="1"/>
  <c r="BX48" i="16"/>
  <c r="BY48" i="16" s="1"/>
  <c r="AZ45" i="16"/>
  <c r="BA45" i="16" s="1"/>
  <c r="AB45" i="16"/>
  <c r="AC45" i="16" s="1"/>
  <c r="CV40" i="15"/>
  <c r="CW40" i="15" s="1"/>
  <c r="BX51" i="15"/>
  <c r="BY51" i="15" s="1"/>
  <c r="BX42" i="15"/>
  <c r="BY42" i="15" s="1"/>
  <c r="AZ48" i="15"/>
  <c r="BA48" i="15" s="1"/>
  <c r="AZ39" i="15"/>
  <c r="BA39" i="15" s="1"/>
  <c r="AB51" i="15"/>
  <c r="AC51" i="15" s="1"/>
  <c r="CV42" i="14"/>
  <c r="CW42" i="14" s="1"/>
  <c r="AZ50" i="14"/>
  <c r="BA50" i="14" s="1"/>
  <c r="AB53" i="14"/>
  <c r="AC53" i="14" s="1"/>
  <c r="BX39" i="14"/>
  <c r="BY39" i="14" s="1"/>
  <c r="CW44" i="13"/>
  <c r="BY44" i="13"/>
  <c r="BA41" i="13"/>
  <c r="D48" i="16"/>
  <c r="E48" i="16" s="1"/>
  <c r="D45" i="16"/>
  <c r="E45" i="16" s="1"/>
  <c r="D52" i="15"/>
  <c r="E52" i="15" s="1"/>
  <c r="D43" i="15"/>
  <c r="E43" i="15" s="1"/>
  <c r="D52" i="14"/>
  <c r="E52" i="14" s="1"/>
  <c r="AZ53" i="16"/>
  <c r="BA53" i="16" s="1"/>
  <c r="AB48" i="16"/>
  <c r="AC48" i="16" s="1"/>
  <c r="BX50" i="15"/>
  <c r="BY50" i="15" s="1"/>
  <c r="BX49" i="14"/>
  <c r="BY49" i="14" s="1"/>
  <c r="CW46" i="13"/>
  <c r="D48" i="15"/>
  <c r="E48" i="15" s="1"/>
  <c r="CV50" i="16"/>
  <c r="CW50" i="16" s="1"/>
  <c r="CV41" i="16"/>
  <c r="CW41" i="16" s="1"/>
  <c r="BX52" i="16"/>
  <c r="BY52" i="16" s="1"/>
  <c r="AZ49" i="16"/>
  <c r="BA49" i="16" s="1"/>
  <c r="AZ40" i="16"/>
  <c r="BA40" i="16" s="1"/>
  <c r="AB47" i="16"/>
  <c r="AC47" i="16" s="1"/>
  <c r="CV44" i="15"/>
  <c r="CW44" i="15" s="1"/>
  <c r="BX46" i="15"/>
  <c r="BY46" i="15" s="1"/>
  <c r="AZ52" i="15"/>
  <c r="BA52" i="15" s="1"/>
  <c r="AZ43" i="15"/>
  <c r="BA43" i="15" s="1"/>
  <c r="AB52" i="15"/>
  <c r="AC52" i="15" s="1"/>
  <c r="CV41" i="14"/>
  <c r="CW41" i="14" s="1"/>
  <c r="AZ51" i="14"/>
  <c r="BA51" i="14" s="1"/>
  <c r="AB41" i="14"/>
  <c r="AC41" i="14" s="1"/>
  <c r="BX51" i="14"/>
  <c r="BY51" i="14" s="1"/>
  <c r="CW45" i="13"/>
  <c r="BY45" i="13"/>
  <c r="BA43" i="13"/>
  <c r="E53" i="13"/>
  <c r="E49" i="13"/>
  <c r="E45" i="13"/>
  <c r="E41" i="13"/>
  <c r="E38" i="13"/>
  <c r="CV45" i="16"/>
  <c r="CW45" i="16" s="1"/>
  <c r="BX42" i="16"/>
  <c r="BY42" i="16" s="1"/>
  <c r="AZ44" i="16"/>
  <c r="BA44" i="16" s="1"/>
  <c r="CV48" i="15"/>
  <c r="CW48" i="15" s="1"/>
  <c r="AZ47" i="15"/>
  <c r="BA47" i="15" s="1"/>
  <c r="AB53" i="15"/>
  <c r="AC53" i="15" s="1"/>
  <c r="AZ39" i="14"/>
  <c r="BA39" i="14" s="1"/>
  <c r="D44" i="14"/>
  <c r="E44" i="14" s="1"/>
  <c r="CV53" i="16"/>
  <c r="CW53" i="16" s="1"/>
  <c r="CV44" i="16"/>
  <c r="CW44" i="16" s="1"/>
  <c r="BX50" i="16"/>
  <c r="BY50" i="16" s="1"/>
  <c r="BX41" i="16"/>
  <c r="BY41" i="16" s="1"/>
  <c r="AZ52" i="16"/>
  <c r="BA52" i="16" s="1"/>
  <c r="AB53" i="16"/>
  <c r="AC53" i="16" s="1"/>
  <c r="CV47" i="15"/>
  <c r="CW47" i="15" s="1"/>
  <c r="BX44" i="15"/>
  <c r="BY44" i="15" s="1"/>
  <c r="AZ46" i="15"/>
  <c r="BA46" i="15" s="1"/>
  <c r="AB43" i="15"/>
  <c r="AC43" i="15" s="1"/>
  <c r="AZ42" i="14"/>
  <c r="BA42" i="14" s="1"/>
  <c r="AB45" i="14"/>
  <c r="AC45" i="14" s="1"/>
  <c r="BX47" i="14"/>
  <c r="BY47" i="14" s="1"/>
  <c r="CW52" i="13"/>
  <c r="BY52" i="13"/>
  <c r="BA49" i="13"/>
  <c r="D53" i="16"/>
  <c r="E53" i="16" s="1"/>
  <c r="D40" i="16"/>
  <c r="E40" i="16" s="1"/>
  <c r="D44" i="15"/>
  <c r="E44" i="15" s="1"/>
  <c r="D38" i="14"/>
  <c r="E38" i="14" s="1"/>
  <c r="CV48" i="16"/>
  <c r="CW48" i="16" s="1"/>
  <c r="BX45" i="16"/>
  <c r="BY45" i="16" s="1"/>
  <c r="AZ42" i="16"/>
  <c r="BA42" i="16" s="1"/>
  <c r="AB39" i="16"/>
  <c r="AC39" i="16" s="1"/>
  <c r="CV51" i="15"/>
  <c r="CW51" i="15" s="1"/>
  <c r="CV42" i="15"/>
  <c r="CW42" i="15" s="1"/>
  <c r="BX48" i="15"/>
  <c r="BY48" i="15" s="1"/>
  <c r="BX39" i="15"/>
  <c r="BY39" i="15" s="1"/>
  <c r="AZ50" i="15"/>
  <c r="BA50" i="15" s="1"/>
  <c r="AB44" i="15"/>
  <c r="AC44" i="15" s="1"/>
  <c r="CV48" i="14"/>
  <c r="CW48" i="14" s="1"/>
  <c r="AZ43" i="14"/>
  <c r="BA43" i="14" s="1"/>
  <c r="AB49" i="14"/>
  <c r="AC49" i="14" s="1"/>
  <c r="BX43" i="14"/>
  <c r="BY43" i="14" s="1"/>
  <c r="CW53" i="13"/>
  <c r="BY53" i="13"/>
  <c r="BA51" i="13"/>
  <c r="D46" i="16"/>
  <c r="E46" i="16" s="1"/>
  <c r="CV49" i="16"/>
  <c r="CW49" i="16" s="1"/>
  <c r="CV52" i="15"/>
  <c r="CW52" i="15" s="1"/>
  <c r="AB41" i="15"/>
  <c r="AC41" i="15" s="1"/>
  <c r="CV38" i="14"/>
  <c r="CW38" i="14" s="1"/>
  <c r="AZ47" i="14"/>
  <c r="BA47" i="14" s="1"/>
  <c r="AB44" i="14"/>
  <c r="AC44" i="14" s="1"/>
  <c r="E48" i="13"/>
  <c r="E43" i="13"/>
  <c r="CV43" i="15"/>
  <c r="CW43" i="15" s="1"/>
  <c r="D47" i="15"/>
  <c r="E47" i="15" s="1"/>
  <c r="AZ48" i="16"/>
  <c r="BA48" i="16" s="1"/>
  <c r="BA45" i="13"/>
  <c r="D48" i="14"/>
  <c r="E48" i="14" s="1"/>
  <c r="E44" i="13"/>
  <c r="AZ41" i="14"/>
  <c r="BA41" i="14" s="1"/>
  <c r="AZ46" i="16"/>
  <c r="BA46" i="16" s="1"/>
  <c r="BX40" i="15"/>
  <c r="BY40" i="15" s="1"/>
  <c r="AZ42" i="15"/>
  <c r="BA42" i="15" s="1"/>
  <c r="AB45" i="15"/>
  <c r="AC45" i="15" s="1"/>
  <c r="AB51" i="14"/>
  <c r="AC51" i="14" s="1"/>
  <c r="CW50" i="13"/>
  <c r="AB40" i="16"/>
  <c r="AC40" i="16" s="1"/>
  <c r="BX52" i="15"/>
  <c r="BY52" i="15" s="1"/>
  <c r="BX41" i="14"/>
  <c r="BY41" i="14" s="1"/>
  <c r="BY50" i="13"/>
  <c r="CV44" i="14"/>
  <c r="CW44" i="14" s="1"/>
  <c r="CV46" i="15"/>
  <c r="CW46" i="15" s="1"/>
  <c r="BA52" i="13"/>
  <c r="CV40" i="16"/>
  <c r="CW40" i="16" s="1"/>
  <c r="BX49" i="16"/>
  <c r="BY49" i="16" s="1"/>
  <c r="BX48" i="14"/>
  <c r="BY48" i="14" s="1"/>
  <c r="CW38" i="13"/>
  <c r="D38" i="15"/>
  <c r="E38" i="15" s="1"/>
  <c r="E52" i="13"/>
  <c r="E47" i="13"/>
  <c r="CV52" i="16"/>
  <c r="CW52" i="16" s="1"/>
  <c r="AB49" i="16"/>
  <c r="AC49" i="16" s="1"/>
  <c r="AZ40" i="15"/>
  <c r="BA40" i="15" s="1"/>
  <c r="BY38" i="13"/>
  <c r="D50" i="15"/>
  <c r="E50" i="15" s="1"/>
  <c r="E51" i="13"/>
  <c r="E40" i="13"/>
  <c r="BX40" i="16"/>
  <c r="BY40" i="16" s="1"/>
  <c r="BX43" i="15"/>
  <c r="BY43" i="15" s="1"/>
  <c r="CV49" i="14"/>
  <c r="CW49" i="14" s="1"/>
  <c r="D50" i="16"/>
  <c r="E50" i="16" s="1"/>
  <c r="BX46" i="16"/>
  <c r="BY46" i="16" s="1"/>
  <c r="AZ51" i="15"/>
  <c r="BA51" i="15" s="1"/>
  <c r="D42" i="15"/>
  <c r="E42" i="15" s="1"/>
  <c r="E39" i="13"/>
  <c r="E94" i="10"/>
  <c r="F94" i="10" s="1"/>
  <c r="Z94" i="10" s="1"/>
  <c r="E102" i="10"/>
  <c r="F102" i="10" s="1"/>
  <c r="Z102" i="10" s="1"/>
  <c r="E105" i="10"/>
  <c r="F105" i="10" s="1"/>
  <c r="Z105" i="10" s="1"/>
  <c r="E106" i="10"/>
  <c r="F106" i="10" s="1"/>
  <c r="Z106" i="10" s="1"/>
  <c r="E95" i="10"/>
  <c r="F95" i="10" s="1"/>
  <c r="Z95" i="10" s="1"/>
  <c r="E103" i="10"/>
  <c r="F103" i="10" s="1"/>
  <c r="Z103" i="10" s="1"/>
  <c r="E97" i="10"/>
  <c r="F97" i="10" s="1"/>
  <c r="Z97" i="10" s="1"/>
  <c r="E101" i="10"/>
  <c r="F101" i="10" s="1"/>
  <c r="Z101" i="10" s="1"/>
  <c r="E96" i="10"/>
  <c r="F96" i="10" s="1"/>
  <c r="Z96" i="10" s="1"/>
  <c r="E104" i="10"/>
  <c r="F104" i="10" s="1"/>
  <c r="Z104" i="10" s="1"/>
  <c r="E98" i="10"/>
  <c r="F98" i="10" s="1"/>
  <c r="Z98" i="10" s="1"/>
  <c r="E99" i="10"/>
  <c r="F99" i="10" s="1"/>
  <c r="Z99" i="10" s="1"/>
  <c r="E91" i="10"/>
  <c r="F91" i="10" s="1"/>
  <c r="Z91" i="10" s="1"/>
  <c r="E92" i="10"/>
  <c r="F92" i="10" s="1"/>
  <c r="Z92" i="10" s="1"/>
  <c r="E100" i="10"/>
  <c r="F100" i="10" s="1"/>
  <c r="Z100" i="10" s="1"/>
  <c r="E93" i="10"/>
  <c r="F93" i="10" s="1"/>
  <c r="Z93" i="10" s="1"/>
  <c r="AD20" i="2"/>
  <c r="W20" i="2"/>
  <c r="P20" i="2"/>
  <c r="I20" i="2"/>
  <c r="D63" i="22" l="1"/>
  <c r="CM89" i="13"/>
  <c r="D72" i="22"/>
  <c r="D62" i="22"/>
  <c r="D69" i="22"/>
  <c r="D71" i="22"/>
  <c r="D65" i="22"/>
  <c r="D66" i="22"/>
  <c r="D68" i="22"/>
  <c r="DK38" i="15"/>
  <c r="DK39" i="15" s="1"/>
  <c r="DK40" i="15" s="1"/>
  <c r="DK41" i="15" s="1"/>
  <c r="DK42" i="15" s="1"/>
  <c r="DK43" i="15" s="1"/>
  <c r="DK44" i="15" s="1"/>
  <c r="DK45" i="15" s="1"/>
  <c r="DK46" i="15" s="1"/>
  <c r="DK47" i="15" s="1"/>
  <c r="DK48" i="15" s="1"/>
  <c r="DK49" i="15" s="1"/>
  <c r="DK50" i="15" s="1"/>
  <c r="DK51" i="15" s="1"/>
  <c r="DK52" i="15" s="1"/>
  <c r="DK53" i="15" s="1"/>
  <c r="Q160" i="15" s="1"/>
  <c r="DK38" i="13"/>
  <c r="DK39" i="13" s="1"/>
  <c r="DK40" i="13" s="1"/>
  <c r="DK41" i="13" s="1"/>
  <c r="DK42" i="13" s="1"/>
  <c r="DK43" i="13" s="1"/>
  <c r="DK44" i="13" s="1"/>
  <c r="DK45" i="13" s="1"/>
  <c r="DK46" i="13" s="1"/>
  <c r="DK47" i="13" s="1"/>
  <c r="DK48" i="13" s="1"/>
  <c r="DK49" i="13" s="1"/>
  <c r="DK50" i="13" s="1"/>
  <c r="DK51" i="13" s="1"/>
  <c r="DK52" i="13" s="1"/>
  <c r="DK53" i="13" s="1"/>
  <c r="Q160" i="13" s="1"/>
  <c r="DK38" i="14"/>
  <c r="DK39" i="14" s="1"/>
  <c r="DK40" i="14" s="1"/>
  <c r="DK41" i="14" s="1"/>
  <c r="DK42" i="14" s="1"/>
  <c r="DK43" i="14" s="1"/>
  <c r="DK44" i="14" s="1"/>
  <c r="DK45" i="14" s="1"/>
  <c r="DK46" i="14" s="1"/>
  <c r="DK47" i="14" s="1"/>
  <c r="DK48" i="14" s="1"/>
  <c r="DK49" i="14" s="1"/>
  <c r="DK50" i="14" s="1"/>
  <c r="DK51" i="14" s="1"/>
  <c r="DK52" i="14" s="1"/>
  <c r="DK53" i="14" s="1"/>
  <c r="Q160" i="14" s="1"/>
  <c r="AQ38" i="16"/>
  <c r="AQ39" i="16" s="1"/>
  <c r="AQ40" i="16" s="1"/>
  <c r="AQ41" i="16" s="1"/>
  <c r="AQ42" i="16" s="1"/>
  <c r="AQ43" i="16" s="1"/>
  <c r="AQ44" i="16" s="1"/>
  <c r="AQ45" i="16" s="1"/>
  <c r="AQ46" i="16" s="1"/>
  <c r="AQ47" i="16" s="1"/>
  <c r="AQ48" i="16" s="1"/>
  <c r="AQ49" i="16" s="1"/>
  <c r="AQ50" i="16" s="1"/>
  <c r="AQ51" i="16" s="1"/>
  <c r="AQ52" i="16" s="1"/>
  <c r="AQ53" i="16" s="1"/>
  <c r="N160" i="16" s="1"/>
  <c r="DK38" i="16"/>
  <c r="DK39" i="16" s="1"/>
  <c r="DK40" i="16" s="1"/>
  <c r="DK41" i="16" s="1"/>
  <c r="DK42" i="16" s="1"/>
  <c r="DK43" i="16" s="1"/>
  <c r="DK44" i="16" s="1"/>
  <c r="DK45" i="16" s="1"/>
  <c r="DK46" i="16" s="1"/>
  <c r="DK47" i="16" s="1"/>
  <c r="DK48" i="16" s="1"/>
  <c r="DK49" i="16" s="1"/>
  <c r="DK50" i="16" s="1"/>
  <c r="DK51" i="16" s="1"/>
  <c r="DK52" i="16" s="1"/>
  <c r="DK53" i="16" s="1"/>
  <c r="Q160" i="16" s="1"/>
  <c r="AQ38" i="14"/>
  <c r="AQ39" i="14" s="1"/>
  <c r="AQ40" i="14" s="1"/>
  <c r="AQ41" i="14" s="1"/>
  <c r="AQ42" i="14" s="1"/>
  <c r="AQ43" i="14" s="1"/>
  <c r="AQ44" i="14" s="1"/>
  <c r="AQ45" i="14" s="1"/>
  <c r="AQ46" i="14" s="1"/>
  <c r="AQ47" i="14" s="1"/>
  <c r="AQ48" i="14" s="1"/>
  <c r="AQ49" i="14" s="1"/>
  <c r="AQ50" i="14" s="1"/>
  <c r="AQ51" i="14" s="1"/>
  <c r="AQ52" i="14" s="1"/>
  <c r="AQ53" i="14" s="1"/>
  <c r="N160" i="14" s="1"/>
  <c r="S38" i="15"/>
  <c r="S39" i="15" s="1"/>
  <c r="S40" i="15" s="1"/>
  <c r="S41" i="15" s="1"/>
  <c r="S42" i="15" s="1"/>
  <c r="S43" i="15" s="1"/>
  <c r="S44" i="15" s="1"/>
  <c r="S45" i="15" s="1"/>
  <c r="S46" i="15" s="1"/>
  <c r="S47" i="15" s="1"/>
  <c r="S48" i="15" s="1"/>
  <c r="S49" i="15" s="1"/>
  <c r="S50" i="15" s="1"/>
  <c r="S51" i="15" s="1"/>
  <c r="S52" i="15" s="1"/>
  <c r="S53" i="15" s="1"/>
  <c r="M160" i="15" s="1"/>
  <c r="CM38" i="13"/>
  <c r="CM39" i="13" s="1"/>
  <c r="CM40" i="13" s="1"/>
  <c r="CM41" i="13" s="1"/>
  <c r="CM42" i="13" s="1"/>
  <c r="CM43" i="13" s="1"/>
  <c r="CM44" i="13" s="1"/>
  <c r="CM45" i="13" s="1"/>
  <c r="CM46" i="13" s="1"/>
  <c r="CM47" i="13" s="1"/>
  <c r="CM48" i="13" s="1"/>
  <c r="CM49" i="13" s="1"/>
  <c r="CM50" i="13" s="1"/>
  <c r="CM51" i="13" s="1"/>
  <c r="CM52" i="13" s="1"/>
  <c r="CM53" i="13" s="1"/>
  <c r="P160" i="13" s="1"/>
  <c r="S38" i="16"/>
  <c r="S39" i="16" s="1"/>
  <c r="S40" i="16" s="1"/>
  <c r="S41" i="16" s="1"/>
  <c r="S42" i="16" s="1"/>
  <c r="S43" i="16" s="1"/>
  <c r="S44" i="16" s="1"/>
  <c r="S45" i="16" s="1"/>
  <c r="S46" i="16" s="1"/>
  <c r="S47" i="16" s="1"/>
  <c r="S48" i="16" s="1"/>
  <c r="S49" i="16" s="1"/>
  <c r="S50" i="16" s="1"/>
  <c r="S51" i="16" s="1"/>
  <c r="S52" i="16" s="1"/>
  <c r="S53" i="16" s="1"/>
  <c r="M160" i="16" s="1"/>
  <c r="BO38" i="13"/>
  <c r="BO39" i="13" s="1"/>
  <c r="BO40" i="13" s="1"/>
  <c r="BO41" i="13" s="1"/>
  <c r="BO42" i="13" s="1"/>
  <c r="BO43" i="13" s="1"/>
  <c r="BO44" i="13" s="1"/>
  <c r="BO45" i="13" s="1"/>
  <c r="BO46" i="13" s="1"/>
  <c r="BO47" i="13" s="1"/>
  <c r="BO48" i="13" s="1"/>
  <c r="BO49" i="13" s="1"/>
  <c r="BO50" i="13" s="1"/>
  <c r="BO51" i="13" s="1"/>
  <c r="BO52" i="13" s="1"/>
  <c r="BO53" i="13" s="1"/>
  <c r="O160" i="13" s="1"/>
  <c r="BO38" i="15"/>
  <c r="BO39" i="15" s="1"/>
  <c r="BO40" i="15" s="1"/>
  <c r="BO41" i="15" s="1"/>
  <c r="BO42" i="15" s="1"/>
  <c r="BO43" i="15" s="1"/>
  <c r="BO44" i="15" s="1"/>
  <c r="BO45" i="15" s="1"/>
  <c r="BO46" i="15" s="1"/>
  <c r="BO47" i="15" s="1"/>
  <c r="BO48" i="15" s="1"/>
  <c r="BO49" i="15" s="1"/>
  <c r="BO50" i="15" s="1"/>
  <c r="BO51" i="15" s="1"/>
  <c r="BO52" i="15" s="1"/>
  <c r="BO53" i="15" s="1"/>
  <c r="O160" i="15" s="1"/>
  <c r="S13" i="14"/>
  <c r="S14" i="14" s="1"/>
  <c r="S15" i="14" s="1"/>
  <c r="S16" i="14" s="1"/>
  <c r="CM38" i="16"/>
  <c r="CM39" i="16" s="1"/>
  <c r="CM40" i="16" s="1"/>
  <c r="CM41" i="16" s="1"/>
  <c r="CM42" i="16" s="1"/>
  <c r="CM43" i="16" s="1"/>
  <c r="CM44" i="16" s="1"/>
  <c r="CM45" i="16" s="1"/>
  <c r="CM46" i="16" s="1"/>
  <c r="CM47" i="16" s="1"/>
  <c r="CM48" i="16" s="1"/>
  <c r="CM49" i="16" s="1"/>
  <c r="CM50" i="16" s="1"/>
  <c r="CM51" i="16" s="1"/>
  <c r="CM52" i="16" s="1"/>
  <c r="CM53" i="16" s="1"/>
  <c r="P160" i="16" s="1"/>
  <c r="BO38" i="14"/>
  <c r="BO39" i="14" s="1"/>
  <c r="BO40" i="14" s="1"/>
  <c r="BO41" i="14" s="1"/>
  <c r="BO42" i="14" s="1"/>
  <c r="BO43" i="14" s="1"/>
  <c r="BO44" i="14" s="1"/>
  <c r="BO45" i="14" s="1"/>
  <c r="BO46" i="14" s="1"/>
  <c r="BO47" i="14" s="1"/>
  <c r="BO48" i="14" s="1"/>
  <c r="BO49" i="14" s="1"/>
  <c r="BO50" i="14" s="1"/>
  <c r="BO51" i="14" s="1"/>
  <c r="BO52" i="14" s="1"/>
  <c r="BO53" i="14" s="1"/>
  <c r="O160" i="14" s="1"/>
  <c r="AQ38" i="15"/>
  <c r="AQ39" i="15" s="1"/>
  <c r="AQ40" i="15" s="1"/>
  <c r="AQ41" i="15" s="1"/>
  <c r="AQ42" i="15" s="1"/>
  <c r="AQ43" i="15" s="1"/>
  <c r="AQ44" i="15" s="1"/>
  <c r="AQ45" i="15" s="1"/>
  <c r="AQ46" i="15" s="1"/>
  <c r="AQ47" i="15" s="1"/>
  <c r="AQ48" i="15" s="1"/>
  <c r="AQ49" i="15" s="1"/>
  <c r="AQ50" i="15" s="1"/>
  <c r="AQ51" i="15" s="1"/>
  <c r="AQ52" i="15" s="1"/>
  <c r="AQ53" i="15" s="1"/>
  <c r="N160" i="15" s="1"/>
  <c r="S38" i="14"/>
  <c r="S39" i="14" s="1"/>
  <c r="S40" i="14" s="1"/>
  <c r="S41" i="14" s="1"/>
  <c r="S42" i="14" s="1"/>
  <c r="S43" i="14" s="1"/>
  <c r="S44" i="14" s="1"/>
  <c r="S45" i="14" s="1"/>
  <c r="S46" i="14" s="1"/>
  <c r="S47" i="14" s="1"/>
  <c r="S48" i="14" s="1"/>
  <c r="S49" i="14" s="1"/>
  <c r="S50" i="14" s="1"/>
  <c r="S51" i="14" s="1"/>
  <c r="S52" i="14" s="1"/>
  <c r="S53" i="14" s="1"/>
  <c r="M160" i="14" s="1"/>
  <c r="S38" i="13"/>
  <c r="S39" i="13" s="1"/>
  <c r="S40" i="13" s="1"/>
  <c r="S41" i="13" s="1"/>
  <c r="S42" i="13" s="1"/>
  <c r="S43" i="13" s="1"/>
  <c r="S44" i="13" s="1"/>
  <c r="S45" i="13" s="1"/>
  <c r="S46" i="13" s="1"/>
  <c r="S47" i="13" s="1"/>
  <c r="S48" i="13" s="1"/>
  <c r="S49" i="13" s="1"/>
  <c r="S50" i="13" s="1"/>
  <c r="S51" i="13" s="1"/>
  <c r="S52" i="13" s="1"/>
  <c r="S53" i="13" s="1"/>
  <c r="M160" i="13" s="1"/>
  <c r="BO38" i="16"/>
  <c r="BO39" i="16" s="1"/>
  <c r="BO40" i="16" s="1"/>
  <c r="BO41" i="16" s="1"/>
  <c r="BO42" i="16" s="1"/>
  <c r="BO43" i="16" s="1"/>
  <c r="BO44" i="16" s="1"/>
  <c r="BO45" i="16" s="1"/>
  <c r="BO46" i="16" s="1"/>
  <c r="BO47" i="16" s="1"/>
  <c r="BO48" i="16" s="1"/>
  <c r="BO49" i="16" s="1"/>
  <c r="BO50" i="16" s="1"/>
  <c r="BO51" i="16" s="1"/>
  <c r="BO52" i="16" s="1"/>
  <c r="BO53" i="16" s="1"/>
  <c r="O160" i="16" s="1"/>
  <c r="CM38" i="14"/>
  <c r="CM39" i="14" s="1"/>
  <c r="CM40" i="14" s="1"/>
  <c r="CM41" i="14" s="1"/>
  <c r="CM42" i="14" s="1"/>
  <c r="CM43" i="14" s="1"/>
  <c r="CM44" i="14" s="1"/>
  <c r="CM45" i="14" s="1"/>
  <c r="CM46" i="14" s="1"/>
  <c r="CM47" i="14" s="1"/>
  <c r="CM48" i="14" s="1"/>
  <c r="CM49" i="14" s="1"/>
  <c r="CM50" i="14" s="1"/>
  <c r="CM51" i="14" s="1"/>
  <c r="CM52" i="14" s="1"/>
  <c r="CM53" i="14" s="1"/>
  <c r="P160" i="14" s="1"/>
  <c r="CM38" i="15"/>
  <c r="CM39" i="15" s="1"/>
  <c r="CM40" i="15" s="1"/>
  <c r="CM41" i="15" s="1"/>
  <c r="CM42" i="15" s="1"/>
  <c r="CM43" i="15" s="1"/>
  <c r="CM44" i="15" s="1"/>
  <c r="CM45" i="15" s="1"/>
  <c r="CM46" i="15" s="1"/>
  <c r="CM47" i="15" s="1"/>
  <c r="CM48" i="15" s="1"/>
  <c r="CM49" i="15" s="1"/>
  <c r="CM50" i="15" s="1"/>
  <c r="CM51" i="15" s="1"/>
  <c r="CM52" i="15" s="1"/>
  <c r="CM53" i="15" s="1"/>
  <c r="P160" i="15" s="1"/>
  <c r="AQ38" i="13"/>
  <c r="AQ39" i="13" s="1"/>
  <c r="AQ40" i="13" s="1"/>
  <c r="AQ41" i="13" s="1"/>
  <c r="AQ42" i="13" s="1"/>
  <c r="AQ43" i="13" s="1"/>
  <c r="AQ44" i="13" s="1"/>
  <c r="AQ45" i="13" s="1"/>
  <c r="AQ46" i="13" s="1"/>
  <c r="AQ47" i="13" s="1"/>
  <c r="AQ48" i="13" s="1"/>
  <c r="AQ49" i="13" s="1"/>
  <c r="AQ50" i="13" s="1"/>
  <c r="AQ51" i="13" s="1"/>
  <c r="AQ52" i="13" s="1"/>
  <c r="AQ53" i="13" s="1"/>
  <c r="N160" i="13" s="1"/>
  <c r="CU17" i="14"/>
  <c r="CW17" i="14" s="1"/>
  <c r="AY17" i="14"/>
  <c r="BA17" i="14" s="1"/>
  <c r="BO17" i="14" s="1"/>
  <c r="BW17" i="14"/>
  <c r="BY17" i="14" s="1"/>
  <c r="CM17" i="14" s="1"/>
  <c r="AA17" i="14"/>
  <c r="AC17" i="14" s="1"/>
  <c r="AQ17" i="14" s="1"/>
  <c r="CU18" i="14"/>
  <c r="CW18" i="14" s="1"/>
  <c r="BW18" i="14"/>
  <c r="BY18" i="14" s="1"/>
  <c r="AY18" i="14"/>
  <c r="BA18" i="14" s="1"/>
  <c r="AA18" i="14"/>
  <c r="AC18" i="14" s="1"/>
  <c r="DK17" i="14"/>
  <c r="CU20" i="14"/>
  <c r="CW20" i="14" s="1"/>
  <c r="BW20" i="14"/>
  <c r="BY20" i="14" s="1"/>
  <c r="AY20" i="14"/>
  <c r="BA20" i="14" s="1"/>
  <c r="AA20" i="14"/>
  <c r="AC20" i="14" s="1"/>
  <c r="CU19" i="14"/>
  <c r="CW19" i="14" s="1"/>
  <c r="BW19" i="14"/>
  <c r="BY19" i="14" s="1"/>
  <c r="AY19" i="14"/>
  <c r="BA19" i="14" s="1"/>
  <c r="AA19" i="14"/>
  <c r="AC19" i="14" s="1"/>
  <c r="AQ114" i="15"/>
  <c r="AQ115" i="15" s="1"/>
  <c r="AQ116" i="15" s="1"/>
  <c r="AQ117" i="15" s="1"/>
  <c r="AQ118" i="15" s="1"/>
  <c r="AQ119" i="15" s="1"/>
  <c r="AQ120" i="15" s="1"/>
  <c r="AQ121" i="15" s="1"/>
  <c r="AQ122" i="15" s="1"/>
  <c r="AQ123" i="15" s="1"/>
  <c r="AQ124" i="15" s="1"/>
  <c r="AQ125" i="15" s="1"/>
  <c r="AQ126" i="15" s="1"/>
  <c r="AQ127" i="15" s="1"/>
  <c r="AQ128" i="15" s="1"/>
  <c r="AC160" i="15" s="1"/>
  <c r="S89" i="13"/>
  <c r="S90" i="13" s="1"/>
  <c r="BO89" i="13"/>
  <c r="BO90" i="13" s="1"/>
  <c r="BO89" i="16"/>
  <c r="BO90" i="16" s="1"/>
  <c r="BO89" i="14"/>
  <c r="BO90" i="14" s="1"/>
  <c r="CM89" i="14"/>
  <c r="CM90" i="14" s="1"/>
  <c r="S114" i="15"/>
  <c r="S115" i="15" s="1"/>
  <c r="S116" i="15" s="1"/>
  <c r="S117" i="15" s="1"/>
  <c r="S118" i="15" s="1"/>
  <c r="S119" i="15" s="1"/>
  <c r="S120" i="15" s="1"/>
  <c r="S121" i="15" s="1"/>
  <c r="S122" i="15" s="1"/>
  <c r="S123" i="15" s="1"/>
  <c r="S124" i="15" s="1"/>
  <c r="S125" i="15" s="1"/>
  <c r="S126" i="15" s="1"/>
  <c r="S127" i="15" s="1"/>
  <c r="S128" i="15" s="1"/>
  <c r="AB160" i="15" s="1"/>
  <c r="BO114" i="13"/>
  <c r="BO115" i="13" s="1"/>
  <c r="BO116" i="13" s="1"/>
  <c r="BO117" i="13" s="1"/>
  <c r="BO118" i="13" s="1"/>
  <c r="BO119" i="13" s="1"/>
  <c r="BO120" i="13" s="1"/>
  <c r="BO121" i="13" s="1"/>
  <c r="BO122" i="13" s="1"/>
  <c r="BO123" i="13" s="1"/>
  <c r="BO124" i="13" s="1"/>
  <c r="BO125" i="13" s="1"/>
  <c r="BO126" i="13" s="1"/>
  <c r="BO127" i="13" s="1"/>
  <c r="BO128" i="13" s="1"/>
  <c r="AD160" i="13" s="1"/>
  <c r="CM114" i="15"/>
  <c r="CM115" i="15" s="1"/>
  <c r="CM116" i="15" s="1"/>
  <c r="CM117" i="15" s="1"/>
  <c r="CM118" i="15" s="1"/>
  <c r="CM119" i="15" s="1"/>
  <c r="CM120" i="15" s="1"/>
  <c r="CM121" i="15" s="1"/>
  <c r="CM122" i="15" s="1"/>
  <c r="CM123" i="15" s="1"/>
  <c r="CM124" i="15" s="1"/>
  <c r="CM125" i="15" s="1"/>
  <c r="CM126" i="15" s="1"/>
  <c r="CM127" i="15" s="1"/>
  <c r="CM128" i="15" s="1"/>
  <c r="AE160" i="15" s="1"/>
  <c r="AQ89" i="16"/>
  <c r="AQ90" i="16" s="1"/>
  <c r="S114" i="14"/>
  <c r="S115" i="14" s="1"/>
  <c r="S116" i="14" s="1"/>
  <c r="S117" i="14" s="1"/>
  <c r="S118" i="14" s="1"/>
  <c r="S119" i="14" s="1"/>
  <c r="S120" i="14" s="1"/>
  <c r="S121" i="14" s="1"/>
  <c r="S122" i="14" s="1"/>
  <c r="S123" i="14" s="1"/>
  <c r="S124" i="14" s="1"/>
  <c r="S125" i="14" s="1"/>
  <c r="S126" i="14" s="1"/>
  <c r="S127" i="14" s="1"/>
  <c r="S128" i="14" s="1"/>
  <c r="AB160" i="14" s="1"/>
  <c r="S89" i="14"/>
  <c r="S90" i="14" s="1"/>
  <c r="DK89" i="16"/>
  <c r="DK90" i="16" s="1"/>
  <c r="CM89" i="16"/>
  <c r="CM90" i="16" s="1"/>
  <c r="CM114" i="14"/>
  <c r="CM115" i="14" s="1"/>
  <c r="CM116" i="14" s="1"/>
  <c r="CM117" i="14" s="1"/>
  <c r="CM118" i="14" s="1"/>
  <c r="CM119" i="14" s="1"/>
  <c r="CM120" i="14" s="1"/>
  <c r="CM121" i="14" s="1"/>
  <c r="CM122" i="14" s="1"/>
  <c r="CM123" i="14" s="1"/>
  <c r="CM124" i="14" s="1"/>
  <c r="CM125" i="14" s="1"/>
  <c r="CM126" i="14" s="1"/>
  <c r="CM127" i="14" s="1"/>
  <c r="CM128" i="14" s="1"/>
  <c r="AE160" i="14" s="1"/>
  <c r="AQ114" i="14"/>
  <c r="AQ115" i="14" s="1"/>
  <c r="AQ116" i="14" s="1"/>
  <c r="AQ117" i="14" s="1"/>
  <c r="AQ118" i="14" s="1"/>
  <c r="AQ119" i="14" s="1"/>
  <c r="AQ120" i="14" s="1"/>
  <c r="AQ121" i="14" s="1"/>
  <c r="AQ122" i="14" s="1"/>
  <c r="AQ123" i="14" s="1"/>
  <c r="AQ124" i="14" s="1"/>
  <c r="AQ125" i="14" s="1"/>
  <c r="AQ126" i="14" s="1"/>
  <c r="AQ127" i="14" s="1"/>
  <c r="AQ128" i="14" s="1"/>
  <c r="AC160" i="14" s="1"/>
  <c r="DK114" i="13"/>
  <c r="DK115" i="13" s="1"/>
  <c r="DK116" i="13" s="1"/>
  <c r="DK117" i="13" s="1"/>
  <c r="DK118" i="13" s="1"/>
  <c r="DK119" i="13" s="1"/>
  <c r="DK120" i="13" s="1"/>
  <c r="DK121" i="13" s="1"/>
  <c r="DK122" i="13" s="1"/>
  <c r="DK123" i="13" s="1"/>
  <c r="DK124" i="13" s="1"/>
  <c r="DK125" i="13" s="1"/>
  <c r="DK126" i="13" s="1"/>
  <c r="DK127" i="13" s="1"/>
  <c r="DK128" i="13" s="1"/>
  <c r="AF160" i="13" s="1"/>
  <c r="CM114" i="13"/>
  <c r="CM115" i="13" s="1"/>
  <c r="CM116" i="13" s="1"/>
  <c r="CM117" i="13" s="1"/>
  <c r="CM118" i="13" s="1"/>
  <c r="CM119" i="13" s="1"/>
  <c r="CM120" i="13" s="1"/>
  <c r="CM121" i="13" s="1"/>
  <c r="CM122" i="13" s="1"/>
  <c r="CM123" i="13" s="1"/>
  <c r="CM124" i="13" s="1"/>
  <c r="CM125" i="13" s="1"/>
  <c r="CM126" i="13" s="1"/>
  <c r="CM127" i="13" s="1"/>
  <c r="CM128" i="13" s="1"/>
  <c r="AE160" i="13" s="1"/>
  <c r="S89" i="16"/>
  <c r="S90" i="16" s="1"/>
  <c r="CM89" i="15"/>
  <c r="CM90" i="15" s="1"/>
  <c r="S114" i="16"/>
  <c r="S115" i="16" s="1"/>
  <c r="S116" i="16" s="1"/>
  <c r="S117" i="16" s="1"/>
  <c r="S118" i="16" s="1"/>
  <c r="S119" i="16" s="1"/>
  <c r="S120" i="16" s="1"/>
  <c r="S121" i="16" s="1"/>
  <c r="S122" i="16" s="1"/>
  <c r="S123" i="16" s="1"/>
  <c r="S124" i="16" s="1"/>
  <c r="S125" i="16" s="1"/>
  <c r="S126" i="16" s="1"/>
  <c r="S127" i="16" s="1"/>
  <c r="S128" i="16" s="1"/>
  <c r="AB160" i="16" s="1"/>
  <c r="AQ89" i="14"/>
  <c r="AQ90" i="14" s="1"/>
  <c r="DK89" i="14"/>
  <c r="DK90" i="14" s="1"/>
  <c r="AQ117" i="16"/>
  <c r="AQ118" i="16" s="1"/>
  <c r="AQ119" i="16" s="1"/>
  <c r="AQ120" i="16" s="1"/>
  <c r="AQ121" i="16" s="1"/>
  <c r="AQ122" i="16" s="1"/>
  <c r="AQ123" i="16" s="1"/>
  <c r="AQ124" i="16" s="1"/>
  <c r="AQ125" i="16" s="1"/>
  <c r="AQ126" i="16" s="1"/>
  <c r="AQ127" i="16" s="1"/>
  <c r="AQ128" i="16" s="1"/>
  <c r="AC160" i="16" s="1"/>
  <c r="AQ114" i="13"/>
  <c r="AQ115" i="13" s="1"/>
  <c r="AQ116" i="13" s="1"/>
  <c r="AQ117" i="13" s="1"/>
  <c r="AQ118" i="13" s="1"/>
  <c r="AQ119" i="13" s="1"/>
  <c r="AQ120" i="13" s="1"/>
  <c r="AQ121" i="13" s="1"/>
  <c r="AQ122" i="13" s="1"/>
  <c r="AQ123" i="13" s="1"/>
  <c r="AQ124" i="13" s="1"/>
  <c r="AQ125" i="13" s="1"/>
  <c r="AQ126" i="13" s="1"/>
  <c r="AQ127" i="13" s="1"/>
  <c r="AQ128" i="13" s="1"/>
  <c r="AC160" i="13" s="1"/>
  <c r="CM115" i="16"/>
  <c r="CM116" i="16" s="1"/>
  <c r="CM117" i="16" s="1"/>
  <c r="CM118" i="16" s="1"/>
  <c r="CM119" i="16" s="1"/>
  <c r="CM120" i="16" s="1"/>
  <c r="CM121" i="16" s="1"/>
  <c r="CM122" i="16" s="1"/>
  <c r="CM123" i="16" s="1"/>
  <c r="CM124" i="16" s="1"/>
  <c r="CM125" i="16" s="1"/>
  <c r="CM126" i="16" s="1"/>
  <c r="CM127" i="16" s="1"/>
  <c r="CM128" i="16" s="1"/>
  <c r="AE160" i="16" s="1"/>
  <c r="DK114" i="15"/>
  <c r="DK115" i="15" s="1"/>
  <c r="DK116" i="15" s="1"/>
  <c r="DK117" i="15" s="1"/>
  <c r="DK118" i="15" s="1"/>
  <c r="DK119" i="15" s="1"/>
  <c r="DK120" i="15" s="1"/>
  <c r="DK121" i="15" s="1"/>
  <c r="DK122" i="15" s="1"/>
  <c r="DK123" i="15" s="1"/>
  <c r="DK124" i="15" s="1"/>
  <c r="DK125" i="15" s="1"/>
  <c r="DK126" i="15" s="1"/>
  <c r="DK127" i="15" s="1"/>
  <c r="DK128" i="15" s="1"/>
  <c r="AF160" i="15" s="1"/>
  <c r="BO114" i="15"/>
  <c r="BO115" i="15" s="1"/>
  <c r="BO116" i="15" s="1"/>
  <c r="BO117" i="15" s="1"/>
  <c r="BO118" i="15" s="1"/>
  <c r="BO119" i="15" s="1"/>
  <c r="BO120" i="15" s="1"/>
  <c r="BO121" i="15" s="1"/>
  <c r="BO122" i="15" s="1"/>
  <c r="BO123" i="15" s="1"/>
  <c r="BO124" i="15" s="1"/>
  <c r="BO125" i="15" s="1"/>
  <c r="BO126" i="15" s="1"/>
  <c r="BO127" i="15" s="1"/>
  <c r="BO128" i="15" s="1"/>
  <c r="AD160" i="15" s="1"/>
  <c r="BO89" i="15"/>
  <c r="BO90" i="15" s="1"/>
  <c r="AQ89" i="13"/>
  <c r="AQ90" i="13" s="1"/>
  <c r="BO114" i="14"/>
  <c r="BO115" i="14" s="1"/>
  <c r="BO116" i="14" s="1"/>
  <c r="BO117" i="14" s="1"/>
  <c r="BO118" i="14" s="1"/>
  <c r="BO119" i="14" s="1"/>
  <c r="BO120" i="14" s="1"/>
  <c r="BO121" i="14" s="1"/>
  <c r="BO122" i="14" s="1"/>
  <c r="BO123" i="14" s="1"/>
  <c r="BO124" i="14" s="1"/>
  <c r="BO125" i="14" s="1"/>
  <c r="BO126" i="14" s="1"/>
  <c r="BO127" i="14" s="1"/>
  <c r="BO128" i="14" s="1"/>
  <c r="AD160" i="14" s="1"/>
  <c r="DK114" i="16"/>
  <c r="DK115" i="16" s="1"/>
  <c r="DK116" i="16" s="1"/>
  <c r="DK117" i="16" s="1"/>
  <c r="DK118" i="16" s="1"/>
  <c r="DK119" i="16" s="1"/>
  <c r="DK120" i="16" s="1"/>
  <c r="DK121" i="16" s="1"/>
  <c r="DK122" i="16" s="1"/>
  <c r="DK123" i="16" s="1"/>
  <c r="DK124" i="16" s="1"/>
  <c r="DK125" i="16" s="1"/>
  <c r="DK126" i="16" s="1"/>
  <c r="DK127" i="16" s="1"/>
  <c r="DK128" i="16" s="1"/>
  <c r="AF160" i="16" s="1"/>
  <c r="DK89" i="15"/>
  <c r="DK90" i="15" s="1"/>
  <c r="BO114" i="16"/>
  <c r="BO115" i="16" s="1"/>
  <c r="BO116" i="16" s="1"/>
  <c r="BO117" i="16" s="1"/>
  <c r="BO118" i="16" s="1"/>
  <c r="BO119" i="16" s="1"/>
  <c r="BO120" i="16" s="1"/>
  <c r="BO121" i="16" s="1"/>
  <c r="BO122" i="16" s="1"/>
  <c r="BO123" i="16" s="1"/>
  <c r="BO124" i="16" s="1"/>
  <c r="BO125" i="16" s="1"/>
  <c r="BO126" i="16" s="1"/>
  <c r="BO127" i="16" s="1"/>
  <c r="BO128" i="16" s="1"/>
  <c r="AD160" i="16" s="1"/>
  <c r="CM90" i="13"/>
  <c r="DK89" i="13"/>
  <c r="DK90" i="13" s="1"/>
  <c r="AQ89" i="15"/>
  <c r="AQ90" i="15" s="1"/>
  <c r="DK114" i="14"/>
  <c r="DK115" i="14" s="1"/>
  <c r="DK116" i="14" s="1"/>
  <c r="DK117" i="14" s="1"/>
  <c r="DK118" i="14" s="1"/>
  <c r="DK119" i="14" s="1"/>
  <c r="DK120" i="14" s="1"/>
  <c r="DK121" i="14" s="1"/>
  <c r="DK122" i="14" s="1"/>
  <c r="DK123" i="14" s="1"/>
  <c r="DK124" i="14" s="1"/>
  <c r="DK125" i="14" s="1"/>
  <c r="DK126" i="14" s="1"/>
  <c r="DK127" i="14" s="1"/>
  <c r="DK128" i="14" s="1"/>
  <c r="AF160" i="14" s="1"/>
  <c r="S114" i="13"/>
  <c r="S115" i="13" s="1"/>
  <c r="S116" i="13" s="1"/>
  <c r="S117" i="13" s="1"/>
  <c r="S118" i="13" s="1"/>
  <c r="S119" i="13" s="1"/>
  <c r="S120" i="13" s="1"/>
  <c r="S121" i="13" s="1"/>
  <c r="S122" i="13" s="1"/>
  <c r="S123" i="13" s="1"/>
  <c r="S124" i="13" s="1"/>
  <c r="S125" i="13" s="1"/>
  <c r="S126" i="13" s="1"/>
  <c r="S127" i="13" s="1"/>
  <c r="S128" i="13" s="1"/>
  <c r="AB160" i="13" s="1"/>
  <c r="S89" i="15"/>
  <c r="S90" i="15" s="1"/>
  <c r="L6" i="11"/>
  <c r="D74" i="22"/>
  <c r="AD16" i="2"/>
  <c r="W16" i="2"/>
  <c r="AD10" i="2"/>
  <c r="W10" i="2"/>
  <c r="P16" i="2"/>
  <c r="P10" i="2"/>
  <c r="I16" i="2"/>
  <c r="I10" i="2"/>
  <c r="DK18" i="14" l="1"/>
  <c r="BO18" i="14"/>
  <c r="BO19" i="14" s="1"/>
  <c r="BO20" i="14" s="1"/>
  <c r="S17" i="14"/>
  <c r="S18" i="14" s="1"/>
  <c r="S19" i="14" s="1"/>
  <c r="S20" i="14" s="1"/>
  <c r="AQ18" i="14"/>
  <c r="AQ19" i="14" s="1"/>
  <c r="AQ20" i="14" s="1"/>
  <c r="CU22" i="14"/>
  <c r="CW22" i="14" s="1"/>
  <c r="BW22" i="14"/>
  <c r="BY22" i="14" s="1"/>
  <c r="AY22" i="14"/>
  <c r="BA22" i="14" s="1"/>
  <c r="AA22" i="14"/>
  <c r="AC22" i="14" s="1"/>
  <c r="E22" i="14"/>
  <c r="CU24" i="14"/>
  <c r="CW24" i="14" s="1"/>
  <c r="BW24" i="14"/>
  <c r="BY24" i="14" s="1"/>
  <c r="AY24" i="14"/>
  <c r="BA24" i="14" s="1"/>
  <c r="AA24" i="14"/>
  <c r="AC24" i="14" s="1"/>
  <c r="E24" i="14"/>
  <c r="CM18" i="14"/>
  <c r="CM19" i="14" s="1"/>
  <c r="CM20" i="14" s="1"/>
  <c r="BW21" i="14"/>
  <c r="BY21" i="14" s="1"/>
  <c r="CU21" i="14"/>
  <c r="CW21" i="14" s="1"/>
  <c r="AY21" i="14"/>
  <c r="BA21" i="14" s="1"/>
  <c r="AA21" i="14"/>
  <c r="AC21" i="14" s="1"/>
  <c r="E21" i="14"/>
  <c r="DK19" i="14"/>
  <c r="DK20" i="14" s="1"/>
  <c r="CU23" i="14"/>
  <c r="CW23" i="14" s="1"/>
  <c r="BW23" i="14"/>
  <c r="BY23" i="14" s="1"/>
  <c r="AY23" i="14"/>
  <c r="BA23" i="14" s="1"/>
  <c r="AA23" i="14"/>
  <c r="AC23" i="14" s="1"/>
  <c r="E23" i="14"/>
  <c r="D75" i="22"/>
  <c r="X28" i="2"/>
  <c r="Y28" i="2" s="1"/>
  <c r="AE65" i="2"/>
  <c r="Q65" i="2"/>
  <c r="X65" i="2"/>
  <c r="J65" i="2"/>
  <c r="AE44" i="2"/>
  <c r="AE64" i="2" s="1"/>
  <c r="X44" i="2"/>
  <c r="X59" i="2"/>
  <c r="Y59" i="2" s="1"/>
  <c r="J59" i="2"/>
  <c r="X26" i="2"/>
  <c r="Y26" i="2" s="1"/>
  <c r="X29" i="2"/>
  <c r="Y29" i="2" s="1"/>
  <c r="AE24" i="2"/>
  <c r="X24" i="2"/>
  <c r="AE23" i="2"/>
  <c r="AF23" i="2" s="1"/>
  <c r="AE28" i="2"/>
  <c r="AF28" i="2" s="1"/>
  <c r="Q25" i="2"/>
  <c r="R25" i="2" s="1"/>
  <c r="AE29" i="2"/>
  <c r="AF29" i="2" s="1"/>
  <c r="AE26" i="2"/>
  <c r="AF26" i="2" s="1"/>
  <c r="AE25" i="2"/>
  <c r="AF25" i="2" s="1"/>
  <c r="X25" i="2"/>
  <c r="Y25" i="2" s="1"/>
  <c r="X23" i="2"/>
  <c r="Y23" i="2" s="1"/>
  <c r="J25" i="2"/>
  <c r="K25" i="2" s="1"/>
  <c r="J24" i="2"/>
  <c r="J29" i="2"/>
  <c r="K29" i="2" s="1"/>
  <c r="J26" i="2"/>
  <c r="K26" i="2" s="1"/>
  <c r="J20" i="2"/>
  <c r="AQ21" i="14" l="1"/>
  <c r="AQ22" i="14" s="1"/>
  <c r="BW94" i="14"/>
  <c r="AA94" i="14"/>
  <c r="AC94" i="14" s="1"/>
  <c r="AY94" i="14"/>
  <c r="BA94" i="14" s="1"/>
  <c r="C94" i="14"/>
  <c r="E94" i="14" s="1"/>
  <c r="CU94" i="14"/>
  <c r="CU91" i="14"/>
  <c r="CW91" i="14" s="1"/>
  <c r="BW91" i="14"/>
  <c r="BY91" i="14" s="1"/>
  <c r="AY91" i="14"/>
  <c r="BA91" i="14" s="1"/>
  <c r="AA91" i="14"/>
  <c r="C91" i="14"/>
  <c r="CU100" i="14"/>
  <c r="CW100" i="14" s="1"/>
  <c r="BW100" i="14"/>
  <c r="BY100" i="14" s="1"/>
  <c r="AY100" i="14"/>
  <c r="AA100" i="14"/>
  <c r="C100" i="14"/>
  <c r="E100" i="14" s="1"/>
  <c r="CU97" i="14"/>
  <c r="CW97" i="14" s="1"/>
  <c r="BW97" i="14"/>
  <c r="AY97" i="14"/>
  <c r="BA97" i="14" s="1"/>
  <c r="AA97" i="14"/>
  <c r="AC97" i="14" s="1"/>
  <c r="C97" i="14"/>
  <c r="E97" i="14" s="1"/>
  <c r="CU103" i="14"/>
  <c r="BW103" i="14"/>
  <c r="AY103" i="14"/>
  <c r="BA103" i="14" s="1"/>
  <c r="AA103" i="14"/>
  <c r="AC103" i="14" s="1"/>
  <c r="C103" i="14"/>
  <c r="DK21" i="14"/>
  <c r="DK22" i="14" s="1"/>
  <c r="DK23" i="14" s="1"/>
  <c r="DK24" i="14" s="1"/>
  <c r="AQ23" i="14"/>
  <c r="AQ24" i="14" s="1"/>
  <c r="CM21" i="14"/>
  <c r="CM22" i="14" s="1"/>
  <c r="CM23" i="14" s="1"/>
  <c r="CM24" i="14" s="1"/>
  <c r="S21" i="14"/>
  <c r="BO21" i="14"/>
  <c r="BO22" i="14" s="1"/>
  <c r="BO23" i="14" s="1"/>
  <c r="BO24" i="14" s="1"/>
  <c r="X64" i="2"/>
  <c r="T22" i="8" s="1"/>
  <c r="K59" i="2"/>
  <c r="K64" i="2" s="1"/>
  <c r="J64" i="2"/>
  <c r="K24" i="2"/>
  <c r="AF24" i="2"/>
  <c r="Y24" i="2"/>
  <c r="K20" i="2"/>
  <c r="J22" i="2"/>
  <c r="V22" i="8"/>
  <c r="Y44" i="2"/>
  <c r="BY94" i="14"/>
  <c r="CW94" i="14"/>
  <c r="CU94" i="16"/>
  <c r="CW94" i="16" s="1"/>
  <c r="BW94" i="16"/>
  <c r="BY94" i="16" s="1"/>
  <c r="AY94" i="16"/>
  <c r="BA94" i="16" s="1"/>
  <c r="AA94" i="16"/>
  <c r="AC94" i="16" s="1"/>
  <c r="C94" i="16"/>
  <c r="E94" i="16" s="1"/>
  <c r="CU94" i="15"/>
  <c r="CW94" i="15" s="1"/>
  <c r="BW94" i="15"/>
  <c r="BY94" i="15" s="1"/>
  <c r="AY94" i="15"/>
  <c r="BA94" i="15" s="1"/>
  <c r="AA94" i="15"/>
  <c r="AC94" i="15" s="1"/>
  <c r="C94" i="15"/>
  <c r="E94" i="15" s="1"/>
  <c r="CU94" i="13"/>
  <c r="CW94" i="13" s="1"/>
  <c r="BW94" i="13"/>
  <c r="BY94" i="13" s="1"/>
  <c r="AY94" i="13"/>
  <c r="BA94" i="13" s="1"/>
  <c r="AA94" i="13"/>
  <c r="AC94" i="13" s="1"/>
  <c r="C94" i="13"/>
  <c r="E94" i="13" s="1"/>
  <c r="AC91" i="14"/>
  <c r="CU91" i="16"/>
  <c r="CW91" i="16" s="1"/>
  <c r="AY91" i="16"/>
  <c r="BA91" i="16" s="1"/>
  <c r="C91" i="16"/>
  <c r="E91" i="16" s="1"/>
  <c r="BW91" i="15"/>
  <c r="BY91" i="15" s="1"/>
  <c r="AA91" i="15"/>
  <c r="AC91" i="15" s="1"/>
  <c r="CU91" i="13"/>
  <c r="CW91" i="13" s="1"/>
  <c r="AY91" i="13"/>
  <c r="BA91" i="13" s="1"/>
  <c r="BW91" i="16"/>
  <c r="BY91" i="16" s="1"/>
  <c r="AA91" i="16"/>
  <c r="AC91" i="16" s="1"/>
  <c r="CU91" i="15"/>
  <c r="CW91" i="15" s="1"/>
  <c r="AY91" i="15"/>
  <c r="BA91" i="15" s="1"/>
  <c r="C91" i="15"/>
  <c r="E91" i="15" s="1"/>
  <c r="E91" i="14"/>
  <c r="BW91" i="13"/>
  <c r="BY91" i="13" s="1"/>
  <c r="AA91" i="13"/>
  <c r="AC91" i="13" s="1"/>
  <c r="C91" i="13"/>
  <c r="E91" i="13" s="1"/>
  <c r="AC100" i="14"/>
  <c r="BA100" i="14"/>
  <c r="CU100" i="16"/>
  <c r="CW100" i="16" s="1"/>
  <c r="BW100" i="16"/>
  <c r="BY100" i="16" s="1"/>
  <c r="AY100" i="16"/>
  <c r="BA100" i="16" s="1"/>
  <c r="AA100" i="16"/>
  <c r="AC100" i="16" s="1"/>
  <c r="C100" i="16"/>
  <c r="E100" i="16" s="1"/>
  <c r="CU100" i="15"/>
  <c r="CW100" i="15" s="1"/>
  <c r="BW100" i="15"/>
  <c r="BY100" i="15" s="1"/>
  <c r="AY100" i="15"/>
  <c r="BA100" i="15" s="1"/>
  <c r="AA100" i="15"/>
  <c r="AC100" i="15" s="1"/>
  <c r="C100" i="15"/>
  <c r="E100" i="15" s="1"/>
  <c r="CU100" i="13"/>
  <c r="CW100" i="13" s="1"/>
  <c r="BW100" i="13"/>
  <c r="BY100" i="13" s="1"/>
  <c r="AY100" i="13"/>
  <c r="BA100" i="13" s="1"/>
  <c r="AA100" i="13"/>
  <c r="AC100" i="13" s="1"/>
  <c r="C100" i="13"/>
  <c r="E100" i="13" s="1"/>
  <c r="BY97" i="14"/>
  <c r="C97" i="13"/>
  <c r="E97" i="13" s="1"/>
  <c r="CU97" i="16"/>
  <c r="CW97" i="16" s="1"/>
  <c r="BW97" i="16"/>
  <c r="BY97" i="16" s="1"/>
  <c r="AY97" i="16"/>
  <c r="BA97" i="16" s="1"/>
  <c r="AA97" i="16"/>
  <c r="AC97" i="16" s="1"/>
  <c r="C97" i="16"/>
  <c r="E97" i="16" s="1"/>
  <c r="CU97" i="15"/>
  <c r="CW97" i="15" s="1"/>
  <c r="BW97" i="15"/>
  <c r="BY97" i="15" s="1"/>
  <c r="AY97" i="15"/>
  <c r="BA97" i="15" s="1"/>
  <c r="AA97" i="15"/>
  <c r="AC97" i="15" s="1"/>
  <c r="C97" i="15"/>
  <c r="E97" i="15" s="1"/>
  <c r="CU97" i="13"/>
  <c r="CW97" i="13" s="1"/>
  <c r="BW97" i="13"/>
  <c r="BY97" i="13" s="1"/>
  <c r="AY97" i="13"/>
  <c r="BA97" i="13" s="1"/>
  <c r="AA97" i="13"/>
  <c r="AC97" i="13" s="1"/>
  <c r="CW103" i="14"/>
  <c r="BY103" i="14"/>
  <c r="C103" i="13"/>
  <c r="E103" i="13" s="1"/>
  <c r="BW103" i="16"/>
  <c r="BY103" i="16" s="1"/>
  <c r="AA103" i="16"/>
  <c r="AC103" i="16" s="1"/>
  <c r="CU103" i="15"/>
  <c r="CW103" i="15" s="1"/>
  <c r="AY103" i="15"/>
  <c r="BA103" i="15" s="1"/>
  <c r="C103" i="15"/>
  <c r="E103" i="15" s="1"/>
  <c r="E103" i="14"/>
  <c r="BW103" i="13"/>
  <c r="BY103" i="13" s="1"/>
  <c r="AA103" i="13"/>
  <c r="AC103" i="13" s="1"/>
  <c r="CU103" i="16"/>
  <c r="CW103" i="16" s="1"/>
  <c r="AY103" i="16"/>
  <c r="BA103" i="16" s="1"/>
  <c r="C103" i="16"/>
  <c r="E103" i="16" s="1"/>
  <c r="BW103" i="15"/>
  <c r="BY103" i="15" s="1"/>
  <c r="AA103" i="15"/>
  <c r="AC103" i="15" s="1"/>
  <c r="CU103" i="13"/>
  <c r="CW103" i="13" s="1"/>
  <c r="AY103" i="13"/>
  <c r="BA103" i="13" s="1"/>
  <c r="E43" i="10"/>
  <c r="F43" i="10" s="1"/>
  <c r="Z43" i="10" s="1"/>
  <c r="E51" i="10"/>
  <c r="F51" i="10" s="1"/>
  <c r="Z51" i="10" s="1"/>
  <c r="E54" i="10"/>
  <c r="F54" i="10" s="1"/>
  <c r="Z54" i="10" s="1"/>
  <c r="E44" i="10"/>
  <c r="F44" i="10" s="1"/>
  <c r="Z44" i="10" s="1"/>
  <c r="E52" i="10"/>
  <c r="F52" i="10" s="1"/>
  <c r="Z52" i="10" s="1"/>
  <c r="E45" i="10"/>
  <c r="F45" i="10" s="1"/>
  <c r="Z45" i="10" s="1"/>
  <c r="E53" i="10"/>
  <c r="F53" i="10" s="1"/>
  <c r="Z53" i="10" s="1"/>
  <c r="E46" i="10"/>
  <c r="F46" i="10" s="1"/>
  <c r="Z46" i="10" s="1"/>
  <c r="E47" i="10"/>
  <c r="F47" i="10" s="1"/>
  <c r="Z47" i="10" s="1"/>
  <c r="E41" i="10"/>
  <c r="F41" i="10" s="1"/>
  <c r="Z41" i="10" s="1"/>
  <c r="E50" i="10"/>
  <c r="F50" i="10" s="1"/>
  <c r="Z50" i="10" s="1"/>
  <c r="E40" i="10"/>
  <c r="F40" i="10" s="1"/>
  <c r="Z40" i="10" s="1"/>
  <c r="E48" i="10"/>
  <c r="F48" i="10" s="1"/>
  <c r="Z48" i="10" s="1"/>
  <c r="E49" i="10"/>
  <c r="F49" i="10" s="1"/>
  <c r="Z49" i="10" s="1"/>
  <c r="E42" i="10"/>
  <c r="F42" i="10" s="1"/>
  <c r="Z42" i="10" s="1"/>
  <c r="K65" i="2"/>
  <c r="K67" i="2" s="1"/>
  <c r="J67" i="2"/>
  <c r="Y65" i="2"/>
  <c r="Y67" i="2" s="1"/>
  <c r="X67" i="2"/>
  <c r="F56" i="22" s="1"/>
  <c r="R65" i="2"/>
  <c r="R67" i="2" s="1"/>
  <c r="Q67" i="2"/>
  <c r="AF65" i="2"/>
  <c r="AF67" i="2" s="1"/>
  <c r="AE67" i="2"/>
  <c r="AF44" i="2"/>
  <c r="AF64" i="2" s="1"/>
  <c r="S22" i="14" l="1"/>
  <c r="S23" i="14" s="1"/>
  <c r="S24" i="14" s="1"/>
  <c r="CU25" i="14"/>
  <c r="CW25" i="14" s="1"/>
  <c r="DK25" i="14" s="1"/>
  <c r="AA25" i="14"/>
  <c r="AC25" i="14" s="1"/>
  <c r="AQ25" i="14" s="1"/>
  <c r="BW25" i="14"/>
  <c r="BY25" i="14" s="1"/>
  <c r="CM25" i="14" s="1"/>
  <c r="AY25" i="14"/>
  <c r="BA25" i="14" s="1"/>
  <c r="BO25" i="14" s="1"/>
  <c r="E25" i="14"/>
  <c r="CU26" i="14"/>
  <c r="CW26" i="14" s="1"/>
  <c r="BW26" i="14"/>
  <c r="BY26" i="14" s="1"/>
  <c r="AY26" i="14"/>
  <c r="BA26" i="14" s="1"/>
  <c r="AA26" i="14"/>
  <c r="AC26" i="14" s="1"/>
  <c r="E26" i="14"/>
  <c r="CU27" i="14"/>
  <c r="CW27" i="14" s="1"/>
  <c r="BW27" i="14"/>
  <c r="BY27" i="14" s="1"/>
  <c r="AY27" i="14"/>
  <c r="BA27" i="14" s="1"/>
  <c r="AA27" i="14"/>
  <c r="AC27" i="14" s="1"/>
  <c r="E27" i="14"/>
  <c r="Y64" i="2"/>
  <c r="U22" i="8" s="1"/>
  <c r="Q22" i="8"/>
  <c r="K22" i="2"/>
  <c r="DB128" i="16"/>
  <c r="J128" i="16"/>
  <c r="AH128" i="15"/>
  <c r="BF128" i="14"/>
  <c r="CD128" i="13"/>
  <c r="CD128" i="16"/>
  <c r="DB128" i="15"/>
  <c r="J128" i="15"/>
  <c r="AH128" i="14"/>
  <c r="BF128" i="13"/>
  <c r="BF128" i="16"/>
  <c r="CD128" i="15"/>
  <c r="DB128" i="14"/>
  <c r="J128" i="14"/>
  <c r="AH128" i="13"/>
  <c r="AH128" i="16"/>
  <c r="J128" i="13"/>
  <c r="BF128" i="15"/>
  <c r="CD128" i="14"/>
  <c r="DB128" i="13"/>
  <c r="W22" i="8"/>
  <c r="S91" i="15"/>
  <c r="S92" i="15" s="1"/>
  <c r="S93" i="15" s="1"/>
  <c r="CM91" i="15"/>
  <c r="CM92" i="15" s="1"/>
  <c r="CM93" i="15" s="1"/>
  <c r="G56" i="22"/>
  <c r="DB103" i="16"/>
  <c r="J103" i="16"/>
  <c r="AH103" i="15"/>
  <c r="BF103" i="14"/>
  <c r="CD103" i="13"/>
  <c r="BF103" i="16"/>
  <c r="CD103" i="15"/>
  <c r="DB103" i="14"/>
  <c r="J103" i="14"/>
  <c r="AH103" i="13"/>
  <c r="CD103" i="16"/>
  <c r="J103" i="15"/>
  <c r="BF103" i="13"/>
  <c r="DB103" i="15"/>
  <c r="AH103" i="14"/>
  <c r="AH103" i="16"/>
  <c r="J103" i="13"/>
  <c r="CD103" i="14"/>
  <c r="DB103" i="13"/>
  <c r="BF103" i="15"/>
  <c r="AQ91" i="13"/>
  <c r="AQ92" i="13" s="1"/>
  <c r="AQ93" i="13" s="1"/>
  <c r="BO91" i="15"/>
  <c r="BO92" i="15" s="1"/>
  <c r="BO93" i="15" s="1"/>
  <c r="BO91" i="13"/>
  <c r="BO92" i="13" s="1"/>
  <c r="BO93" i="13" s="1"/>
  <c r="S91" i="16"/>
  <c r="S92" i="16" s="1"/>
  <c r="S93" i="16" s="1"/>
  <c r="S94" i="16" s="1"/>
  <c r="S95" i="16" s="1"/>
  <c r="S96" i="16" s="1"/>
  <c r="AQ91" i="14"/>
  <c r="AQ92" i="14" s="1"/>
  <c r="AQ93" i="14" s="1"/>
  <c r="CM91" i="13"/>
  <c r="CM92" i="13" s="1"/>
  <c r="CM93" i="13" s="1"/>
  <c r="DK91" i="15"/>
  <c r="DK92" i="15" s="1"/>
  <c r="DK93" i="15" s="1"/>
  <c r="DK91" i="13"/>
  <c r="DK92" i="13" s="1"/>
  <c r="DK93" i="13" s="1"/>
  <c r="BO91" i="16"/>
  <c r="BO92" i="16" s="1"/>
  <c r="BO93" i="16" s="1"/>
  <c r="BO91" i="14"/>
  <c r="BO92" i="14" s="1"/>
  <c r="BO93" i="14" s="1"/>
  <c r="S91" i="13"/>
  <c r="S92" i="13" s="1"/>
  <c r="S93" i="13" s="1"/>
  <c r="CM91" i="16"/>
  <c r="CM92" i="16" s="1"/>
  <c r="CM93" i="16" s="1"/>
  <c r="CM91" i="14"/>
  <c r="CM92" i="14" s="1"/>
  <c r="CM93" i="14" s="1"/>
  <c r="S91" i="14"/>
  <c r="S92" i="14" s="1"/>
  <c r="S93" i="14" s="1"/>
  <c r="AQ91" i="16"/>
  <c r="AQ92" i="16" s="1"/>
  <c r="AQ93" i="16" s="1"/>
  <c r="AQ91" i="15"/>
  <c r="AQ92" i="15" s="1"/>
  <c r="AQ93" i="15" s="1"/>
  <c r="DK91" i="16"/>
  <c r="DK92" i="16" s="1"/>
  <c r="DK93" i="16" s="1"/>
  <c r="DK91" i="14"/>
  <c r="DK92" i="14" s="1"/>
  <c r="DK93" i="14" s="1"/>
  <c r="F48" i="22"/>
  <c r="F49" i="22"/>
  <c r="F50" i="22"/>
  <c r="F39" i="22"/>
  <c r="V28" i="10"/>
  <c r="D56" i="22"/>
  <c r="V54" i="10"/>
  <c r="E56" i="22"/>
  <c r="J53" i="13"/>
  <c r="CD53" i="13"/>
  <c r="J53" i="14"/>
  <c r="DB53" i="15"/>
  <c r="DB53" i="14"/>
  <c r="J53" i="16"/>
  <c r="DB53" i="16"/>
  <c r="CD53" i="15"/>
  <c r="BF53" i="13"/>
  <c r="AH53" i="15"/>
  <c r="CD53" i="16"/>
  <c r="BF53" i="15"/>
  <c r="CD53" i="14"/>
  <c r="AH53" i="16"/>
  <c r="AH53" i="14"/>
  <c r="BF53" i="16"/>
  <c r="BF53" i="14"/>
  <c r="J53" i="15"/>
  <c r="DB53" i="13"/>
  <c r="AH53" i="13"/>
  <c r="V106" i="10"/>
  <c r="CD27" i="15"/>
  <c r="DB27" i="15"/>
  <c r="CD27" i="16"/>
  <c r="DB27" i="14"/>
  <c r="BF27" i="16"/>
  <c r="AH27" i="14"/>
  <c r="J27" i="13"/>
  <c r="CD27" i="14"/>
  <c r="J27" i="15"/>
  <c r="AH27" i="16"/>
  <c r="BF27" i="15"/>
  <c r="DB27" i="13"/>
  <c r="DB27" i="16"/>
  <c r="CD27" i="13"/>
  <c r="BF27" i="14"/>
  <c r="J27" i="16"/>
  <c r="AH27" i="15"/>
  <c r="J27" i="14"/>
  <c r="AH27" i="13"/>
  <c r="BF27" i="13"/>
  <c r="V80" i="10"/>
  <c r="CE26" i="15"/>
  <c r="CE18" i="15"/>
  <c r="DC24" i="15"/>
  <c r="DC21" i="15"/>
  <c r="CE15" i="15"/>
  <c r="DC17" i="15"/>
  <c r="CE25" i="15"/>
  <c r="DC22" i="15"/>
  <c r="CE16" i="16"/>
  <c r="BG23" i="14"/>
  <c r="CE14" i="14"/>
  <c r="AI26" i="16"/>
  <c r="K17" i="15"/>
  <c r="AI25" i="13"/>
  <c r="DC15" i="14"/>
  <c r="DC18" i="16"/>
  <c r="CE21" i="14"/>
  <c r="DC23" i="13"/>
  <c r="BG25" i="16"/>
  <c r="K17" i="16"/>
  <c r="BG17" i="15"/>
  <c r="K13" i="15"/>
  <c r="BG15" i="13"/>
  <c r="CE25" i="16"/>
  <c r="CE13" i="14"/>
  <c r="DC19" i="14"/>
  <c r="CE14" i="13"/>
  <c r="AI16" i="16"/>
  <c r="BG24" i="15"/>
  <c r="AI18" i="15"/>
  <c r="BG17" i="13"/>
  <c r="BG14" i="14"/>
  <c r="DC13" i="14"/>
  <c r="DC22" i="13"/>
  <c r="K15" i="16"/>
  <c r="AI19" i="15"/>
  <c r="AI13" i="15"/>
  <c r="BG14" i="13"/>
  <c r="DC20" i="16"/>
  <c r="DC18" i="14"/>
  <c r="CE22" i="14"/>
  <c r="BG26" i="16"/>
  <c r="K14" i="16"/>
  <c r="AI17" i="14"/>
  <c r="K17" i="13"/>
  <c r="BG26" i="15"/>
  <c r="AI14" i="16"/>
  <c r="BG25" i="13"/>
  <c r="BG24" i="14"/>
  <c r="K20" i="16"/>
  <c r="AI17" i="15"/>
  <c r="AI19" i="14"/>
  <c r="AI20" i="13"/>
  <c r="K15" i="13"/>
  <c r="CE26" i="16"/>
  <c r="AI16" i="15"/>
  <c r="K24" i="16"/>
  <c r="K23" i="14"/>
  <c r="CE24" i="16"/>
  <c r="CE26" i="14"/>
  <c r="K20" i="15"/>
  <c r="CE16" i="13"/>
  <c r="BG17" i="16"/>
  <c r="K26" i="13"/>
  <c r="K18" i="13"/>
  <c r="DC23" i="14"/>
  <c r="CE23" i="14"/>
  <c r="CE18" i="14"/>
  <c r="K22" i="16"/>
  <c r="AI21" i="16"/>
  <c r="K25" i="14"/>
  <c r="BG19" i="13"/>
  <c r="CE18" i="16"/>
  <c r="K26" i="16"/>
  <c r="K16" i="16"/>
  <c r="BG22" i="15"/>
  <c r="K21" i="15"/>
  <c r="K26" i="14"/>
  <c r="BG21" i="13"/>
  <c r="DC16" i="16"/>
  <c r="W69" i="10"/>
  <c r="AB69" i="10" s="1"/>
  <c r="W72" i="10"/>
  <c r="AB72" i="10" s="1"/>
  <c r="W73" i="10"/>
  <c r="AB73" i="10" s="1"/>
  <c r="W71" i="10"/>
  <c r="AB71" i="10" s="1"/>
  <c r="W67" i="10"/>
  <c r="AB67" i="10" s="1"/>
  <c r="W75" i="10"/>
  <c r="AB75" i="10" s="1"/>
  <c r="AE16" i="10"/>
  <c r="AE17" i="10" s="1"/>
  <c r="AE18" i="10" s="1"/>
  <c r="AE39" i="10"/>
  <c r="BO26" i="14" l="1"/>
  <c r="BO27" i="14" s="1"/>
  <c r="J160" i="14" s="1"/>
  <c r="S25" i="14"/>
  <c r="S26" i="14" s="1"/>
  <c r="S27" i="14" s="1"/>
  <c r="H160" i="14" s="1"/>
  <c r="CM26" i="14"/>
  <c r="CM27" i="14" s="1"/>
  <c r="K160" i="14" s="1"/>
  <c r="AQ26" i="14"/>
  <c r="AQ27" i="14" s="1"/>
  <c r="I160" i="14" s="1"/>
  <c r="DK26" i="14"/>
  <c r="DK27" i="14" s="1"/>
  <c r="L160" i="14" s="1"/>
  <c r="F51" i="22"/>
  <c r="F43" i="22"/>
  <c r="F38" i="22"/>
  <c r="F47" i="22"/>
  <c r="CE24" i="15"/>
  <c r="CE16" i="15"/>
  <c r="CE17" i="15"/>
  <c r="CE21" i="15"/>
  <c r="CE14" i="16"/>
  <c r="BG19" i="14"/>
  <c r="BH19" i="14" s="1"/>
  <c r="DC19" i="13"/>
  <c r="DD19" i="13" s="1"/>
  <c r="AI15" i="16"/>
  <c r="AI15" i="14"/>
  <c r="BG22" i="13"/>
  <c r="DC22" i="16"/>
  <c r="DD22" i="16" s="1"/>
  <c r="BG18" i="14"/>
  <c r="DC21" i="14"/>
  <c r="CE17" i="14"/>
  <c r="DC21" i="13"/>
  <c r="DD21" i="13" s="1"/>
  <c r="K25" i="16"/>
  <c r="L25" i="16" s="1"/>
  <c r="BG14" i="16"/>
  <c r="K15" i="15"/>
  <c r="K27" i="14"/>
  <c r="L27" i="14" s="1"/>
  <c r="AI18" i="13"/>
  <c r="CE21" i="16"/>
  <c r="DC19" i="16"/>
  <c r="DD19" i="16" s="1"/>
  <c r="DC17" i="14"/>
  <c r="BG22" i="16"/>
  <c r="BG13" i="16"/>
  <c r="K23" i="15"/>
  <c r="L23" i="15" s="1"/>
  <c r="AI19" i="13"/>
  <c r="CE16" i="14"/>
  <c r="CE19" i="14"/>
  <c r="DC20" i="13"/>
  <c r="AI25" i="16"/>
  <c r="K13" i="16"/>
  <c r="K18" i="15"/>
  <c r="L18" i="15" s="1"/>
  <c r="AI26" i="14"/>
  <c r="AI14" i="13"/>
  <c r="CE20" i="16"/>
  <c r="CF20" i="16" s="1"/>
  <c r="CE18" i="13"/>
  <c r="CF18" i="13" s="1"/>
  <c r="AI19" i="16"/>
  <c r="BG16" i="15"/>
  <c r="BH16" i="15" s="1"/>
  <c r="AI16" i="13"/>
  <c r="K13" i="13"/>
  <c r="L13" i="13" s="1"/>
  <c r="K22" i="14"/>
  <c r="CE22" i="16"/>
  <c r="CE27" i="13"/>
  <c r="K18" i="16"/>
  <c r="L18" i="16" s="1"/>
  <c r="K14" i="15"/>
  <c r="L14" i="15" s="1"/>
  <c r="AI18" i="14"/>
  <c r="K27" i="13"/>
  <c r="BG23" i="16"/>
  <c r="CE15" i="14"/>
  <c r="AI23" i="13"/>
  <c r="BG20" i="16"/>
  <c r="BH20" i="16" s="1"/>
  <c r="K21" i="14"/>
  <c r="L21" i="14" s="1"/>
  <c r="CE15" i="16"/>
  <c r="CF15" i="16" s="1"/>
  <c r="DC16" i="13"/>
  <c r="DC23" i="16"/>
  <c r="DD23" i="16" s="1"/>
  <c r="AI23" i="16"/>
  <c r="BG25" i="15"/>
  <c r="K24" i="13"/>
  <c r="L24" i="13" s="1"/>
  <c r="K16" i="13"/>
  <c r="BG20" i="14"/>
  <c r="DC15" i="13"/>
  <c r="DD15" i="13" s="1"/>
  <c r="BG23" i="15"/>
  <c r="K16" i="14"/>
  <c r="BG17" i="14"/>
  <c r="K27" i="15"/>
  <c r="L27" i="15" s="1"/>
  <c r="AI20" i="15"/>
  <c r="BG16" i="13"/>
  <c r="BH16" i="13" s="1"/>
  <c r="W77" i="10"/>
  <c r="W70" i="10"/>
  <c r="AB70" i="10" s="1"/>
  <c r="W66" i="10"/>
  <c r="AB66" i="10" s="1"/>
  <c r="W68" i="10"/>
  <c r="F52" i="22"/>
  <c r="F45" i="22"/>
  <c r="F44" i="22"/>
  <c r="DC16" i="15"/>
  <c r="DC13" i="15"/>
  <c r="CE27" i="15"/>
  <c r="DC24" i="16"/>
  <c r="DC14" i="14"/>
  <c r="DD14" i="14" s="1"/>
  <c r="BG13" i="14"/>
  <c r="BH13" i="14" s="1"/>
  <c r="DC13" i="13"/>
  <c r="K24" i="15"/>
  <c r="AI14" i="14"/>
  <c r="BG13" i="13"/>
  <c r="CE20" i="14"/>
  <c r="BG27" i="14"/>
  <c r="DC27" i="13"/>
  <c r="CE25" i="13"/>
  <c r="BG21" i="16"/>
  <c r="AI16" i="14"/>
  <c r="AI26" i="13"/>
  <c r="CE17" i="16"/>
  <c r="CF17" i="16" s="1"/>
  <c r="DC26" i="14"/>
  <c r="DD26" i="14" s="1"/>
  <c r="CE24" i="14"/>
  <c r="K21" i="16"/>
  <c r="AI27" i="15"/>
  <c r="AJ27" i="15" s="1"/>
  <c r="AI24" i="14"/>
  <c r="AI27" i="13"/>
  <c r="AJ27" i="13" s="1"/>
  <c r="DC26" i="16"/>
  <c r="DC26" i="13"/>
  <c r="DD26" i="13" s="1"/>
  <c r="CE21" i="13"/>
  <c r="CF21" i="13" s="1"/>
  <c r="AI18" i="16"/>
  <c r="K24" i="14"/>
  <c r="AI22" i="13"/>
  <c r="DC25" i="14"/>
  <c r="BG22" i="14"/>
  <c r="CE15" i="13"/>
  <c r="AI17" i="16"/>
  <c r="AI23" i="14"/>
  <c r="K25" i="13"/>
  <c r="L25" i="13" s="1"/>
  <c r="K23" i="16"/>
  <c r="BG20" i="13"/>
  <c r="K20" i="14"/>
  <c r="L20" i="14" s="1"/>
  <c r="CE13" i="16"/>
  <c r="CF13" i="16" s="1"/>
  <c r="CE24" i="13"/>
  <c r="AI13" i="16"/>
  <c r="AI21" i="14"/>
  <c r="BG26" i="13"/>
  <c r="BH26" i="13" s="1"/>
  <c r="K23" i="13"/>
  <c r="BG18" i="13"/>
  <c r="BH18" i="13" s="1"/>
  <c r="CE26" i="13"/>
  <c r="K22" i="15"/>
  <c r="L22" i="15" s="1"/>
  <c r="K19" i="14"/>
  <c r="DC22" i="14"/>
  <c r="DC14" i="13"/>
  <c r="DC14" i="16"/>
  <c r="DD14" i="16" s="1"/>
  <c r="BG19" i="16"/>
  <c r="K14" i="14"/>
  <c r="K22" i="13"/>
  <c r="K14" i="13"/>
  <c r="BG15" i="14"/>
  <c r="BG24" i="16"/>
  <c r="K15" i="14"/>
  <c r="DC17" i="13"/>
  <c r="AI15" i="13"/>
  <c r="W79" i="10"/>
  <c r="AB79" i="10" s="1"/>
  <c r="W78" i="10"/>
  <c r="W74" i="10"/>
  <c r="AB74" i="10" s="1"/>
  <c r="W76" i="10"/>
  <c r="AB76" i="10" s="1"/>
  <c r="F40" i="22"/>
  <c r="F41" i="22"/>
  <c r="F42" i="22"/>
  <c r="F46" i="22"/>
  <c r="CE20" i="15"/>
  <c r="DC27" i="15"/>
  <c r="DC23" i="15"/>
  <c r="DD23" i="15" s="1"/>
  <c r="CE19" i="15"/>
  <c r="DC15" i="16"/>
  <c r="BG25" i="14"/>
  <c r="CE25" i="14"/>
  <c r="CE20" i="13"/>
  <c r="CF20" i="13" s="1"/>
  <c r="BG21" i="15"/>
  <c r="K13" i="14"/>
  <c r="AI17" i="13"/>
  <c r="CE23" i="16"/>
  <c r="DC25" i="16"/>
  <c r="BG21" i="14"/>
  <c r="DC25" i="13"/>
  <c r="CE17" i="13"/>
  <c r="CF17" i="13" s="1"/>
  <c r="BG18" i="16"/>
  <c r="AI22" i="15"/>
  <c r="BG24" i="13"/>
  <c r="DC13" i="16"/>
  <c r="BG16" i="14"/>
  <c r="DC24" i="14"/>
  <c r="CE22" i="13"/>
  <c r="CF22" i="13" s="1"/>
  <c r="AI20" i="16"/>
  <c r="K26" i="15"/>
  <c r="L26" i="15" s="1"/>
  <c r="AI13" i="14"/>
  <c r="AJ13" i="14" s="1"/>
  <c r="CE19" i="16"/>
  <c r="DC17" i="16"/>
  <c r="DC24" i="13"/>
  <c r="CE13" i="13"/>
  <c r="CF13" i="13" s="1"/>
  <c r="BG15" i="16"/>
  <c r="BH15" i="16" s="1"/>
  <c r="AI24" i="15"/>
  <c r="K17" i="14"/>
  <c r="DC20" i="14"/>
  <c r="CE27" i="14"/>
  <c r="AI27" i="16"/>
  <c r="BG16" i="16"/>
  <c r="AI22" i="14"/>
  <c r="K21" i="13"/>
  <c r="L21" i="13" s="1"/>
  <c r="DC18" i="13"/>
  <c r="DD18" i="13" s="1"/>
  <c r="CE23" i="13"/>
  <c r="K18" i="14"/>
  <c r="DC16" i="14"/>
  <c r="AI24" i="16"/>
  <c r="AI23" i="15"/>
  <c r="AI20" i="14"/>
  <c r="BG23" i="13"/>
  <c r="BH23" i="13" s="1"/>
  <c r="K19" i="13"/>
  <c r="AI21" i="13"/>
  <c r="AI21" i="15"/>
  <c r="AI25" i="14"/>
  <c r="AJ25" i="14" s="1"/>
  <c r="AI24" i="13"/>
  <c r="AJ24" i="13" s="1"/>
  <c r="BG26" i="14"/>
  <c r="BH26" i="14" s="1"/>
  <c r="AI22" i="16"/>
  <c r="AJ22" i="16" s="1"/>
  <c r="CE19" i="13"/>
  <c r="K19" i="16"/>
  <c r="AI13" i="13"/>
  <c r="K20" i="13"/>
  <c r="DC21" i="16"/>
  <c r="DD21" i="16" s="1"/>
  <c r="DC103" i="16"/>
  <c r="CE102" i="16"/>
  <c r="BG101" i="16"/>
  <c r="BH101" i="16" s="1"/>
  <c r="AI100" i="16"/>
  <c r="K99" i="16"/>
  <c r="L99" i="16" s="1"/>
  <c r="DC98" i="15"/>
  <c r="DD98" i="15" s="1"/>
  <c r="CE97" i="15"/>
  <c r="BG96" i="15"/>
  <c r="AI95" i="15"/>
  <c r="AJ95" i="15" s="1"/>
  <c r="K94" i="15"/>
  <c r="DC93" i="14"/>
  <c r="DD93" i="14" s="1"/>
  <c r="CE92" i="14"/>
  <c r="BG91" i="14"/>
  <c r="AI90" i="14"/>
  <c r="K89" i="14"/>
  <c r="L89" i="14" s="1"/>
  <c r="CE103" i="13"/>
  <c r="BG102" i="13"/>
  <c r="AI101" i="13"/>
  <c r="K93" i="13"/>
  <c r="DC97" i="16"/>
  <c r="CE96" i="16"/>
  <c r="BG95" i="16"/>
  <c r="AI94" i="16"/>
  <c r="K93" i="16"/>
  <c r="DC92" i="15"/>
  <c r="CE91" i="15"/>
  <c r="BG90" i="15"/>
  <c r="AI89" i="15"/>
  <c r="DC103" i="14"/>
  <c r="CE102" i="14"/>
  <c r="CF102" i="14" s="1"/>
  <c r="BG101" i="14"/>
  <c r="AI100" i="14"/>
  <c r="K99" i="14"/>
  <c r="DC98" i="13"/>
  <c r="CE97" i="13"/>
  <c r="BG96" i="13"/>
  <c r="AI95" i="13"/>
  <c r="K99" i="13"/>
  <c r="L99" i="13" s="1"/>
  <c r="CE97" i="16"/>
  <c r="AI95" i="16"/>
  <c r="DC93" i="15"/>
  <c r="BG91" i="15"/>
  <c r="K89" i="15"/>
  <c r="BG102" i="14"/>
  <c r="K100" i="14"/>
  <c r="CE98" i="13"/>
  <c r="AI96" i="13"/>
  <c r="DC94" i="16"/>
  <c r="BG92" i="16"/>
  <c r="K90" i="16"/>
  <c r="L90" i="16" s="1"/>
  <c r="BG103" i="15"/>
  <c r="K101" i="15"/>
  <c r="CE99" i="14"/>
  <c r="AI97" i="14"/>
  <c r="DC95" i="13"/>
  <c r="BG93" i="13"/>
  <c r="K100" i="13"/>
  <c r="K100" i="16"/>
  <c r="AI96" i="15"/>
  <c r="BG92" i="14"/>
  <c r="BG103" i="13"/>
  <c r="BH103" i="13" s="1"/>
  <c r="CE95" i="16"/>
  <c r="DC91" i="15"/>
  <c r="DC102" i="14"/>
  <c r="K98" i="14"/>
  <c r="AI94" i="13"/>
  <c r="BG90" i="16"/>
  <c r="BG101" i="15"/>
  <c r="CE97" i="14"/>
  <c r="DC93" i="13"/>
  <c r="DD93" i="13" s="1"/>
  <c r="K102" i="13"/>
  <c r="CE100" i="13"/>
  <c r="AI103" i="14"/>
  <c r="K91" i="15"/>
  <c r="CE94" i="15"/>
  <c r="DC99" i="16"/>
  <c r="CE98" i="16"/>
  <c r="BG97" i="16"/>
  <c r="AI96" i="16"/>
  <c r="K95" i="16"/>
  <c r="L95" i="16" s="1"/>
  <c r="DC94" i="15"/>
  <c r="CE93" i="15"/>
  <c r="BG92" i="15"/>
  <c r="AI91" i="15"/>
  <c r="K90" i="15"/>
  <c r="DC89" i="14"/>
  <c r="DD89" i="14" s="1"/>
  <c r="BG103" i="14"/>
  <c r="AI102" i="14"/>
  <c r="K101" i="14"/>
  <c r="DC100" i="13"/>
  <c r="CE99" i="13"/>
  <c r="BG98" i="13"/>
  <c r="AI97" i="13"/>
  <c r="K97" i="13"/>
  <c r="DC93" i="16"/>
  <c r="CE92" i="16"/>
  <c r="BG91" i="16"/>
  <c r="AI90" i="16"/>
  <c r="AJ90" i="16" s="1"/>
  <c r="K89" i="16"/>
  <c r="L89" i="16" s="1"/>
  <c r="CE103" i="15"/>
  <c r="BG102" i="15"/>
  <c r="AI101" i="15"/>
  <c r="K100" i="15"/>
  <c r="DC99" i="14"/>
  <c r="CE98" i="14"/>
  <c r="BG97" i="14"/>
  <c r="AI96" i="14"/>
  <c r="K95" i="14"/>
  <c r="DC94" i="13"/>
  <c r="CE93" i="13"/>
  <c r="BG92" i="13"/>
  <c r="AI91" i="13"/>
  <c r="K103" i="13"/>
  <c r="CE89" i="16"/>
  <c r="CF89" i="16" s="1"/>
  <c r="K102" i="16"/>
  <c r="L102" i="16" s="1"/>
  <c r="CE100" i="15"/>
  <c r="AI98" i="15"/>
  <c r="DC96" i="14"/>
  <c r="DD96" i="14" s="1"/>
  <c r="BG94" i="14"/>
  <c r="K92" i="14"/>
  <c r="CE90" i="13"/>
  <c r="K96" i="13"/>
  <c r="CE101" i="16"/>
  <c r="CF101" i="16" s="1"/>
  <c r="AI99" i="16"/>
  <c r="DC97" i="15"/>
  <c r="BG95" i="15"/>
  <c r="K93" i="15"/>
  <c r="CE91" i="14"/>
  <c r="AI89" i="14"/>
  <c r="CE102" i="13"/>
  <c r="CF102" i="13" s="1"/>
  <c r="AI100" i="13"/>
  <c r="CE103" i="16"/>
  <c r="DC99" i="15"/>
  <c r="DD99" i="15" s="1"/>
  <c r="K95" i="15"/>
  <c r="AI91" i="14"/>
  <c r="AI102" i="13"/>
  <c r="BG94" i="16"/>
  <c r="CE90" i="15"/>
  <c r="CE101" i="14"/>
  <c r="DC97" i="13"/>
  <c r="K98" i="13"/>
  <c r="AI89" i="16"/>
  <c r="AJ89" i="16" s="1"/>
  <c r="AI100" i="15"/>
  <c r="BG96" i="14"/>
  <c r="CE92" i="13"/>
  <c r="AI97" i="16"/>
  <c r="DC100" i="16"/>
  <c r="BG99" i="13"/>
  <c r="BH99" i="13" s="1"/>
  <c r="K102" i="14"/>
  <c r="DC90" i="14"/>
  <c r="DD90" i="14" s="1"/>
  <c r="DC95" i="16"/>
  <c r="DD95" i="16" s="1"/>
  <c r="CE94" i="16"/>
  <c r="BG93" i="16"/>
  <c r="BH93" i="16" s="1"/>
  <c r="AI92" i="16"/>
  <c r="AJ92" i="16" s="1"/>
  <c r="K91" i="16"/>
  <c r="DC90" i="15"/>
  <c r="DD90" i="15" s="1"/>
  <c r="CE89" i="15"/>
  <c r="AI103" i="15"/>
  <c r="K102" i="15"/>
  <c r="DC101" i="14"/>
  <c r="CE100" i="14"/>
  <c r="BG99" i="14"/>
  <c r="AI98" i="14"/>
  <c r="K97" i="14"/>
  <c r="DC96" i="13"/>
  <c r="DD96" i="13" s="1"/>
  <c r="CE95" i="13"/>
  <c r="CF95" i="13" s="1"/>
  <c r="BG94" i="13"/>
  <c r="AI93" i="13"/>
  <c r="AJ93" i="13" s="1"/>
  <c r="K101" i="13"/>
  <c r="L101" i="13" s="1"/>
  <c r="DC89" i="16"/>
  <c r="DD89" i="16" s="1"/>
  <c r="BG103" i="16"/>
  <c r="AI102" i="16"/>
  <c r="K101" i="16"/>
  <c r="L101" i="16" s="1"/>
  <c r="DC100" i="15"/>
  <c r="CE99" i="15"/>
  <c r="BG98" i="15"/>
  <c r="BH98" i="15" s="1"/>
  <c r="AI97" i="15"/>
  <c r="K96" i="15"/>
  <c r="L96" i="15" s="1"/>
  <c r="DC95" i="14"/>
  <c r="DD95" i="14" s="1"/>
  <c r="CE94" i="14"/>
  <c r="BG93" i="14"/>
  <c r="BH93" i="14" s="1"/>
  <c r="AI92" i="14"/>
  <c r="AJ92" i="14" s="1"/>
  <c r="K91" i="14"/>
  <c r="DC90" i="13"/>
  <c r="CE89" i="13"/>
  <c r="CF89" i="13" s="1"/>
  <c r="AI103" i="13"/>
  <c r="K91" i="13"/>
  <c r="DC98" i="16"/>
  <c r="BG96" i="16"/>
  <c r="BH96" i="16" s="1"/>
  <c r="K94" i="16"/>
  <c r="CE92" i="15"/>
  <c r="AI90" i="15"/>
  <c r="AJ90" i="15" s="1"/>
  <c r="CE103" i="14"/>
  <c r="AI101" i="14"/>
  <c r="AJ101" i="14" s="1"/>
  <c r="DC99" i="13"/>
  <c r="DD99" i="13" s="1"/>
  <c r="BG97" i="13"/>
  <c r="K89" i="13"/>
  <c r="L89" i="13" s="1"/>
  <c r="CE93" i="16"/>
  <c r="CF93" i="16" s="1"/>
  <c r="AI91" i="16"/>
  <c r="DC89" i="15"/>
  <c r="AI102" i="15"/>
  <c r="AJ102" i="15" s="1"/>
  <c r="DC100" i="14"/>
  <c r="BG98" i="14"/>
  <c r="K96" i="14"/>
  <c r="L96" i="14" s="1"/>
  <c r="CE94" i="13"/>
  <c r="AI92" i="13"/>
  <c r="BG102" i="16"/>
  <c r="CE98" i="15"/>
  <c r="DC94" i="14"/>
  <c r="K90" i="14"/>
  <c r="L90" i="14" s="1"/>
  <c r="K90" i="13"/>
  <c r="AI93" i="16"/>
  <c r="BG89" i="15"/>
  <c r="BH89" i="15" s="1"/>
  <c r="BG100" i="14"/>
  <c r="CE96" i="13"/>
  <c r="CF96" i="13" s="1"/>
  <c r="DC92" i="16"/>
  <c r="DD92" i="16" s="1"/>
  <c r="DC103" i="15"/>
  <c r="K99" i="15"/>
  <c r="L99" i="15" s="1"/>
  <c r="AI95" i="14"/>
  <c r="BG91" i="13"/>
  <c r="BG93" i="15"/>
  <c r="K96" i="16"/>
  <c r="CE99" i="16"/>
  <c r="AI98" i="13"/>
  <c r="DC101" i="13"/>
  <c r="DC91" i="16"/>
  <c r="CE90" i="16"/>
  <c r="BG89" i="16"/>
  <c r="BH89" i="16" s="1"/>
  <c r="K103" i="16"/>
  <c r="DC102" i="15"/>
  <c r="DD102" i="15" s="1"/>
  <c r="CE101" i="15"/>
  <c r="BG100" i="15"/>
  <c r="AI99" i="15"/>
  <c r="K98" i="15"/>
  <c r="L98" i="15" s="1"/>
  <c r="DC97" i="14"/>
  <c r="CE96" i="14"/>
  <c r="BG95" i="14"/>
  <c r="BH95" i="14" s="1"/>
  <c r="AI94" i="14"/>
  <c r="K93" i="14"/>
  <c r="DC92" i="13"/>
  <c r="DD92" i="13" s="1"/>
  <c r="CE91" i="13"/>
  <c r="BG90" i="13"/>
  <c r="BH90" i="13" s="1"/>
  <c r="AI89" i="13"/>
  <c r="DC101" i="16"/>
  <c r="CE100" i="16"/>
  <c r="BG99" i="16"/>
  <c r="BH99" i="16" s="1"/>
  <c r="AI98" i="16"/>
  <c r="K97" i="16"/>
  <c r="DC96" i="15"/>
  <c r="CE95" i="15"/>
  <c r="BG94" i="15"/>
  <c r="AI93" i="15"/>
  <c r="K92" i="15"/>
  <c r="DC91" i="14"/>
  <c r="CE90" i="14"/>
  <c r="BG89" i="14"/>
  <c r="DC102" i="13"/>
  <c r="CE101" i="13"/>
  <c r="BG100" i="13"/>
  <c r="AI99" i="13"/>
  <c r="K95" i="13"/>
  <c r="DC90" i="16"/>
  <c r="AI103" i="16"/>
  <c r="DC101" i="15"/>
  <c r="BG99" i="15"/>
  <c r="BH99" i="15" s="1"/>
  <c r="K97" i="15"/>
  <c r="CE95" i="14"/>
  <c r="AI93" i="14"/>
  <c r="DC91" i="13"/>
  <c r="BG89" i="13"/>
  <c r="DC102" i="16"/>
  <c r="BG100" i="16"/>
  <c r="K98" i="16"/>
  <c r="CE96" i="15"/>
  <c r="AI94" i="15"/>
  <c r="DC92" i="14"/>
  <c r="BG90" i="14"/>
  <c r="BH90" i="14" s="1"/>
  <c r="DC103" i="13"/>
  <c r="BG101" i="13"/>
  <c r="K92" i="13"/>
  <c r="AI101" i="16"/>
  <c r="AJ101" i="16" s="1"/>
  <c r="BG97" i="15"/>
  <c r="CE93" i="14"/>
  <c r="DC89" i="13"/>
  <c r="DC96" i="16"/>
  <c r="DD96" i="16" s="1"/>
  <c r="K92" i="16"/>
  <c r="L92" i="16" s="1"/>
  <c r="K103" i="15"/>
  <c r="L103" i="15" s="1"/>
  <c r="AI99" i="14"/>
  <c r="BG95" i="13"/>
  <c r="BH95" i="13" s="1"/>
  <c r="CE91" i="16"/>
  <c r="CE102" i="15"/>
  <c r="DC98" i="14"/>
  <c r="K94" i="14"/>
  <c r="AI90" i="13"/>
  <c r="CE89" i="14"/>
  <c r="CF89" i="14" s="1"/>
  <c r="AI92" i="15"/>
  <c r="DC95" i="15"/>
  <c r="DD95" i="15" s="1"/>
  <c r="BG98" i="16"/>
  <c r="K94" i="13"/>
  <c r="K103" i="14"/>
  <c r="CE27" i="16"/>
  <c r="W80" i="10"/>
  <c r="CM94" i="16"/>
  <c r="CM95" i="16" s="1"/>
  <c r="CM96" i="16" s="1"/>
  <c r="CM97" i="16" s="1"/>
  <c r="CM98" i="16" s="1"/>
  <c r="CM99" i="16" s="1"/>
  <c r="CM100" i="16" s="1"/>
  <c r="CM101" i="16" s="1"/>
  <c r="CM102" i="16" s="1"/>
  <c r="CM103" i="16" s="1"/>
  <c r="Z160" i="16" s="1"/>
  <c r="DK94" i="13"/>
  <c r="DK95" i="13" s="1"/>
  <c r="DK96" i="13" s="1"/>
  <c r="DK97" i="13" s="1"/>
  <c r="DK98" i="13" s="1"/>
  <c r="DK99" i="13" s="1"/>
  <c r="DK100" i="13" s="1"/>
  <c r="DK101" i="13" s="1"/>
  <c r="DK102" i="13" s="1"/>
  <c r="DK103" i="13" s="1"/>
  <c r="AA160" i="13" s="1"/>
  <c r="K27" i="16"/>
  <c r="L27" i="16" s="1"/>
  <c r="G51" i="22"/>
  <c r="G41" i="22"/>
  <c r="G48" i="22"/>
  <c r="G45" i="22"/>
  <c r="DC44" i="14"/>
  <c r="CE42" i="14"/>
  <c r="CF42" i="14" s="1"/>
  <c r="DC45" i="13"/>
  <c r="DD45" i="13" s="1"/>
  <c r="BG43" i="13"/>
  <c r="BH43" i="13" s="1"/>
  <c r="K42" i="16"/>
  <c r="AI49" i="14"/>
  <c r="K41" i="14"/>
  <c r="L41" i="14" s="1"/>
  <c r="BG41" i="16"/>
  <c r="CE51" i="13"/>
  <c r="CF51" i="13" s="1"/>
  <c r="DC53" i="14"/>
  <c r="DD53" i="14" s="1"/>
  <c r="DC42" i="13"/>
  <c r="DD42" i="13" s="1"/>
  <c r="BG40" i="13"/>
  <c r="AI47" i="14"/>
  <c r="AJ47" i="14" s="1"/>
  <c r="DC48" i="14"/>
  <c r="DD48" i="14" s="1"/>
  <c r="DC51" i="16"/>
  <c r="DC43" i="16"/>
  <c r="DD43" i="16" s="1"/>
  <c r="CE46" i="16"/>
  <c r="CF46" i="16" s="1"/>
  <c r="BG47" i="16"/>
  <c r="BH47" i="16" s="1"/>
  <c r="DC46" i="14"/>
  <c r="DD46" i="14" s="1"/>
  <c r="DC52" i="13"/>
  <c r="K52" i="16"/>
  <c r="L52" i="16" s="1"/>
  <c r="K50" i="14"/>
  <c r="L50" i="14" s="1"/>
  <c r="K42" i="14"/>
  <c r="DC41" i="16"/>
  <c r="DC49" i="13"/>
  <c r="CE43" i="14"/>
  <c r="DC51" i="13"/>
  <c r="BG51" i="13"/>
  <c r="K44" i="16"/>
  <c r="AI49" i="13"/>
  <c r="DC48" i="16"/>
  <c r="CE51" i="16"/>
  <c r="CF51" i="16" s="1"/>
  <c r="CE43" i="16"/>
  <c r="BG39" i="16"/>
  <c r="BH39" i="16" s="1"/>
  <c r="CE46" i="14"/>
  <c r="BG44" i="13"/>
  <c r="AI39" i="16"/>
  <c r="AI51" i="14"/>
  <c r="AJ51" i="14" s="1"/>
  <c r="AI44" i="13"/>
  <c r="K46" i="13"/>
  <c r="L46" i="13" s="1"/>
  <c r="AI41" i="15"/>
  <c r="AI42" i="16"/>
  <c r="AI43" i="13"/>
  <c r="AI40" i="14"/>
  <c r="AJ40" i="14" s="1"/>
  <c r="AI51" i="13"/>
  <c r="BG50" i="14"/>
  <c r="BH50" i="14" s="1"/>
  <c r="K50" i="16"/>
  <c r="L50" i="16" s="1"/>
  <c r="K46" i="14"/>
  <c r="L46" i="14" s="1"/>
  <c r="AI46" i="13"/>
  <c r="K40" i="16"/>
  <c r="L40" i="16" s="1"/>
  <c r="K47" i="13"/>
  <c r="L47" i="13" s="1"/>
  <c r="BG48" i="13"/>
  <c r="BG51" i="16"/>
  <c r="BH51" i="16" s="1"/>
  <c r="BG53" i="14"/>
  <c r="AI51" i="16"/>
  <c r="K49" i="14"/>
  <c r="BG49" i="16"/>
  <c r="DC43" i="13"/>
  <c r="DD43" i="13" s="1"/>
  <c r="W99" i="10"/>
  <c r="AB99" i="10" s="1"/>
  <c r="W95" i="10"/>
  <c r="W105" i="10"/>
  <c r="G39" i="22"/>
  <c r="G49" i="22"/>
  <c r="G42" i="22"/>
  <c r="DC40" i="16"/>
  <c r="DC42" i="14"/>
  <c r="BG47" i="14"/>
  <c r="DC40" i="13"/>
  <c r="K53" i="16"/>
  <c r="L53" i="16" s="1"/>
  <c r="AI48" i="14"/>
  <c r="AJ48" i="14" s="1"/>
  <c r="K40" i="14"/>
  <c r="CE44" i="13"/>
  <c r="CF44" i="13" s="1"/>
  <c r="CE47" i="14"/>
  <c r="CE42" i="13"/>
  <c r="CF42" i="13" s="1"/>
  <c r="K48" i="16"/>
  <c r="L48" i="16" s="1"/>
  <c r="K43" i="14"/>
  <c r="BG46" i="14"/>
  <c r="DC49" i="16"/>
  <c r="CE52" i="16"/>
  <c r="CF52" i="16" s="1"/>
  <c r="CE44" i="16"/>
  <c r="BG40" i="16"/>
  <c r="CE44" i="14"/>
  <c r="DC47" i="13"/>
  <c r="K47" i="16"/>
  <c r="L47" i="16" s="1"/>
  <c r="K53" i="14"/>
  <c r="AI46" i="14"/>
  <c r="AJ46" i="14" s="1"/>
  <c r="K39" i="14"/>
  <c r="BG50" i="16"/>
  <c r="DC50" i="14"/>
  <c r="DD50" i="14" s="1"/>
  <c r="DC44" i="13"/>
  <c r="BG48" i="14"/>
  <c r="DC46" i="13"/>
  <c r="DD46" i="13" s="1"/>
  <c r="AI48" i="16"/>
  <c r="AI41" i="13"/>
  <c r="DC46" i="16"/>
  <c r="CE49" i="16"/>
  <c r="CE41" i="16"/>
  <c r="CF41" i="16" s="1"/>
  <c r="CE40" i="14"/>
  <c r="AI49" i="16"/>
  <c r="AJ49" i="16" s="1"/>
  <c r="K39" i="16"/>
  <c r="AI43" i="14"/>
  <c r="AJ43" i="14" s="1"/>
  <c r="K52" i="13"/>
  <c r="L52" i="13" s="1"/>
  <c r="K44" i="13"/>
  <c r="AI39" i="14"/>
  <c r="AI39" i="13"/>
  <c r="AJ39" i="13" s="1"/>
  <c r="CE41" i="13"/>
  <c r="AI41" i="16"/>
  <c r="DC41" i="13"/>
  <c r="AI52" i="13"/>
  <c r="BG41" i="14"/>
  <c r="CE51" i="14"/>
  <c r="K43" i="13"/>
  <c r="DC52" i="14"/>
  <c r="AI50" i="16"/>
  <c r="BG42" i="16"/>
  <c r="BG42" i="13"/>
  <c r="K48" i="14"/>
  <c r="L48" i="14" s="1"/>
  <c r="CE45" i="13"/>
  <c r="W98" i="10"/>
  <c r="AB98" i="10" s="1"/>
  <c r="W92" i="10"/>
  <c r="AB92" i="10" s="1"/>
  <c r="W103" i="10"/>
  <c r="AB103" i="10" s="1"/>
  <c r="W96" i="10"/>
  <c r="G46" i="22"/>
  <c r="G47" i="22"/>
  <c r="G43" i="22"/>
  <c r="G44" i="22"/>
  <c r="BG52" i="16"/>
  <c r="DC40" i="14"/>
  <c r="BG44" i="14"/>
  <c r="BH44" i="14" s="1"/>
  <c r="CE52" i="13"/>
  <c r="K49" i="16"/>
  <c r="L49" i="16" s="1"/>
  <c r="AI45" i="14"/>
  <c r="AJ45" i="14" s="1"/>
  <c r="AI48" i="13"/>
  <c r="DC39" i="14"/>
  <c r="BG53" i="16"/>
  <c r="BH53" i="16" s="1"/>
  <c r="BG52" i="14"/>
  <c r="BG50" i="13"/>
  <c r="AI44" i="16"/>
  <c r="AI53" i="13"/>
  <c r="DC39" i="13"/>
  <c r="DC47" i="16"/>
  <c r="CE50" i="16"/>
  <c r="CE42" i="16"/>
  <c r="CF42" i="16" s="1"/>
  <c r="BG43" i="14"/>
  <c r="CE49" i="13"/>
  <c r="AI43" i="16"/>
  <c r="AJ43" i="16" s="1"/>
  <c r="K52" i="14"/>
  <c r="L52" i="14" s="1"/>
  <c r="K45" i="14"/>
  <c r="L45" i="14" s="1"/>
  <c r="AI50" i="13"/>
  <c r="CE49" i="14"/>
  <c r="CE39" i="13"/>
  <c r="CF39" i="13" s="1"/>
  <c r="DC45" i="14"/>
  <c r="DD45" i="14" s="1"/>
  <c r="BG45" i="14"/>
  <c r="CE48" i="13"/>
  <c r="AI47" i="16"/>
  <c r="AJ47" i="16" s="1"/>
  <c r="DC52" i="16"/>
  <c r="DC44" i="16"/>
  <c r="CE47" i="16"/>
  <c r="CF47" i="16" s="1"/>
  <c r="CE39" i="16"/>
  <c r="DC51" i="14"/>
  <c r="DC53" i="13"/>
  <c r="K46" i="16"/>
  <c r="L46" i="16" s="1"/>
  <c r="AI42" i="14"/>
  <c r="K50" i="13"/>
  <c r="L50" i="13" s="1"/>
  <c r="K42" i="13"/>
  <c r="L42" i="13" s="1"/>
  <c r="DC42" i="16"/>
  <c r="K49" i="13"/>
  <c r="L49" i="13" s="1"/>
  <c r="BG41" i="13"/>
  <c r="CE45" i="14"/>
  <c r="CE40" i="13"/>
  <c r="K51" i="13"/>
  <c r="L51" i="13" s="1"/>
  <c r="CE53" i="13"/>
  <c r="AI53" i="14"/>
  <c r="AJ53" i="14" s="1"/>
  <c r="CE50" i="13"/>
  <c r="DC48" i="13"/>
  <c r="DD48" i="13" s="1"/>
  <c r="K47" i="14"/>
  <c r="L47" i="14" s="1"/>
  <c r="BG44" i="16"/>
  <c r="CE41" i="14"/>
  <c r="CF41" i="14" s="1"/>
  <c r="AI46" i="16"/>
  <c r="AI50" i="14"/>
  <c r="AJ50" i="14" s="1"/>
  <c r="DC47" i="14"/>
  <c r="BG39" i="13"/>
  <c r="BH39" i="13" s="1"/>
  <c r="AI41" i="14"/>
  <c r="AJ41" i="14" s="1"/>
  <c r="DC49" i="14"/>
  <c r="AI52" i="16"/>
  <c r="AJ52" i="16" s="1"/>
  <c r="W106" i="10"/>
  <c r="AB106" i="10" s="1"/>
  <c r="W93" i="10"/>
  <c r="AB93" i="10" s="1"/>
  <c r="W97" i="10"/>
  <c r="W104" i="10"/>
  <c r="AB104" i="10" s="1"/>
  <c r="G50" i="22"/>
  <c r="G38" i="22"/>
  <c r="G40" i="22"/>
  <c r="G52" i="22"/>
  <c r="BG43" i="16"/>
  <c r="CE52" i="14"/>
  <c r="DC50" i="13"/>
  <c r="CE47" i="13"/>
  <c r="AI45" i="16"/>
  <c r="AI44" i="14"/>
  <c r="AI40" i="13"/>
  <c r="BG51" i="14"/>
  <c r="BG46" i="16"/>
  <c r="BG49" i="14"/>
  <c r="BG45" i="13"/>
  <c r="K41" i="16"/>
  <c r="AI45" i="13"/>
  <c r="DC53" i="16"/>
  <c r="DC45" i="16"/>
  <c r="CE48" i="16"/>
  <c r="CF48" i="16" s="1"/>
  <c r="CE40" i="16"/>
  <c r="BG40" i="14"/>
  <c r="BG52" i="13"/>
  <c r="K51" i="14"/>
  <c r="K44" i="14"/>
  <c r="AI42" i="13"/>
  <c r="CE39" i="14"/>
  <c r="BG45" i="16"/>
  <c r="CE53" i="14"/>
  <c r="CF53" i="14" s="1"/>
  <c r="BG42" i="14"/>
  <c r="BG53" i="13"/>
  <c r="BH53" i="13" s="1"/>
  <c r="K45" i="16"/>
  <c r="AI42" i="15"/>
  <c r="DC50" i="16"/>
  <c r="CE53" i="16"/>
  <c r="CF53" i="16" s="1"/>
  <c r="CE45" i="16"/>
  <c r="BG48" i="16"/>
  <c r="BH48" i="16" s="1"/>
  <c r="CE48" i="14"/>
  <c r="DC43" i="14"/>
  <c r="BG47" i="13"/>
  <c r="AI40" i="16"/>
  <c r="AI47" i="13"/>
  <c r="K48" i="13"/>
  <c r="L48" i="13" s="1"/>
  <c r="K40" i="13"/>
  <c r="L40" i="13" s="1"/>
  <c r="CE43" i="13"/>
  <c r="K45" i="13"/>
  <c r="K51" i="16"/>
  <c r="L51" i="16" s="1"/>
  <c r="BG46" i="13"/>
  <c r="K43" i="16"/>
  <c r="L43" i="16" s="1"/>
  <c r="K41" i="13"/>
  <c r="BG49" i="13"/>
  <c r="AI52" i="14"/>
  <c r="AJ52" i="14" s="1"/>
  <c r="AI40" i="15"/>
  <c r="CE46" i="13"/>
  <c r="K53" i="13"/>
  <c r="BG39" i="14"/>
  <c r="BH39" i="14" s="1"/>
  <c r="K39" i="13"/>
  <c r="CE50" i="14"/>
  <c r="CF50" i="14" s="1"/>
  <c r="AI53" i="16"/>
  <c r="DC39" i="16"/>
  <c r="DD39" i="16" s="1"/>
  <c r="DC41" i="14"/>
  <c r="DD41" i="14" s="1"/>
  <c r="W101" i="10"/>
  <c r="W100" i="10"/>
  <c r="AB100" i="10" s="1"/>
  <c r="W102" i="10"/>
  <c r="AB102" i="10" s="1"/>
  <c r="W94" i="10"/>
  <c r="I22" i="23"/>
  <c r="CM94" i="14"/>
  <c r="CM95" i="14" s="1"/>
  <c r="CM96" i="14" s="1"/>
  <c r="CM97" i="14" s="1"/>
  <c r="CM98" i="14" s="1"/>
  <c r="CM99" i="14" s="1"/>
  <c r="CM100" i="14" s="1"/>
  <c r="CM101" i="14" s="1"/>
  <c r="CM102" i="14" s="1"/>
  <c r="CM103" i="14" s="1"/>
  <c r="Z160" i="14" s="1"/>
  <c r="S94" i="13"/>
  <c r="S95" i="13" s="1"/>
  <c r="S96" i="13" s="1"/>
  <c r="S97" i="13" s="1"/>
  <c r="S98" i="13" s="1"/>
  <c r="S99" i="13" s="1"/>
  <c r="S100" i="13" s="1"/>
  <c r="S101" i="13" s="1"/>
  <c r="S102" i="13" s="1"/>
  <c r="S103" i="13" s="1"/>
  <c r="W160" i="13" s="1"/>
  <c r="BO94" i="13"/>
  <c r="BO95" i="13" s="1"/>
  <c r="BO96" i="13" s="1"/>
  <c r="BO97" i="13" s="1"/>
  <c r="BO98" i="13" s="1"/>
  <c r="BO99" i="13" s="1"/>
  <c r="BO100" i="13" s="1"/>
  <c r="BO101" i="13" s="1"/>
  <c r="BO102" i="13" s="1"/>
  <c r="BO103" i="13" s="1"/>
  <c r="Y160" i="13" s="1"/>
  <c r="CM94" i="15"/>
  <c r="CM95" i="15" s="1"/>
  <c r="CM96" i="15" s="1"/>
  <c r="CM97" i="15" s="1"/>
  <c r="CM98" i="15" s="1"/>
  <c r="CM99" i="15" s="1"/>
  <c r="CM100" i="15" s="1"/>
  <c r="CM101" i="15" s="1"/>
  <c r="CM102" i="15" s="1"/>
  <c r="CM103" i="15" s="1"/>
  <c r="Z160" i="15" s="1"/>
  <c r="DK94" i="16"/>
  <c r="DK95" i="16" s="1"/>
  <c r="DK96" i="16" s="1"/>
  <c r="DK97" i="16" s="1"/>
  <c r="DK98" i="16" s="1"/>
  <c r="DK99" i="16" s="1"/>
  <c r="DK100" i="16" s="1"/>
  <c r="DK101" i="16" s="1"/>
  <c r="DK102" i="16" s="1"/>
  <c r="DK103" i="16" s="1"/>
  <c r="AA160" i="16" s="1"/>
  <c r="DK94" i="15"/>
  <c r="DK95" i="15" s="1"/>
  <c r="DK96" i="15" s="1"/>
  <c r="DK97" i="15" s="1"/>
  <c r="DK98" i="15" s="1"/>
  <c r="DK99" i="15" s="1"/>
  <c r="DK100" i="15" s="1"/>
  <c r="DK101" i="15" s="1"/>
  <c r="DK102" i="15" s="1"/>
  <c r="DK103" i="15" s="1"/>
  <c r="AA160" i="15" s="1"/>
  <c r="AQ94" i="15"/>
  <c r="AQ95" i="15" s="1"/>
  <c r="AQ96" i="15" s="1"/>
  <c r="AQ97" i="15" s="1"/>
  <c r="AQ98" i="15" s="1"/>
  <c r="AQ99" i="15" s="1"/>
  <c r="AQ100" i="15" s="1"/>
  <c r="AQ101" i="15" s="1"/>
  <c r="AQ102" i="15" s="1"/>
  <c r="AQ103" i="15" s="1"/>
  <c r="X160" i="15" s="1"/>
  <c r="S97" i="16"/>
  <c r="S98" i="16" s="1"/>
  <c r="S99" i="16" s="1"/>
  <c r="S100" i="16" s="1"/>
  <c r="S101" i="16" s="1"/>
  <c r="S102" i="16" s="1"/>
  <c r="S103" i="16" s="1"/>
  <c r="W160" i="16" s="1"/>
  <c r="AQ94" i="14"/>
  <c r="AQ95" i="14" s="1"/>
  <c r="AQ96" i="14" s="1"/>
  <c r="AQ97" i="14" s="1"/>
  <c r="AQ98" i="14" s="1"/>
  <c r="AQ99" i="14" s="1"/>
  <c r="AQ100" i="14" s="1"/>
  <c r="AQ101" i="14" s="1"/>
  <c r="AQ102" i="14" s="1"/>
  <c r="AQ103" i="14" s="1"/>
  <c r="X160" i="14" s="1"/>
  <c r="S94" i="14"/>
  <c r="S95" i="14" s="1"/>
  <c r="S96" i="14" s="1"/>
  <c r="S97" i="14" s="1"/>
  <c r="S98" i="14" s="1"/>
  <c r="S99" i="14" s="1"/>
  <c r="S100" i="14" s="1"/>
  <c r="S101" i="14" s="1"/>
  <c r="S102" i="14" s="1"/>
  <c r="S103" i="14" s="1"/>
  <c r="W160" i="14" s="1"/>
  <c r="S94" i="15"/>
  <c r="S95" i="15" s="1"/>
  <c r="S96" i="15" s="1"/>
  <c r="S97" i="15" s="1"/>
  <c r="S98" i="15" s="1"/>
  <c r="S99" i="15" s="1"/>
  <c r="S100" i="15" s="1"/>
  <c r="S101" i="15" s="1"/>
  <c r="S102" i="15" s="1"/>
  <c r="S103" i="15" s="1"/>
  <c r="W160" i="15" s="1"/>
  <c r="CM94" i="13"/>
  <c r="CM95" i="13" s="1"/>
  <c r="CM96" i="13" s="1"/>
  <c r="CM97" i="13" s="1"/>
  <c r="CM98" i="13" s="1"/>
  <c r="CM99" i="13" s="1"/>
  <c r="CM100" i="13" s="1"/>
  <c r="CM101" i="13" s="1"/>
  <c r="CM102" i="13" s="1"/>
  <c r="CM103" i="13" s="1"/>
  <c r="Z160" i="13" s="1"/>
  <c r="DK94" i="14"/>
  <c r="DK95" i="14" s="1"/>
  <c r="DK96" i="14" s="1"/>
  <c r="DK97" i="14" s="1"/>
  <c r="DK98" i="14" s="1"/>
  <c r="DK99" i="14" s="1"/>
  <c r="DK100" i="14" s="1"/>
  <c r="DK101" i="14" s="1"/>
  <c r="DK102" i="14" s="1"/>
  <c r="DK103" i="14" s="1"/>
  <c r="AA160" i="14" s="1"/>
  <c r="BO94" i="16"/>
  <c r="BO95" i="16" s="1"/>
  <c r="BO96" i="16" s="1"/>
  <c r="BO97" i="16" s="1"/>
  <c r="BO98" i="16" s="1"/>
  <c r="BO99" i="16" s="1"/>
  <c r="BO100" i="16" s="1"/>
  <c r="BO101" i="16" s="1"/>
  <c r="BO102" i="16" s="1"/>
  <c r="BO103" i="16" s="1"/>
  <c r="Y160" i="16" s="1"/>
  <c r="AE19" i="10"/>
  <c r="AE20" i="10" s="1"/>
  <c r="AE21" i="10" s="1"/>
  <c r="AE22" i="10" s="1"/>
  <c r="AE23" i="10" s="1"/>
  <c r="AE24" i="10" s="1"/>
  <c r="AE25" i="10" s="1"/>
  <c r="AE26" i="10" s="1"/>
  <c r="AE27" i="10" s="1"/>
  <c r="AE28" i="10" s="1"/>
  <c r="J6" i="11" s="1"/>
  <c r="AQ94" i="16"/>
  <c r="AQ95" i="16" s="1"/>
  <c r="AQ96" i="16" s="1"/>
  <c r="AQ97" i="16" s="1"/>
  <c r="AQ98" i="16" s="1"/>
  <c r="AQ99" i="16" s="1"/>
  <c r="AQ100" i="16" s="1"/>
  <c r="AQ101" i="16" s="1"/>
  <c r="AQ102" i="16" s="1"/>
  <c r="AQ103" i="16" s="1"/>
  <c r="X160" i="16" s="1"/>
  <c r="BO94" i="14"/>
  <c r="BO95" i="14" s="1"/>
  <c r="BO96" i="14" s="1"/>
  <c r="BO97" i="14" s="1"/>
  <c r="BO98" i="14" s="1"/>
  <c r="BO99" i="14" s="1"/>
  <c r="BO100" i="14" s="1"/>
  <c r="BO101" i="14" s="1"/>
  <c r="BO102" i="14" s="1"/>
  <c r="BO103" i="14" s="1"/>
  <c r="Y160" i="14" s="1"/>
  <c r="AQ94" i="13"/>
  <c r="AQ95" i="13" s="1"/>
  <c r="AQ96" i="13" s="1"/>
  <c r="AQ97" i="13" s="1"/>
  <c r="AQ98" i="13" s="1"/>
  <c r="AQ99" i="13" s="1"/>
  <c r="AQ100" i="13" s="1"/>
  <c r="AQ101" i="13" s="1"/>
  <c r="AQ102" i="13" s="1"/>
  <c r="AQ103" i="13" s="1"/>
  <c r="X160" i="13" s="1"/>
  <c r="BO94" i="15"/>
  <c r="BO95" i="15" s="1"/>
  <c r="BO96" i="15" s="1"/>
  <c r="BO97" i="15" s="1"/>
  <c r="BO98" i="15" s="1"/>
  <c r="BO99" i="15" s="1"/>
  <c r="BO100" i="15" s="1"/>
  <c r="BO101" i="15" s="1"/>
  <c r="BO102" i="15" s="1"/>
  <c r="BO103" i="15" s="1"/>
  <c r="Y160" i="15" s="1"/>
  <c r="BG27" i="13"/>
  <c r="AI27" i="14"/>
  <c r="DC27" i="16"/>
  <c r="DD27" i="16" s="1"/>
  <c r="DC27" i="14"/>
  <c r="DD27" i="14" s="1"/>
  <c r="X67" i="10"/>
  <c r="F63" i="22" s="1"/>
  <c r="L26" i="16"/>
  <c r="BH18" i="16"/>
  <c r="BH20" i="13"/>
  <c r="CF22" i="16"/>
  <c r="X69" i="10"/>
  <c r="F65" i="22" s="1"/>
  <c r="L21" i="15"/>
  <c r="CF18" i="16"/>
  <c r="AJ21" i="16"/>
  <c r="DD23" i="14"/>
  <c r="L26" i="13"/>
  <c r="CF16" i="13"/>
  <c r="CF26" i="14"/>
  <c r="L23" i="14"/>
  <c r="AJ16" i="15"/>
  <c r="L15" i="13"/>
  <c r="AJ19" i="14"/>
  <c r="L20" i="16"/>
  <c r="BH25" i="13"/>
  <c r="BH26" i="15"/>
  <c r="AJ17" i="14"/>
  <c r="BH26" i="16"/>
  <c r="DD18" i="14"/>
  <c r="BH14" i="13"/>
  <c r="AJ19" i="15"/>
  <c r="BG27" i="16"/>
  <c r="DD13" i="14"/>
  <c r="BH17" i="13"/>
  <c r="BH24" i="15"/>
  <c r="CF14" i="13"/>
  <c r="CF13" i="14"/>
  <c r="BH15" i="13"/>
  <c r="BH17" i="15"/>
  <c r="BH25" i="16"/>
  <c r="CF21" i="14"/>
  <c r="DD15" i="14"/>
  <c r="AJ26" i="16"/>
  <c r="BH23" i="14"/>
  <c r="DD22" i="15"/>
  <c r="DD17" i="15"/>
  <c r="DD21" i="15"/>
  <c r="CF18" i="15"/>
  <c r="L26" i="14"/>
  <c r="AJ20" i="16"/>
  <c r="AJ13" i="16"/>
  <c r="AJ17" i="16"/>
  <c r="X71" i="10"/>
  <c r="F67" i="22" s="1"/>
  <c r="BH19" i="13"/>
  <c r="AJ20" i="14"/>
  <c r="AJ24" i="15"/>
  <c r="BH16" i="14"/>
  <c r="DD13" i="13"/>
  <c r="X72" i="10"/>
  <c r="F68" i="22" s="1"/>
  <c r="CF23" i="14"/>
  <c r="DD25" i="16"/>
  <c r="DD15" i="16"/>
  <c r="BH19" i="16"/>
  <c r="L21" i="16"/>
  <c r="BH21" i="16"/>
  <c r="DD13" i="15"/>
  <c r="DD16" i="16"/>
  <c r="L22" i="16"/>
  <c r="AJ22" i="14"/>
  <c r="BH25" i="14"/>
  <c r="CF20" i="15"/>
  <c r="AJ15" i="13"/>
  <c r="L15" i="14"/>
  <c r="L23" i="13"/>
  <c r="CF24" i="13"/>
  <c r="DD16" i="15"/>
  <c r="X70" i="10"/>
  <c r="F66" i="22" s="1"/>
  <c r="BH25" i="15"/>
  <c r="CF15" i="14"/>
  <c r="L22" i="14"/>
  <c r="L13" i="16"/>
  <c r="CF16" i="14"/>
  <c r="BH13" i="16"/>
  <c r="CF21" i="16"/>
  <c r="BH14" i="16"/>
  <c r="DD21" i="14"/>
  <c r="AJ15" i="14"/>
  <c r="CF14" i="16"/>
  <c r="CF24" i="15"/>
  <c r="DD13" i="16"/>
  <c r="BH21" i="15"/>
  <c r="X79" i="10"/>
  <c r="F75" i="22" s="1"/>
  <c r="BH15" i="14"/>
  <c r="L19" i="14"/>
  <c r="AJ22" i="13"/>
  <c r="CF20" i="14"/>
  <c r="BH22" i="15"/>
  <c r="L18" i="14"/>
  <c r="DD17" i="16"/>
  <c r="BH21" i="14"/>
  <c r="L13" i="14"/>
  <c r="X76" i="10"/>
  <c r="F72" i="22" s="1"/>
  <c r="L23" i="16"/>
  <c r="CF15" i="13"/>
  <c r="L24" i="14"/>
  <c r="AJ24" i="14"/>
  <c r="CF25" i="13"/>
  <c r="X75" i="10"/>
  <c r="F71" i="22" s="1"/>
  <c r="X73" i="10"/>
  <c r="F69" i="22" s="1"/>
  <c r="BH21" i="13"/>
  <c r="L16" i="16"/>
  <c r="L25" i="14"/>
  <c r="CF18" i="14"/>
  <c r="L18" i="13"/>
  <c r="BH17" i="16"/>
  <c r="L20" i="15"/>
  <c r="CF24" i="16"/>
  <c r="L24" i="16"/>
  <c r="CF26" i="16"/>
  <c r="AJ20" i="13"/>
  <c r="AJ17" i="15"/>
  <c r="BH24" i="14"/>
  <c r="AJ14" i="16"/>
  <c r="L17" i="13"/>
  <c r="L14" i="16"/>
  <c r="CF22" i="14"/>
  <c r="DD20" i="16"/>
  <c r="AJ13" i="15"/>
  <c r="L15" i="16"/>
  <c r="DD22" i="13"/>
  <c r="BH14" i="14"/>
  <c r="AJ18" i="15"/>
  <c r="AJ16" i="16"/>
  <c r="DD19" i="14"/>
  <c r="CF25" i="16"/>
  <c r="L13" i="15"/>
  <c r="L17" i="16"/>
  <c r="DD23" i="13"/>
  <c r="DD18" i="16"/>
  <c r="AJ25" i="13"/>
  <c r="L17" i="15"/>
  <c r="CF14" i="14"/>
  <c r="CF16" i="16"/>
  <c r="CF25" i="15"/>
  <c r="CF15" i="15"/>
  <c r="DD24" i="15"/>
  <c r="CF26" i="15"/>
  <c r="AE40" i="10"/>
  <c r="AE41" i="10" s="1"/>
  <c r="AE42" i="10" s="1"/>
  <c r="AE43" i="10" s="1"/>
  <c r="AE44" i="10" s="1"/>
  <c r="AE45" i="10" s="1"/>
  <c r="AE46" i="10" s="1"/>
  <c r="AE47" i="10" s="1"/>
  <c r="AE48" i="10" s="1"/>
  <c r="AE49" i="10" s="1"/>
  <c r="AE50" i="10" s="1"/>
  <c r="AE51" i="10" s="1"/>
  <c r="AE52" i="10" s="1"/>
  <c r="AE53" i="10" s="1"/>
  <c r="AE54" i="10" s="1"/>
  <c r="K6" i="11" s="1"/>
  <c r="CF19" i="16" l="1"/>
  <c r="AJ18" i="16"/>
  <c r="CF17" i="15"/>
  <c r="AJ22" i="15"/>
  <c r="AJ21" i="15"/>
  <c r="AJ16" i="14"/>
  <c r="CF24" i="14"/>
  <c r="L14" i="13"/>
  <c r="DD17" i="13"/>
  <c r="CF19" i="15"/>
  <c r="DD20" i="14"/>
  <c r="DD16" i="13"/>
  <c r="DD24" i="16"/>
  <c r="CF17" i="14"/>
  <c r="L19" i="16"/>
  <c r="CF16" i="15"/>
  <c r="CF19" i="14"/>
  <c r="AJ20" i="15"/>
  <c r="BH95" i="15"/>
  <c r="L24" i="15"/>
  <c r="AJ23" i="15"/>
  <c r="CF98" i="13"/>
  <c r="AJ101" i="13"/>
  <c r="CF21" i="15"/>
  <c r="BH22" i="13"/>
  <c r="L15" i="15"/>
  <c r="AJ16" i="13"/>
  <c r="AJ18" i="14"/>
  <c r="BH23" i="15"/>
  <c r="X66" i="10"/>
  <c r="BH95" i="16"/>
  <c r="AJ94" i="13"/>
  <c r="DD25" i="14"/>
  <c r="L91" i="15"/>
  <c r="BH97" i="16"/>
  <c r="DD98" i="13"/>
  <c r="F62" i="22"/>
  <c r="CF23" i="13"/>
  <c r="L16" i="14"/>
  <c r="AJ13" i="13"/>
  <c r="X68" i="10"/>
  <c r="AB68" i="10"/>
  <c r="AJ101" i="15"/>
  <c r="DD102" i="13"/>
  <c r="L97" i="13"/>
  <c r="CF93" i="15"/>
  <c r="X97" i="10"/>
  <c r="AB97" i="10"/>
  <c r="X78" i="10"/>
  <c r="AB78" i="10"/>
  <c r="X94" i="10"/>
  <c r="AB94" i="10"/>
  <c r="X105" i="10"/>
  <c r="AB105" i="10"/>
  <c r="AJ14" i="14"/>
  <c r="AJ21" i="13"/>
  <c r="BH99" i="14"/>
  <c r="AJ92" i="13"/>
  <c r="CF95" i="16"/>
  <c r="L98" i="16"/>
  <c r="CF102" i="16"/>
  <c r="AJ90" i="14"/>
  <c r="L96" i="13"/>
  <c r="BH91" i="15"/>
  <c r="X95" i="10"/>
  <c r="AB95" i="10"/>
  <c r="X80" i="10"/>
  <c r="AB80" i="10"/>
  <c r="X101" i="10"/>
  <c r="AB101" i="10"/>
  <c r="DD100" i="15"/>
  <c r="L96" i="16"/>
  <c r="AJ97" i="14"/>
  <c r="BH102" i="13"/>
  <c r="L94" i="16"/>
  <c r="X96" i="10"/>
  <c r="AB96" i="10"/>
  <c r="X77" i="10"/>
  <c r="AB77" i="10"/>
  <c r="BH16" i="16"/>
  <c r="AJ17" i="13"/>
  <c r="K45" i="15"/>
  <c r="L45" i="15" s="1"/>
  <c r="CE45" i="15"/>
  <c r="AI47" i="15"/>
  <c r="AJ47" i="15" s="1"/>
  <c r="DC40" i="15"/>
  <c r="DD40" i="15" s="1"/>
  <c r="AI50" i="15"/>
  <c r="K48" i="15"/>
  <c r="CE41" i="15"/>
  <c r="CF41" i="15" s="1"/>
  <c r="CE44" i="15"/>
  <c r="BG44" i="15"/>
  <c r="K51" i="15"/>
  <c r="L51" i="15" s="1"/>
  <c r="AI44" i="15"/>
  <c r="AJ44" i="15" s="1"/>
  <c r="K44" i="15"/>
  <c r="L44" i="15" s="1"/>
  <c r="K49" i="15"/>
  <c r="DC49" i="15"/>
  <c r="BG14" i="15"/>
  <c r="K19" i="15"/>
  <c r="BG13" i="15"/>
  <c r="CE23" i="15"/>
  <c r="AI26" i="15"/>
  <c r="K25" i="15"/>
  <c r="L25" i="15" s="1"/>
  <c r="BG27" i="15"/>
  <c r="AI25" i="15"/>
  <c r="DC14" i="15"/>
  <c r="CE22" i="15"/>
  <c r="BG15" i="15"/>
  <c r="DC20" i="15"/>
  <c r="DD20" i="15" s="1"/>
  <c r="DC19" i="15"/>
  <c r="DD19" i="15" s="1"/>
  <c r="AI46" i="15"/>
  <c r="AJ46" i="15" s="1"/>
  <c r="CE52" i="15"/>
  <c r="CF52" i="15" s="1"/>
  <c r="CE39" i="15"/>
  <c r="CF39" i="15" s="1"/>
  <c r="BG53" i="15"/>
  <c r="BH53" i="15" s="1"/>
  <c r="AI39" i="15"/>
  <c r="CE48" i="15"/>
  <c r="DC50" i="15"/>
  <c r="BG49" i="15"/>
  <c r="K39" i="15"/>
  <c r="BG39" i="15"/>
  <c r="BH39" i="15" s="1"/>
  <c r="CF95" i="15"/>
  <c r="L95" i="15"/>
  <c r="AI53" i="15"/>
  <c r="BG50" i="15"/>
  <c r="BG47" i="15"/>
  <c r="K53" i="15"/>
  <c r="K43" i="15"/>
  <c r="L43" i="15" s="1"/>
  <c r="DC45" i="15"/>
  <c r="K41" i="15"/>
  <c r="L41" i="15" s="1"/>
  <c r="BG46" i="15"/>
  <c r="DC47" i="15"/>
  <c r="CE49" i="15"/>
  <c r="CF49" i="15" s="1"/>
  <c r="AI43" i="15"/>
  <c r="K50" i="15"/>
  <c r="L50" i="15" s="1"/>
  <c r="BG48" i="15"/>
  <c r="CE42" i="15"/>
  <c r="DC46" i="15"/>
  <c r="BG40" i="15"/>
  <c r="CE50" i="15"/>
  <c r="CE46" i="15"/>
  <c r="BG52" i="15"/>
  <c r="AI45" i="15"/>
  <c r="K46" i="15"/>
  <c r="DC44" i="15"/>
  <c r="DD44" i="15" s="1"/>
  <c r="K47" i="15"/>
  <c r="L47" i="15" s="1"/>
  <c r="BG43" i="15"/>
  <c r="K42" i="15"/>
  <c r="DC52" i="15"/>
  <c r="CE51" i="15"/>
  <c r="BG45" i="15"/>
  <c r="AI48" i="15"/>
  <c r="BG51" i="15"/>
  <c r="DC42" i="15"/>
  <c r="DD42" i="15" s="1"/>
  <c r="K40" i="15"/>
  <c r="BG41" i="15"/>
  <c r="DC39" i="15"/>
  <c r="CE47" i="15"/>
  <c r="AI49" i="15"/>
  <c r="AJ49" i="15" s="1"/>
  <c r="CE40" i="15"/>
  <c r="DC41" i="15"/>
  <c r="AI52" i="15"/>
  <c r="DC43" i="15"/>
  <c r="DD43" i="15" s="1"/>
  <c r="DC51" i="15"/>
  <c r="DD51" i="15" s="1"/>
  <c r="AI51" i="15"/>
  <c r="AJ51" i="15" s="1"/>
  <c r="BG42" i="15"/>
  <c r="DC48" i="15"/>
  <c r="DC53" i="15"/>
  <c r="K52" i="15"/>
  <c r="CE43" i="15"/>
  <c r="CE53" i="15"/>
  <c r="DC25" i="15"/>
  <c r="DD25" i="15" s="1"/>
  <c r="DC26" i="15"/>
  <c r="K16" i="15"/>
  <c r="L16" i="15" s="1"/>
  <c r="BG18" i="15"/>
  <c r="AI15" i="15"/>
  <c r="BG19" i="15"/>
  <c r="AI14" i="15"/>
  <c r="DC15" i="15"/>
  <c r="DD15" i="15" s="1"/>
  <c r="CE14" i="15"/>
  <c r="BG20" i="15"/>
  <c r="CE13" i="15"/>
  <c r="DC18" i="15"/>
  <c r="AJ26" i="13"/>
  <c r="AJ23" i="13"/>
  <c r="CF93" i="13"/>
  <c r="DD24" i="13"/>
  <c r="L16" i="13"/>
  <c r="AJ23" i="14"/>
  <c r="L19" i="15"/>
  <c r="L14" i="14"/>
  <c r="DD16" i="14"/>
  <c r="DD24" i="14"/>
  <c r="DD25" i="13"/>
  <c r="L20" i="13"/>
  <c r="AJ21" i="14"/>
  <c r="DD17" i="14"/>
  <c r="DD20" i="13"/>
  <c r="AJ26" i="14"/>
  <c r="DD22" i="14"/>
  <c r="CF25" i="14"/>
  <c r="DD26" i="16"/>
  <c r="BH24" i="16"/>
  <c r="L17" i="14"/>
  <c r="L22" i="13"/>
  <c r="X74" i="10"/>
  <c r="F70" i="22" s="1"/>
  <c r="L19" i="13"/>
  <c r="BH24" i="13"/>
  <c r="CF23" i="16"/>
  <c r="AJ24" i="16"/>
  <c r="CF19" i="13"/>
  <c r="BH13" i="13"/>
  <c r="BH22" i="14"/>
  <c r="DD14" i="13"/>
  <c r="AJ15" i="16"/>
  <c r="BH18" i="14"/>
  <c r="AJ18" i="13"/>
  <c r="BH22" i="16"/>
  <c r="AJ19" i="13"/>
  <c r="AJ25" i="16"/>
  <c r="AJ14" i="13"/>
  <c r="AJ19" i="16"/>
  <c r="BH23" i="16"/>
  <c r="AJ23" i="16"/>
  <c r="BH20" i="14"/>
  <c r="BH17" i="14"/>
  <c r="CF26" i="13"/>
  <c r="L94" i="14"/>
  <c r="BH91" i="16"/>
  <c r="BH91" i="14"/>
  <c r="AJ97" i="15"/>
  <c r="CF96" i="16"/>
  <c r="BH97" i="14"/>
  <c r="CF91" i="15"/>
  <c r="L95" i="13"/>
  <c r="L100" i="16"/>
  <c r="DD100" i="13"/>
  <c r="L94" i="15"/>
  <c r="CF90" i="15"/>
  <c r="AJ97" i="16"/>
  <c r="DD91" i="13"/>
  <c r="AJ97" i="13"/>
  <c r="AJ96" i="13"/>
  <c r="L99" i="14"/>
  <c r="AJ95" i="13"/>
  <c r="DD92" i="15"/>
  <c r="CF90" i="13"/>
  <c r="BH93" i="15"/>
  <c r="L89" i="15"/>
  <c r="DD91" i="15"/>
  <c r="AJ94" i="16"/>
  <c r="CF92" i="15"/>
  <c r="BH89" i="13"/>
  <c r="L91" i="16"/>
  <c r="BH102" i="16"/>
  <c r="BH92" i="15"/>
  <c r="CF99" i="13"/>
  <c r="L93" i="13"/>
  <c r="BH101" i="14"/>
  <c r="L102" i="15"/>
  <c r="BH90" i="15"/>
  <c r="AJ96" i="15"/>
  <c r="BH100" i="14"/>
  <c r="CF97" i="16"/>
  <c r="DD91" i="14"/>
  <c r="DD101" i="13"/>
  <c r="AJ98" i="15"/>
  <c r="CF97" i="14"/>
  <c r="L92" i="15"/>
  <c r="CF94" i="13"/>
  <c r="DD97" i="15"/>
  <c r="CF98" i="16"/>
  <c r="CF98" i="14"/>
  <c r="CF100" i="14"/>
  <c r="AJ99" i="14"/>
  <c r="L90" i="15"/>
  <c r="L97" i="15"/>
  <c r="BH94" i="13"/>
  <c r="CF99" i="15"/>
  <c r="L90" i="13"/>
  <c r="AJ98" i="16"/>
  <c r="DD100" i="16"/>
  <c r="CF97" i="13"/>
  <c r="CF27" i="16"/>
  <c r="AJ100" i="13"/>
  <c r="L100" i="15"/>
  <c r="DD90" i="16"/>
  <c r="CF96" i="15"/>
  <c r="BH92" i="13"/>
  <c r="CF97" i="15"/>
  <c r="DD91" i="16"/>
  <c r="DD100" i="14"/>
  <c r="AJ94" i="14"/>
  <c r="BH98" i="14"/>
  <c r="AJ95" i="14"/>
  <c r="BH94" i="14"/>
  <c r="L93" i="14"/>
  <c r="CF90" i="14"/>
  <c r="AJ98" i="14"/>
  <c r="AJ96" i="14"/>
  <c r="CF101" i="14"/>
  <c r="BH103" i="14"/>
  <c r="DD95" i="13"/>
  <c r="AJ89" i="13"/>
  <c r="L102" i="13"/>
  <c r="CF101" i="13"/>
  <c r="AJ90" i="13"/>
  <c r="CF99" i="16"/>
  <c r="CF101" i="15"/>
  <c r="L91" i="13"/>
  <c r="BH90" i="16"/>
  <c r="AJ96" i="16"/>
  <c r="L91" i="14"/>
  <c r="CF90" i="16"/>
  <c r="AJ100" i="15"/>
  <c r="L93" i="15"/>
  <c r="AJ91" i="16"/>
  <c r="DD97" i="14"/>
  <c r="BH94" i="15"/>
  <c r="BH98" i="16"/>
  <c r="DD93" i="16"/>
  <c r="CF91" i="16"/>
  <c r="AJ91" i="14"/>
  <c r="CF94" i="15"/>
  <c r="AJ98" i="13"/>
  <c r="AJ94" i="15"/>
  <c r="BH100" i="13"/>
  <c r="AJ92" i="15"/>
  <c r="AJ99" i="13"/>
  <c r="DD98" i="14"/>
  <c r="BH94" i="16"/>
  <c r="L101" i="14"/>
  <c r="AJ89" i="14"/>
  <c r="CF92" i="13"/>
  <c r="AJ99" i="15"/>
  <c r="DD96" i="15"/>
  <c r="DD92" i="14"/>
  <c r="DD93" i="15"/>
  <c r="BH92" i="16"/>
  <c r="CF99" i="14"/>
  <c r="L98" i="14"/>
  <c r="L102" i="14"/>
  <c r="CF100" i="16"/>
  <c r="L103" i="14"/>
  <c r="CF91" i="13"/>
  <c r="DD94" i="15"/>
  <c r="DD101" i="15"/>
  <c r="AJ93" i="14"/>
  <c r="L92" i="13"/>
  <c r="DD89" i="13"/>
  <c r="DD94" i="13"/>
  <c r="BH102" i="15"/>
  <c r="L98" i="13"/>
  <c r="DD94" i="14"/>
  <c r="L100" i="14"/>
  <c r="BH100" i="16"/>
  <c r="L100" i="13"/>
  <c r="BH100" i="15"/>
  <c r="AJ89" i="15"/>
  <c r="BH101" i="13"/>
  <c r="BH96" i="15"/>
  <c r="BH97" i="15"/>
  <c r="BH89" i="14"/>
  <c r="AJ102" i="14"/>
  <c r="BH98" i="13"/>
  <c r="DD102" i="14"/>
  <c r="BH91" i="13"/>
  <c r="AJ91" i="13"/>
  <c r="L97" i="14"/>
  <c r="AJ100" i="16"/>
  <c r="BH92" i="14"/>
  <c r="CF95" i="14"/>
  <c r="BH102" i="14"/>
  <c r="DD94" i="16"/>
  <c r="DD101" i="14"/>
  <c r="DD90" i="13"/>
  <c r="DD89" i="15"/>
  <c r="CF98" i="15"/>
  <c r="DD99" i="14"/>
  <c r="L92" i="14"/>
  <c r="CF96" i="14"/>
  <c r="DD101" i="16"/>
  <c r="BH96" i="14"/>
  <c r="AJ102" i="16"/>
  <c r="DD98" i="16"/>
  <c r="AJ93" i="16"/>
  <c r="AJ91" i="15"/>
  <c r="BH101" i="15"/>
  <c r="BH97" i="13"/>
  <c r="L97" i="16"/>
  <c r="AJ93" i="15"/>
  <c r="DD102" i="16"/>
  <c r="CF93" i="14"/>
  <c r="CF102" i="15"/>
  <c r="CF94" i="14"/>
  <c r="CF92" i="14"/>
  <c r="L93" i="16"/>
  <c r="BH96" i="13"/>
  <c r="AJ95" i="16"/>
  <c r="L101" i="15"/>
  <c r="BH93" i="13"/>
  <c r="DD99" i="16"/>
  <c r="CF92" i="16"/>
  <c r="AJ99" i="16"/>
  <c r="AJ102" i="13"/>
  <c r="L95" i="14"/>
  <c r="DD97" i="13"/>
  <c r="AJ100" i="14"/>
  <c r="L94" i="13"/>
  <c r="DD97" i="16"/>
  <c r="CF100" i="15"/>
  <c r="CF94" i="16"/>
  <c r="CF100" i="13"/>
  <c r="CF91" i="14"/>
  <c r="AJ48" i="13"/>
  <c r="X98" i="10"/>
  <c r="G68" i="22" s="1"/>
  <c r="AJ50" i="16"/>
  <c r="L53" i="14"/>
  <c r="L42" i="14"/>
  <c r="CF103" i="16"/>
  <c r="CF103" i="15"/>
  <c r="BH52" i="16"/>
  <c r="AJ44" i="16"/>
  <c r="DD51" i="13"/>
  <c r="AJ45" i="16"/>
  <c r="L45" i="13"/>
  <c r="DD103" i="14"/>
  <c r="DD42" i="16"/>
  <c r="BH46" i="14"/>
  <c r="L44" i="13"/>
  <c r="BH40" i="16"/>
  <c r="AJ41" i="16"/>
  <c r="AJ47" i="13"/>
  <c r="BH43" i="14"/>
  <c r="DD52" i="16"/>
  <c r="L103" i="13"/>
  <c r="X102" i="10"/>
  <c r="G72" i="22" s="1"/>
  <c r="DD103" i="16"/>
  <c r="CF103" i="13"/>
  <c r="DD45" i="16"/>
  <c r="AJ51" i="13"/>
  <c r="BH48" i="13"/>
  <c r="L51" i="14"/>
  <c r="BH103" i="15"/>
  <c r="AJ44" i="14"/>
  <c r="DD42" i="14"/>
  <c r="BH46" i="13"/>
  <c r="L49" i="14"/>
  <c r="DD52" i="14"/>
  <c r="AJ39" i="16"/>
  <c r="CF49" i="16"/>
  <c r="CF45" i="13"/>
  <c r="X99" i="10"/>
  <c r="G69" i="22" s="1"/>
  <c r="L44" i="14"/>
  <c r="X100" i="10"/>
  <c r="G70" i="22" s="1"/>
  <c r="L43" i="14"/>
  <c r="CF47" i="13"/>
  <c r="BH42" i="14"/>
  <c r="AJ52" i="13"/>
  <c r="DD49" i="13"/>
  <c r="CF48" i="14"/>
  <c r="BH40" i="13"/>
  <c r="CF39" i="16"/>
  <c r="BH49" i="13"/>
  <c r="CF49" i="14"/>
  <c r="AJ46" i="16"/>
  <c r="CF27" i="14"/>
  <c r="CF47" i="14"/>
  <c r="AJ48" i="16"/>
  <c r="CF41" i="13"/>
  <c r="BH42" i="13"/>
  <c r="DD39" i="13"/>
  <c r="AJ40" i="13"/>
  <c r="L41" i="16"/>
  <c r="BH40" i="14"/>
  <c r="BH45" i="16"/>
  <c r="L39" i="13"/>
  <c r="DD51" i="16"/>
  <c r="CF43" i="14"/>
  <c r="AJ49" i="14"/>
  <c r="AJ46" i="13"/>
  <c r="L43" i="13"/>
  <c r="BH50" i="13"/>
  <c r="CF44" i="16"/>
  <c r="BH50" i="16"/>
  <c r="CF40" i="14"/>
  <c r="CF51" i="14"/>
  <c r="CF50" i="13"/>
  <c r="X104" i="10"/>
  <c r="G74" i="22" s="1"/>
  <c r="AJ49" i="13"/>
  <c r="BH43" i="16"/>
  <c r="DD50" i="16"/>
  <c r="BH46" i="16"/>
  <c r="X103" i="10"/>
  <c r="G73" i="22" s="1"/>
  <c r="CF43" i="13"/>
  <c r="AJ42" i="16"/>
  <c r="AJ51" i="16"/>
  <c r="DD40" i="13"/>
  <c r="BH51" i="14"/>
  <c r="DD49" i="16"/>
  <c r="BH48" i="14"/>
  <c r="BH52" i="13"/>
  <c r="CF52" i="13"/>
  <c r="DD47" i="16"/>
  <c r="BH45" i="14"/>
  <c r="CF45" i="14"/>
  <c r="X93" i="10"/>
  <c r="G63" i="22" s="1"/>
  <c r="BH47" i="14"/>
  <c r="BH41" i="16"/>
  <c r="DD52" i="13"/>
  <c r="DD48" i="16"/>
  <c r="AJ43" i="13"/>
  <c r="BH49" i="16"/>
  <c r="AJ42" i="13"/>
  <c r="DD43" i="14"/>
  <c r="AJ39" i="14"/>
  <c r="DD41" i="16"/>
  <c r="L42" i="16"/>
  <c r="X106" i="10"/>
  <c r="G76" i="22" s="1"/>
  <c r="CF48" i="13"/>
  <c r="BH44" i="16"/>
  <c r="DD44" i="16"/>
  <c r="DD40" i="16"/>
  <c r="DD44" i="13"/>
  <c r="L39" i="16"/>
  <c r="CF46" i="14"/>
  <c r="CF40" i="16"/>
  <c r="CF49" i="13"/>
  <c r="CF52" i="14"/>
  <c r="AJ45" i="13"/>
  <c r="BH41" i="14"/>
  <c r="X92" i="10"/>
  <c r="G62" i="22" s="1"/>
  <c r="L40" i="14"/>
  <c r="CF44" i="14"/>
  <c r="AJ41" i="13"/>
  <c r="CF50" i="16"/>
  <c r="AJ42" i="14"/>
  <c r="DD51" i="14"/>
  <c r="BH49" i="14"/>
  <c r="BH53" i="14"/>
  <c r="DD44" i="14"/>
  <c r="AJ44" i="13"/>
  <c r="AJ50" i="13"/>
  <c r="CF40" i="13"/>
  <c r="BH51" i="13"/>
  <c r="DD49" i="14"/>
  <c r="L45" i="16"/>
  <c r="CF45" i="16"/>
  <c r="BH47" i="13"/>
  <c r="L41" i="13"/>
  <c r="DD47" i="14"/>
  <c r="L39" i="14"/>
  <c r="DD40" i="14"/>
  <c r="DD39" i="14"/>
  <c r="BH52" i="14"/>
  <c r="BH41" i="13"/>
  <c r="BH42" i="16"/>
  <c r="BH45" i="13"/>
  <c r="AJ40" i="16"/>
  <c r="CF46" i="13"/>
  <c r="L44" i="16"/>
  <c r="CF43" i="16"/>
  <c r="BH44" i="13"/>
  <c r="DD50" i="13"/>
  <c r="CF39" i="14"/>
  <c r="DD47" i="13"/>
  <c r="DD46" i="16"/>
  <c r="DD41" i="13"/>
  <c r="AJ103" i="16"/>
  <c r="DD53" i="13"/>
  <c r="CF89" i="15"/>
  <c r="CF27" i="15"/>
  <c r="DD103" i="15"/>
  <c r="L103" i="16"/>
  <c r="CF53" i="13"/>
  <c r="AJ103" i="15"/>
  <c r="BH103" i="16"/>
  <c r="AJ103" i="13"/>
  <c r="CF103" i="14"/>
  <c r="DD103" i="13"/>
  <c r="AJ103" i="14"/>
  <c r="BH27" i="13"/>
  <c r="DD27" i="13"/>
  <c r="AJ53" i="13"/>
  <c r="L53" i="13"/>
  <c r="S16" i="2"/>
  <c r="L16" i="2"/>
  <c r="Z16" i="2"/>
  <c r="E16" i="2"/>
  <c r="AJ27" i="16"/>
  <c r="DD27" i="15"/>
  <c r="DD53" i="16"/>
  <c r="AJ53" i="16"/>
  <c r="AJ27" i="14"/>
  <c r="L27" i="13"/>
  <c r="BH27" i="14"/>
  <c r="CF27" i="13"/>
  <c r="AJ42" i="15"/>
  <c r="AJ41" i="15"/>
  <c r="AJ40" i="15"/>
  <c r="BH27" i="16"/>
  <c r="AA15" i="3"/>
  <c r="V103" i="3"/>
  <c r="V61" i="3"/>
  <c r="V15" i="3"/>
  <c r="R125" i="3"/>
  <c r="Q133" i="3"/>
  <c r="Q89" i="3"/>
  <c r="Q56" i="3"/>
  <c r="Q48" i="3"/>
  <c r="Q32" i="3"/>
  <c r="L133" i="3"/>
  <c r="L104" i="3"/>
  <c r="L103" i="3"/>
  <c r="L84" i="3"/>
  <c r="L80" i="3"/>
  <c r="L57" i="3"/>
  <c r="L32" i="3"/>
  <c r="L25" i="3"/>
  <c r="L15" i="3"/>
  <c r="G133" i="3"/>
  <c r="G104" i="3"/>
  <c r="G103" i="3"/>
  <c r="G84" i="3"/>
  <c r="G80" i="3"/>
  <c r="G57" i="3"/>
  <c r="G32" i="3"/>
  <c r="G25" i="3"/>
  <c r="BH45" i="15" l="1"/>
  <c r="AJ39" i="15"/>
  <c r="L53" i="15"/>
  <c r="BH46" i="15"/>
  <c r="AJ50" i="15"/>
  <c r="L49" i="15"/>
  <c r="BH43" i="15"/>
  <c r="CF44" i="15"/>
  <c r="AJ45" i="15"/>
  <c r="CF47" i="15"/>
  <c r="BH40" i="15"/>
  <c r="L39" i="15"/>
  <c r="BH42" i="15"/>
  <c r="DD53" i="15"/>
  <c r="L48" i="15"/>
  <c r="CF13" i="15"/>
  <c r="CF22" i="15"/>
  <c r="BH15" i="15"/>
  <c r="DD46" i="15"/>
  <c r="BH41" i="15"/>
  <c r="DD50" i="15"/>
  <c r="CF23" i="15"/>
  <c r="CF45" i="15"/>
  <c r="CF40" i="15"/>
  <c r="BH14" i="15"/>
  <c r="AJ43" i="15"/>
  <c r="BH19" i="15"/>
  <c r="DD41" i="15"/>
  <c r="CF51" i="15"/>
  <c r="BH50" i="15"/>
  <c r="DD45" i="15"/>
  <c r="DD39" i="15"/>
  <c r="L52" i="15"/>
  <c r="BH51" i="15"/>
  <c r="AJ15" i="15"/>
  <c r="BH20" i="15"/>
  <c r="DD26" i="15"/>
  <c r="BH47" i="15"/>
  <c r="BH52" i="15"/>
  <c r="CF42" i="15"/>
  <c r="DD49" i="15"/>
  <c r="CF14" i="15"/>
  <c r="AJ25" i="15"/>
  <c r="DD47" i="15"/>
  <c r="AJ48" i="15"/>
  <c r="BH44" i="15"/>
  <c r="L42" i="15"/>
  <c r="L40" i="15"/>
  <c r="DD48" i="15"/>
  <c r="G67" i="22"/>
  <c r="CF48" i="15"/>
  <c r="CF50" i="15"/>
  <c r="CF53" i="15"/>
  <c r="AJ53" i="15"/>
  <c r="BH27" i="15"/>
  <c r="BH13" i="15"/>
  <c r="AJ26" i="15"/>
  <c r="G66" i="22"/>
  <c r="G71" i="22"/>
  <c r="G65" i="22"/>
  <c r="G64" i="22"/>
  <c r="F74" i="22"/>
  <c r="F73" i="22"/>
  <c r="F76" i="22"/>
  <c r="G75" i="22"/>
  <c r="F64" i="22"/>
  <c r="BH18" i="15"/>
  <c r="DD52" i="15"/>
  <c r="CF46" i="15"/>
  <c r="BH48" i="15"/>
  <c r="BH49" i="15"/>
  <c r="DD18" i="15"/>
  <c r="L46" i="15"/>
  <c r="AJ52" i="15"/>
  <c r="CF43" i="15"/>
  <c r="DD14" i="15"/>
  <c r="AJ14" i="15"/>
  <c r="X103" i="3"/>
  <c r="D16" i="9" l="1"/>
  <c r="L16" i="9" s="1"/>
  <c r="D24" i="9"/>
  <c r="L24" i="9" s="1"/>
  <c r="D17" i="9"/>
  <c r="L17" i="9" s="1"/>
  <c r="D25" i="9"/>
  <c r="L25" i="9" s="1"/>
  <c r="D18" i="9"/>
  <c r="L18" i="9" s="1"/>
  <c r="D26" i="9"/>
  <c r="L26" i="9" s="1"/>
  <c r="D19" i="9"/>
  <c r="L19" i="9" s="1"/>
  <c r="D15" i="9"/>
  <c r="L15" i="9" s="1"/>
  <c r="D23" i="9"/>
  <c r="L23" i="9" s="1"/>
  <c r="D27" i="9"/>
  <c r="L27" i="9" s="1"/>
  <c r="D28" i="9"/>
  <c r="L28" i="9" s="1"/>
  <c r="D21" i="9"/>
  <c r="L21" i="9" s="1"/>
  <c r="D13" i="9"/>
  <c r="L13" i="9" s="1"/>
  <c r="D22" i="9"/>
  <c r="L22" i="9" s="1"/>
  <c r="D14" i="9"/>
  <c r="L14" i="9" s="1"/>
  <c r="D20" i="9"/>
  <c r="L20" i="9" s="1"/>
  <c r="D93" i="9"/>
  <c r="L93" i="9" s="1"/>
  <c r="D101" i="9"/>
  <c r="L101" i="9" s="1"/>
  <c r="D96" i="9"/>
  <c r="L96" i="9" s="1"/>
  <c r="D94" i="9"/>
  <c r="L94" i="9" s="1"/>
  <c r="D102" i="9"/>
  <c r="L102" i="9" s="1"/>
  <c r="D95" i="9"/>
  <c r="L95" i="9" s="1"/>
  <c r="D103" i="9"/>
  <c r="L103" i="9" s="1"/>
  <c r="D92" i="9"/>
  <c r="L92" i="9" s="1"/>
  <c r="D100" i="9"/>
  <c r="L100" i="9" s="1"/>
  <c r="D104" i="9"/>
  <c r="L104" i="9" s="1"/>
  <c r="D97" i="9"/>
  <c r="L97" i="9" s="1"/>
  <c r="D99" i="9"/>
  <c r="L99" i="9" s="1"/>
  <c r="D105" i="9"/>
  <c r="L105" i="9" s="1"/>
  <c r="D91" i="9"/>
  <c r="L91" i="9" s="1"/>
  <c r="D106" i="9"/>
  <c r="L106" i="9" s="1"/>
  <c r="D98" i="9"/>
  <c r="L98" i="9" s="1"/>
  <c r="D42" i="9"/>
  <c r="L42" i="9" s="1"/>
  <c r="D50" i="9"/>
  <c r="L50" i="9" s="1"/>
  <c r="D45" i="9"/>
  <c r="L45" i="9" s="1"/>
  <c r="D43" i="9"/>
  <c r="L43" i="9" s="1"/>
  <c r="D51" i="9"/>
  <c r="L51" i="9" s="1"/>
  <c r="D44" i="9"/>
  <c r="L44" i="9" s="1"/>
  <c r="D52" i="9"/>
  <c r="L52" i="9" s="1"/>
  <c r="D41" i="9"/>
  <c r="L41" i="9" s="1"/>
  <c r="D49" i="9"/>
  <c r="L49" i="9" s="1"/>
  <c r="D53" i="9"/>
  <c r="L53" i="9" s="1"/>
  <c r="D47" i="9"/>
  <c r="L47" i="9" s="1"/>
  <c r="D48" i="9"/>
  <c r="L48" i="9" s="1"/>
  <c r="D46" i="9"/>
  <c r="L46" i="9" s="1"/>
  <c r="D54" i="9"/>
  <c r="L54" i="9" s="1"/>
  <c r="D39" i="9"/>
  <c r="L39" i="9" s="1"/>
  <c r="D40" i="9"/>
  <c r="L40" i="9" s="1"/>
  <c r="D119" i="9"/>
  <c r="L119" i="9" s="1"/>
  <c r="D127" i="9"/>
  <c r="L127" i="9" s="1"/>
  <c r="D130" i="9"/>
  <c r="L130" i="9" s="1"/>
  <c r="D120" i="9"/>
  <c r="L120" i="9" s="1"/>
  <c r="D128" i="9"/>
  <c r="L128" i="9" s="1"/>
  <c r="D122" i="9"/>
  <c r="L122" i="9" s="1"/>
  <c r="D121" i="9"/>
  <c r="L121" i="9" s="1"/>
  <c r="D129" i="9"/>
  <c r="L129" i="9" s="1"/>
  <c r="D118" i="9"/>
  <c r="L118" i="9" s="1"/>
  <c r="D126" i="9"/>
  <c r="L126" i="9" s="1"/>
  <c r="D117" i="9"/>
  <c r="L117" i="9" s="1"/>
  <c r="D132" i="9"/>
  <c r="L132" i="9" s="1"/>
  <c r="D123" i="9"/>
  <c r="L123" i="9" s="1"/>
  <c r="D124" i="9"/>
  <c r="L124" i="9" s="1"/>
  <c r="D125" i="9"/>
  <c r="L125" i="9" s="1"/>
  <c r="D131" i="9"/>
  <c r="L131" i="9" s="1"/>
  <c r="D68" i="9"/>
  <c r="L68" i="9" s="1"/>
  <c r="D76" i="9"/>
  <c r="L76" i="9" s="1"/>
  <c r="D69" i="9"/>
  <c r="L69" i="9" s="1"/>
  <c r="D77" i="9"/>
  <c r="L77" i="9" s="1"/>
  <c r="D79" i="9"/>
  <c r="L79" i="9" s="1"/>
  <c r="D70" i="9"/>
  <c r="L70" i="9" s="1"/>
  <c r="D78" i="9"/>
  <c r="L78" i="9" s="1"/>
  <c r="D71" i="9"/>
  <c r="L71" i="9" s="1"/>
  <c r="D67" i="9"/>
  <c r="L67" i="9" s="1"/>
  <c r="D75" i="9"/>
  <c r="L75" i="9" s="1"/>
  <c r="D66" i="9"/>
  <c r="L66" i="9" s="1"/>
  <c r="D73" i="9"/>
  <c r="L73" i="9" s="1"/>
  <c r="D74" i="9"/>
  <c r="L74" i="9" s="1"/>
  <c r="D80" i="9"/>
  <c r="L80" i="9" s="1"/>
  <c r="D65" i="9"/>
  <c r="L65" i="9" s="1"/>
  <c r="D72" i="9"/>
  <c r="L72" i="9" s="1"/>
  <c r="H71" i="1"/>
  <c r="G71" i="1"/>
  <c r="F71" i="1"/>
  <c r="E71" i="1"/>
  <c r="I71" i="1"/>
  <c r="AF10" i="2"/>
  <c r="Y10" i="2"/>
  <c r="F138" i="15" l="1"/>
  <c r="CX138" i="14"/>
  <c r="F138" i="14"/>
  <c r="BZ138" i="16"/>
  <c r="AD138" i="16"/>
  <c r="F138" i="16"/>
  <c r="BZ138" i="15"/>
  <c r="BZ138" i="14"/>
  <c r="AD138" i="14"/>
  <c r="CX138" i="13"/>
  <c r="AD138" i="15"/>
  <c r="BB138" i="14"/>
  <c r="BZ138" i="13"/>
  <c r="F138" i="13"/>
  <c r="CX138" i="15"/>
  <c r="BB138" i="15"/>
  <c r="AD138" i="13"/>
  <c r="BB138" i="13"/>
  <c r="CX138" i="16"/>
  <c r="BB138" i="16"/>
  <c r="CX145" i="16"/>
  <c r="BZ145" i="16"/>
  <c r="AD145" i="16"/>
  <c r="F145" i="16"/>
  <c r="BZ145" i="15"/>
  <c r="AD145" i="15"/>
  <c r="AD145" i="14"/>
  <c r="BB145" i="16"/>
  <c r="CX145" i="15"/>
  <c r="BB145" i="15"/>
  <c r="BZ145" i="14"/>
  <c r="CX145" i="13"/>
  <c r="BZ145" i="13"/>
  <c r="F145" i="13"/>
  <c r="CX145" i="14"/>
  <c r="BB145" i="14"/>
  <c r="BB145" i="13"/>
  <c r="F145" i="15"/>
  <c r="F145" i="14"/>
  <c r="AD145" i="13"/>
  <c r="BB147" i="16"/>
  <c r="CX147" i="15"/>
  <c r="BB147" i="15"/>
  <c r="AD147" i="14"/>
  <c r="F147" i="14"/>
  <c r="CX147" i="16"/>
  <c r="BZ147" i="16"/>
  <c r="AD147" i="16"/>
  <c r="F147" i="16"/>
  <c r="BZ147" i="15"/>
  <c r="AD147" i="15"/>
  <c r="F147" i="15"/>
  <c r="CX147" i="14"/>
  <c r="BZ147" i="14"/>
  <c r="BB147" i="14"/>
  <c r="CX147" i="13"/>
  <c r="BB147" i="13"/>
  <c r="F147" i="13"/>
  <c r="AD147" i="13"/>
  <c r="BZ147" i="13"/>
  <c r="BB143" i="16"/>
  <c r="CX143" i="15"/>
  <c r="BB143" i="15"/>
  <c r="F143" i="15"/>
  <c r="CX143" i="16"/>
  <c r="BZ143" i="16"/>
  <c r="AD143" i="16"/>
  <c r="F143" i="16"/>
  <c r="BZ143" i="15"/>
  <c r="AD143" i="15"/>
  <c r="BZ143" i="14"/>
  <c r="AD143" i="14"/>
  <c r="F143" i="14"/>
  <c r="CX143" i="14"/>
  <c r="BB143" i="14"/>
  <c r="BZ143" i="13"/>
  <c r="CX143" i="13"/>
  <c r="BB143" i="13"/>
  <c r="F143" i="13"/>
  <c r="AD143" i="13"/>
  <c r="F148" i="15"/>
  <c r="CX148" i="14"/>
  <c r="F148" i="14"/>
  <c r="BZ148" i="13"/>
  <c r="BB148" i="16"/>
  <c r="CX148" i="15"/>
  <c r="BB148" i="15"/>
  <c r="CX148" i="13"/>
  <c r="AD148" i="14"/>
  <c r="BB148" i="14"/>
  <c r="CX148" i="16"/>
  <c r="F148" i="16"/>
  <c r="BZ148" i="15"/>
  <c r="AD148" i="15"/>
  <c r="BZ148" i="14"/>
  <c r="AD148" i="13"/>
  <c r="BZ148" i="16"/>
  <c r="AD148" i="16"/>
  <c r="F148" i="13"/>
  <c r="BB148" i="13"/>
  <c r="F146" i="15"/>
  <c r="BZ146" i="14"/>
  <c r="CX146" i="16"/>
  <c r="BZ146" i="16"/>
  <c r="AD146" i="16"/>
  <c r="F146" i="16"/>
  <c r="BZ146" i="15"/>
  <c r="AD146" i="15"/>
  <c r="CX146" i="14"/>
  <c r="BB146" i="14"/>
  <c r="CX146" i="13"/>
  <c r="F146" i="14"/>
  <c r="BB146" i="16"/>
  <c r="F146" i="13"/>
  <c r="AD146" i="14"/>
  <c r="BZ146" i="13"/>
  <c r="AD146" i="13"/>
  <c r="BB146" i="13"/>
  <c r="CX146" i="15"/>
  <c r="BB146" i="15"/>
  <c r="BB151" i="16"/>
  <c r="CX151" i="15"/>
  <c r="BB151" i="15"/>
  <c r="F151" i="15"/>
  <c r="BZ151" i="14"/>
  <c r="F151" i="14"/>
  <c r="F151" i="16"/>
  <c r="CX151" i="14"/>
  <c r="BB151" i="14"/>
  <c r="BZ151" i="13"/>
  <c r="CX151" i="16"/>
  <c r="BZ151" i="16"/>
  <c r="AD151" i="16"/>
  <c r="BZ151" i="15"/>
  <c r="AD151" i="15"/>
  <c r="BB151" i="13"/>
  <c r="F151" i="13"/>
  <c r="AD151" i="14"/>
  <c r="CX151" i="13"/>
  <c r="AD151" i="13"/>
  <c r="BZ144" i="14"/>
  <c r="AD144" i="14"/>
  <c r="F144" i="14"/>
  <c r="BB144" i="16"/>
  <c r="CX144" i="15"/>
  <c r="BB144" i="15"/>
  <c r="F144" i="15"/>
  <c r="CX144" i="14"/>
  <c r="BB144" i="14"/>
  <c r="CX144" i="13"/>
  <c r="CX144" i="16"/>
  <c r="BZ144" i="16"/>
  <c r="AD144" i="13"/>
  <c r="F144" i="16"/>
  <c r="BZ144" i="15"/>
  <c r="AD144" i="15"/>
  <c r="BZ144" i="13"/>
  <c r="F144" i="13"/>
  <c r="AD144" i="16"/>
  <c r="BB144" i="13"/>
  <c r="CX139" i="16"/>
  <c r="BB139" i="16"/>
  <c r="CX139" i="15"/>
  <c r="BB139" i="15"/>
  <c r="BB139" i="14"/>
  <c r="F139" i="15"/>
  <c r="CX139" i="14"/>
  <c r="BZ139" i="16"/>
  <c r="AD139" i="16"/>
  <c r="F139" i="16"/>
  <c r="BZ139" i="15"/>
  <c r="BZ139" i="14"/>
  <c r="AD139" i="13"/>
  <c r="AD139" i="15"/>
  <c r="F139" i="14"/>
  <c r="CX139" i="13"/>
  <c r="BZ139" i="13"/>
  <c r="BB139" i="13"/>
  <c r="F139" i="13"/>
  <c r="AD139" i="14"/>
  <c r="CX149" i="16"/>
  <c r="BZ149" i="16"/>
  <c r="AD149" i="16"/>
  <c r="BZ149" i="15"/>
  <c r="AD149" i="15"/>
  <c r="AD149" i="14"/>
  <c r="BZ149" i="14"/>
  <c r="BB149" i="14"/>
  <c r="BZ149" i="13"/>
  <c r="BB149" i="16"/>
  <c r="CX149" i="15"/>
  <c r="BB149" i="15"/>
  <c r="F149" i="15"/>
  <c r="CX149" i="14"/>
  <c r="F149" i="14"/>
  <c r="AD149" i="13"/>
  <c r="BB149" i="13"/>
  <c r="F149" i="13"/>
  <c r="F149" i="16"/>
  <c r="CX149" i="13"/>
  <c r="CX140" i="16"/>
  <c r="AD140" i="15"/>
  <c r="BZ140" i="14"/>
  <c r="BB140" i="16"/>
  <c r="CX140" i="15"/>
  <c r="BB140" i="15"/>
  <c r="BB140" i="14"/>
  <c r="AD140" i="14"/>
  <c r="CX140" i="13"/>
  <c r="F140" i="15"/>
  <c r="CX140" i="14"/>
  <c r="F140" i="14"/>
  <c r="BZ140" i="16"/>
  <c r="AD140" i="16"/>
  <c r="F140" i="16"/>
  <c r="BZ140" i="15"/>
  <c r="BZ140" i="13"/>
  <c r="AD140" i="13"/>
  <c r="F140" i="13"/>
  <c r="BB140" i="13"/>
  <c r="BZ142" i="14"/>
  <c r="F142" i="14"/>
  <c r="CX142" i="16"/>
  <c r="BZ142" i="16"/>
  <c r="AD142" i="16"/>
  <c r="F142" i="16"/>
  <c r="BZ142" i="15"/>
  <c r="BB142" i="14"/>
  <c r="AD142" i="14"/>
  <c r="CX142" i="13"/>
  <c r="AD142" i="15"/>
  <c r="F142" i="15"/>
  <c r="CX142" i="14"/>
  <c r="CX142" i="15"/>
  <c r="BB142" i="15"/>
  <c r="F142" i="13"/>
  <c r="BB142" i="13"/>
  <c r="BB142" i="16"/>
  <c r="AD142" i="13"/>
  <c r="BZ142" i="13"/>
  <c r="BB152" i="16"/>
  <c r="CX152" i="15"/>
  <c r="BB152" i="15"/>
  <c r="AD152" i="14"/>
  <c r="CX152" i="13"/>
  <c r="F152" i="16"/>
  <c r="F152" i="15"/>
  <c r="CX152" i="14"/>
  <c r="BZ152" i="14"/>
  <c r="BZ152" i="15"/>
  <c r="AD152" i="15"/>
  <c r="F152" i="14"/>
  <c r="BZ152" i="16"/>
  <c r="AD152" i="16"/>
  <c r="AD152" i="13"/>
  <c r="BZ152" i="13"/>
  <c r="CX152" i="16"/>
  <c r="BB152" i="14"/>
  <c r="F152" i="13"/>
  <c r="BB152" i="13"/>
  <c r="CX153" i="16"/>
  <c r="BZ153" i="16"/>
  <c r="AD153" i="16"/>
  <c r="BZ153" i="15"/>
  <c r="AD153" i="15"/>
  <c r="F153" i="15"/>
  <c r="CX153" i="14"/>
  <c r="BZ153" i="14"/>
  <c r="BB153" i="14"/>
  <c r="F153" i="14"/>
  <c r="BZ153" i="13"/>
  <c r="BB153" i="16"/>
  <c r="CX153" i="15"/>
  <c r="BB153" i="15"/>
  <c r="AD153" i="14"/>
  <c r="CX153" i="13"/>
  <c r="F153" i="16"/>
  <c r="BB153" i="13"/>
  <c r="AD153" i="13"/>
  <c r="F153" i="13"/>
  <c r="F150" i="16"/>
  <c r="CX150" i="14"/>
  <c r="CX150" i="16"/>
  <c r="BZ150" i="16"/>
  <c r="AD150" i="16"/>
  <c r="BZ150" i="15"/>
  <c r="AD150" i="15"/>
  <c r="F150" i="14"/>
  <c r="CX150" i="13"/>
  <c r="AD150" i="14"/>
  <c r="F150" i="15"/>
  <c r="F150" i="13"/>
  <c r="BB150" i="13"/>
  <c r="BB150" i="14"/>
  <c r="AD150" i="13"/>
  <c r="BB150" i="16"/>
  <c r="CX150" i="15"/>
  <c r="BB150" i="15"/>
  <c r="BZ150" i="14"/>
  <c r="BZ150" i="13"/>
  <c r="BZ141" i="16"/>
  <c r="AD141" i="16"/>
  <c r="F141" i="16"/>
  <c r="BZ141" i="15"/>
  <c r="F141" i="15"/>
  <c r="CX141" i="14"/>
  <c r="CX141" i="16"/>
  <c r="AD141" i="15"/>
  <c r="F141" i="14"/>
  <c r="BB141" i="16"/>
  <c r="CX141" i="15"/>
  <c r="BB141" i="15"/>
  <c r="BZ141" i="14"/>
  <c r="AD141" i="14"/>
  <c r="BB141" i="14"/>
  <c r="BZ141" i="13"/>
  <c r="BB141" i="13"/>
  <c r="F141" i="13"/>
  <c r="CX141" i="13"/>
  <c r="AD141" i="13"/>
  <c r="Y39" i="2"/>
  <c r="Y57" i="2"/>
  <c r="AF39" i="2"/>
  <c r="AF57" i="2"/>
  <c r="R10" i="2"/>
  <c r="Q14" i="2"/>
  <c r="F12" i="8"/>
  <c r="E24" i="18" s="1"/>
  <c r="E12" i="8"/>
  <c r="I12" i="8"/>
  <c r="H24" i="18" s="1"/>
  <c r="G12" i="8"/>
  <c r="F24" i="18" s="1"/>
  <c r="H12" i="8"/>
  <c r="G24" i="18" s="1"/>
  <c r="AE91" i="10"/>
  <c r="AE92" i="10" s="1"/>
  <c r="AE93" i="10" s="1"/>
  <c r="AE94" i="10" s="1"/>
  <c r="AE95" i="10" s="1"/>
  <c r="AE96" i="10" s="1"/>
  <c r="AE97" i="10" s="1"/>
  <c r="AE98" i="10" s="1"/>
  <c r="AE99" i="10" s="1"/>
  <c r="AE100" i="10" s="1"/>
  <c r="AE101" i="10" s="1"/>
  <c r="AE102" i="10" s="1"/>
  <c r="AE103" i="10" s="1"/>
  <c r="AE104" i="10" s="1"/>
  <c r="AE105" i="10" s="1"/>
  <c r="AE106" i="10" s="1"/>
  <c r="Y63" i="2"/>
  <c r="U21" i="8" s="1"/>
  <c r="Y66" i="2"/>
  <c r="AF63" i="2"/>
  <c r="W21" i="8" s="1"/>
  <c r="AF66" i="2"/>
  <c r="Y14" i="2"/>
  <c r="U12" i="8" s="1"/>
  <c r="X14" i="2"/>
  <c r="T12" i="8" s="1"/>
  <c r="BC141" i="15" l="1"/>
  <c r="CA141" i="15"/>
  <c r="BC150" i="13"/>
  <c r="G150" i="16"/>
  <c r="G153" i="14"/>
  <c r="G152" i="13"/>
  <c r="BC152" i="15"/>
  <c r="G142" i="15"/>
  <c r="CA142" i="16"/>
  <c r="CA140" i="16"/>
  <c r="CY140" i="16"/>
  <c r="AE149" i="14"/>
  <c r="G139" i="14"/>
  <c r="CY139" i="15"/>
  <c r="CA144" i="16"/>
  <c r="BC144" i="16"/>
  <c r="AE151" i="16"/>
  <c r="CA151" i="14"/>
  <c r="G146" i="13"/>
  <c r="G146" i="16"/>
  <c r="CY148" i="16"/>
  <c r="AE143" i="13"/>
  <c r="G143" i="16"/>
  <c r="BC147" i="13"/>
  <c r="G147" i="16"/>
  <c r="G145" i="15"/>
  <c r="BC145" i="15"/>
  <c r="DK138" i="15"/>
  <c r="CY138" i="15"/>
  <c r="S138" i="14"/>
  <c r="S139" i="14" s="1"/>
  <c r="G138" i="14"/>
  <c r="CY141" i="13"/>
  <c r="BC141" i="14"/>
  <c r="CY141" i="15"/>
  <c r="CY141" i="16"/>
  <c r="G141" i="16"/>
  <c r="CA150" i="13"/>
  <c r="BC150" i="16"/>
  <c r="G150" i="13"/>
  <c r="G150" i="14"/>
  <c r="CA150" i="16"/>
  <c r="G153" i="16"/>
  <c r="CY153" i="15"/>
  <c r="BC153" i="14"/>
  <c r="AE153" i="15"/>
  <c r="CY153" i="16"/>
  <c r="BC152" i="14"/>
  <c r="AE152" i="16"/>
  <c r="CA152" i="15"/>
  <c r="G152" i="16"/>
  <c r="CY152" i="15"/>
  <c r="AE142" i="13"/>
  <c r="BC142" i="15"/>
  <c r="AE142" i="15"/>
  <c r="CA142" i="15"/>
  <c r="CY142" i="16"/>
  <c r="BC140" i="13"/>
  <c r="CA140" i="15"/>
  <c r="G140" i="14"/>
  <c r="AE140" i="14"/>
  <c r="BC140" i="16"/>
  <c r="BC149" i="13"/>
  <c r="G149" i="15"/>
  <c r="CA149" i="13"/>
  <c r="AE149" i="15"/>
  <c r="CY149" i="16"/>
  <c r="BC139" i="13"/>
  <c r="AE139" i="15"/>
  <c r="G139" i="16"/>
  <c r="G139" i="15"/>
  <c r="BC139" i="16"/>
  <c r="AE144" i="16"/>
  <c r="CA144" i="15"/>
  <c r="CY144" i="16"/>
  <c r="G144" i="15"/>
  <c r="G144" i="14"/>
  <c r="AE151" i="13"/>
  <c r="BC151" i="13"/>
  <c r="CA151" i="16"/>
  <c r="CY151" i="14"/>
  <c r="G151" i="15"/>
  <c r="AE146" i="13"/>
  <c r="BC146" i="16"/>
  <c r="CY146" i="14"/>
  <c r="AE146" i="16"/>
  <c r="G146" i="15"/>
  <c r="AE148" i="16"/>
  <c r="AE148" i="15"/>
  <c r="BC148" i="14"/>
  <c r="CY148" i="15"/>
  <c r="CY148" i="14"/>
  <c r="G143" i="13"/>
  <c r="BC143" i="14"/>
  <c r="CA143" i="14"/>
  <c r="AE143" i="16"/>
  <c r="BC143" i="15"/>
  <c r="CA147" i="13"/>
  <c r="CY147" i="13"/>
  <c r="G147" i="15"/>
  <c r="AE147" i="16"/>
  <c r="AE147" i="14"/>
  <c r="BC145" i="13"/>
  <c r="CA145" i="13"/>
  <c r="CY145" i="15"/>
  <c r="CA145" i="15"/>
  <c r="CY145" i="16"/>
  <c r="BO138" i="13"/>
  <c r="BO139" i="13" s="1"/>
  <c r="BO140" i="13" s="1"/>
  <c r="BC138" i="13"/>
  <c r="S138" i="13"/>
  <c r="G138" i="13"/>
  <c r="DK138" i="13"/>
  <c r="CY138" i="13"/>
  <c r="S138" i="16"/>
  <c r="G138" i="16"/>
  <c r="DK138" i="14"/>
  <c r="CY138" i="14"/>
  <c r="AE141" i="13"/>
  <c r="AE141" i="15"/>
  <c r="CY150" i="15"/>
  <c r="AE150" i="16"/>
  <c r="BC153" i="15"/>
  <c r="CA153" i="16"/>
  <c r="AE152" i="13"/>
  <c r="G152" i="15"/>
  <c r="G142" i="13"/>
  <c r="BC142" i="14"/>
  <c r="CA140" i="13"/>
  <c r="CY140" i="15"/>
  <c r="CY149" i="14"/>
  <c r="CA149" i="16"/>
  <c r="CA139" i="15"/>
  <c r="AE144" i="15"/>
  <c r="BC151" i="14"/>
  <c r="BC146" i="13"/>
  <c r="CA146" i="14"/>
  <c r="BC148" i="15"/>
  <c r="CA143" i="13"/>
  <c r="CY147" i="14"/>
  <c r="BC147" i="16"/>
  <c r="AE145" i="15"/>
  <c r="CM138" i="15"/>
  <c r="CA138" i="15"/>
  <c r="AE141" i="14"/>
  <c r="AE141" i="16"/>
  <c r="G150" i="15"/>
  <c r="CY150" i="16"/>
  <c r="G153" i="13"/>
  <c r="CY153" i="13"/>
  <c r="BC153" i="16"/>
  <c r="CA153" i="14"/>
  <c r="CA153" i="15"/>
  <c r="CY152" i="16"/>
  <c r="CA152" i="16"/>
  <c r="CA152" i="14"/>
  <c r="CY152" i="13"/>
  <c r="BC152" i="16"/>
  <c r="BC142" i="16"/>
  <c r="CY142" i="15"/>
  <c r="CY142" i="13"/>
  <c r="G142" i="16"/>
  <c r="G142" i="14"/>
  <c r="G140" i="13"/>
  <c r="G140" i="16"/>
  <c r="CY140" i="14"/>
  <c r="BC140" i="14"/>
  <c r="CA140" i="14"/>
  <c r="CY149" i="13"/>
  <c r="AE149" i="13"/>
  <c r="BC149" i="15"/>
  <c r="BC149" i="14"/>
  <c r="CA149" i="15"/>
  <c r="CA139" i="13"/>
  <c r="AE139" i="13"/>
  <c r="AE139" i="16"/>
  <c r="BC139" i="14"/>
  <c r="CY139" i="16"/>
  <c r="G144" i="13"/>
  <c r="G144" i="16"/>
  <c r="CY144" i="13"/>
  <c r="BC144" i="15"/>
  <c r="AE144" i="14"/>
  <c r="CY151" i="13"/>
  <c r="AE151" i="15"/>
  <c r="CY151" i="16"/>
  <c r="G151" i="16"/>
  <c r="BC151" i="15"/>
  <c r="BC146" i="15"/>
  <c r="CA146" i="13"/>
  <c r="G146" i="14"/>
  <c r="AE146" i="15"/>
  <c r="CA146" i="16"/>
  <c r="CA148" i="16"/>
  <c r="CA148" i="15"/>
  <c r="AE148" i="14"/>
  <c r="BC148" i="16"/>
  <c r="G148" i="15"/>
  <c r="BC143" i="13"/>
  <c r="CY143" i="14"/>
  <c r="AE143" i="15"/>
  <c r="CA143" i="16"/>
  <c r="CY143" i="15"/>
  <c r="AE147" i="13"/>
  <c r="BC147" i="14"/>
  <c r="AE147" i="15"/>
  <c r="CA147" i="16"/>
  <c r="BC147" i="15"/>
  <c r="AE145" i="13"/>
  <c r="BC145" i="14"/>
  <c r="CY145" i="13"/>
  <c r="BC145" i="16"/>
  <c r="G145" i="16"/>
  <c r="AE138" i="13"/>
  <c r="AQ138" i="13"/>
  <c r="AQ139" i="13" s="1"/>
  <c r="CM138" i="13"/>
  <c r="CA138" i="13"/>
  <c r="AQ138" i="14"/>
  <c r="AE138" i="14"/>
  <c r="AQ138" i="16"/>
  <c r="AE138" i="16"/>
  <c r="S138" i="15"/>
  <c r="G138" i="15"/>
  <c r="CA141" i="13"/>
  <c r="CY150" i="13"/>
  <c r="BC153" i="13"/>
  <c r="G153" i="15"/>
  <c r="AE152" i="15"/>
  <c r="CA142" i="13"/>
  <c r="CY140" i="13"/>
  <c r="G149" i="13"/>
  <c r="BC149" i="16"/>
  <c r="G139" i="13"/>
  <c r="CY139" i="14"/>
  <c r="BC144" i="13"/>
  <c r="CY144" i="14"/>
  <c r="G151" i="13"/>
  <c r="BC151" i="16"/>
  <c r="BC146" i="14"/>
  <c r="G148" i="13"/>
  <c r="CA148" i="14"/>
  <c r="G148" i="14"/>
  <c r="AE143" i="14"/>
  <c r="G143" i="15"/>
  <c r="G147" i="14"/>
  <c r="G145" i="13"/>
  <c r="CA145" i="16"/>
  <c r="DK138" i="16"/>
  <c r="CY138" i="16"/>
  <c r="AQ138" i="15"/>
  <c r="AE138" i="15"/>
  <c r="G141" i="13"/>
  <c r="BC141" i="16"/>
  <c r="CY141" i="14"/>
  <c r="CA150" i="14"/>
  <c r="AE150" i="13"/>
  <c r="AE150" i="15"/>
  <c r="BC141" i="13"/>
  <c r="CA141" i="14"/>
  <c r="G141" i="14"/>
  <c r="G141" i="15"/>
  <c r="CA141" i="16"/>
  <c r="BC150" i="15"/>
  <c r="BC150" i="14"/>
  <c r="AE150" i="14"/>
  <c r="CA150" i="15"/>
  <c r="CY150" i="14"/>
  <c r="AE153" i="13"/>
  <c r="AE153" i="14"/>
  <c r="CA153" i="13"/>
  <c r="CY153" i="14"/>
  <c r="AE153" i="16"/>
  <c r="BC152" i="13"/>
  <c r="CA152" i="13"/>
  <c r="G152" i="14"/>
  <c r="CY152" i="14"/>
  <c r="AE152" i="14"/>
  <c r="BC142" i="13"/>
  <c r="CY142" i="14"/>
  <c r="AE142" i="14"/>
  <c r="AE142" i="16"/>
  <c r="CA142" i="14"/>
  <c r="AE140" i="13"/>
  <c r="AE140" i="16"/>
  <c r="G140" i="15"/>
  <c r="BC140" i="15"/>
  <c r="AE140" i="15"/>
  <c r="G149" i="16"/>
  <c r="G149" i="14"/>
  <c r="CY149" i="15"/>
  <c r="CA149" i="14"/>
  <c r="AE149" i="16"/>
  <c r="AE139" i="14"/>
  <c r="CY139" i="13"/>
  <c r="CA139" i="14"/>
  <c r="CA139" i="16"/>
  <c r="BC139" i="15"/>
  <c r="CA144" i="13"/>
  <c r="AE144" i="13"/>
  <c r="BC144" i="14"/>
  <c r="CY144" i="15"/>
  <c r="CA144" i="14"/>
  <c r="AE151" i="14"/>
  <c r="CA151" i="15"/>
  <c r="CA151" i="13"/>
  <c r="G151" i="14"/>
  <c r="CY151" i="15"/>
  <c r="CY146" i="15"/>
  <c r="AE146" i="14"/>
  <c r="CY146" i="13"/>
  <c r="CA146" i="15"/>
  <c r="CY146" i="16"/>
  <c r="BC148" i="13"/>
  <c r="AE148" i="13"/>
  <c r="G148" i="16"/>
  <c r="CY148" i="13"/>
  <c r="CA148" i="13"/>
  <c r="CY143" i="13"/>
  <c r="G143" i="14"/>
  <c r="CA143" i="15"/>
  <c r="CY143" i="16"/>
  <c r="BC143" i="16"/>
  <c r="G147" i="13"/>
  <c r="CA147" i="14"/>
  <c r="CA147" i="15"/>
  <c r="CY147" i="16"/>
  <c r="CY147" i="15"/>
  <c r="G145" i="14"/>
  <c r="CY145" i="14"/>
  <c r="CA145" i="14"/>
  <c r="AE145" i="14"/>
  <c r="AE145" i="16"/>
  <c r="BO138" i="16"/>
  <c r="BO139" i="16" s="1"/>
  <c r="BO140" i="16" s="1"/>
  <c r="BC138" i="16"/>
  <c r="BO138" i="15"/>
  <c r="BC138" i="15"/>
  <c r="BO138" i="14"/>
  <c r="BC138" i="14"/>
  <c r="CM138" i="14"/>
  <c r="CA138" i="14"/>
  <c r="CM138" i="16"/>
  <c r="CA138" i="16"/>
  <c r="R66" i="2"/>
  <c r="R39" i="2"/>
  <c r="R57" i="2"/>
  <c r="D24" i="18"/>
  <c r="M6" i="11"/>
  <c r="C43" i="9"/>
  <c r="C51" i="9"/>
  <c r="K51" i="9" s="1"/>
  <c r="C44" i="9"/>
  <c r="K44" i="9" s="1"/>
  <c r="C52" i="9"/>
  <c r="K52" i="9" s="1"/>
  <c r="C45" i="9"/>
  <c r="K45" i="9" s="1"/>
  <c r="C53" i="9"/>
  <c r="C46" i="9"/>
  <c r="K46" i="9" s="1"/>
  <c r="C42" i="9"/>
  <c r="K42" i="9" s="1"/>
  <c r="C50" i="9"/>
  <c r="K50" i="9" s="1"/>
  <c r="C54" i="9"/>
  <c r="K54" i="9" s="1"/>
  <c r="C40" i="9"/>
  <c r="K40" i="9" s="1"/>
  <c r="C41" i="9"/>
  <c r="K41" i="9" s="1"/>
  <c r="C48" i="9"/>
  <c r="C47" i="9"/>
  <c r="K47" i="9" s="1"/>
  <c r="C49" i="9"/>
  <c r="K49" i="9" s="1"/>
  <c r="C39" i="9"/>
  <c r="K39" i="9" s="1"/>
  <c r="C17" i="9"/>
  <c r="K17" i="9" s="1"/>
  <c r="C25" i="9"/>
  <c r="K25" i="9" s="1"/>
  <c r="C20" i="9"/>
  <c r="K20" i="9" s="1"/>
  <c r="C18" i="9"/>
  <c r="C26" i="9"/>
  <c r="K26" i="9" s="1"/>
  <c r="C28" i="9"/>
  <c r="C19" i="9"/>
  <c r="K19" i="9" s="1"/>
  <c r="C27" i="9"/>
  <c r="K27" i="9" s="1"/>
  <c r="C16" i="9"/>
  <c r="K16" i="9" s="1"/>
  <c r="C24" i="9"/>
  <c r="K24" i="9" s="1"/>
  <c r="C15" i="9"/>
  <c r="K15" i="9" s="1"/>
  <c r="C22" i="9"/>
  <c r="K22" i="9" s="1"/>
  <c r="C21" i="9"/>
  <c r="K21" i="9" s="1"/>
  <c r="C23" i="9"/>
  <c r="C14" i="9"/>
  <c r="K14" i="9" s="1"/>
  <c r="C13" i="9"/>
  <c r="C69" i="9"/>
  <c r="K69" i="9" s="1"/>
  <c r="C77" i="9"/>
  <c r="K77" i="9" s="1"/>
  <c r="C70" i="9"/>
  <c r="K70" i="9" s="1"/>
  <c r="C78" i="9"/>
  <c r="C80" i="9"/>
  <c r="K80" i="9" s="1"/>
  <c r="C71" i="9"/>
  <c r="K71" i="9" s="1"/>
  <c r="C79" i="9"/>
  <c r="K79" i="9" s="1"/>
  <c r="C68" i="9"/>
  <c r="C76" i="9"/>
  <c r="K76" i="9" s="1"/>
  <c r="C72" i="9"/>
  <c r="K72" i="9" s="1"/>
  <c r="C65" i="9"/>
  <c r="K65" i="9" s="1"/>
  <c r="C66" i="9"/>
  <c r="K66" i="9" s="1"/>
  <c r="C67" i="9"/>
  <c r="K67" i="9" s="1"/>
  <c r="C73" i="9"/>
  <c r="K73" i="9" s="1"/>
  <c r="C74" i="9"/>
  <c r="K74" i="9" s="1"/>
  <c r="C75" i="9"/>
  <c r="K75" i="9" s="1"/>
  <c r="C121" i="9"/>
  <c r="K121" i="9" s="1"/>
  <c r="C129" i="9"/>
  <c r="C122" i="9"/>
  <c r="K122" i="9" s="1"/>
  <c r="C130" i="9"/>
  <c r="K130" i="9" s="1"/>
  <c r="C123" i="9"/>
  <c r="K123" i="9" s="1"/>
  <c r="C131" i="9"/>
  <c r="K131" i="9" s="1"/>
  <c r="C132" i="9"/>
  <c r="K132" i="9" s="1"/>
  <c r="C120" i="9"/>
  <c r="K120" i="9" s="1"/>
  <c r="C128" i="9"/>
  <c r="K128" i="9" s="1"/>
  <c r="C124" i="9"/>
  <c r="C119" i="9"/>
  <c r="C126" i="9"/>
  <c r="K126" i="9" s="1"/>
  <c r="C125" i="9"/>
  <c r="K125" i="9" s="1"/>
  <c r="C118" i="9"/>
  <c r="K118" i="9" s="1"/>
  <c r="C127" i="9"/>
  <c r="K127" i="9" s="1"/>
  <c r="C117" i="9"/>
  <c r="K117" i="9" s="1"/>
  <c r="C95" i="9"/>
  <c r="K95" i="9" s="1"/>
  <c r="C103" i="9"/>
  <c r="K103" i="9" s="1"/>
  <c r="C106" i="9"/>
  <c r="K106" i="9" s="1"/>
  <c r="C96" i="9"/>
  <c r="K96" i="9" s="1"/>
  <c r="C104" i="9"/>
  <c r="K104" i="9" s="1"/>
  <c r="C98" i="9"/>
  <c r="K98" i="9" s="1"/>
  <c r="C97" i="9"/>
  <c r="C105" i="9"/>
  <c r="K105" i="9" s="1"/>
  <c r="C94" i="9"/>
  <c r="K94" i="9" s="1"/>
  <c r="C102" i="9"/>
  <c r="C100" i="9"/>
  <c r="K100" i="9" s="1"/>
  <c r="C101" i="9"/>
  <c r="K101" i="9" s="1"/>
  <c r="C93" i="9"/>
  <c r="K93" i="9" s="1"/>
  <c r="C99" i="9"/>
  <c r="K99" i="9" s="1"/>
  <c r="C91" i="9"/>
  <c r="K91" i="9" s="1"/>
  <c r="C92" i="9"/>
  <c r="S22" i="8"/>
  <c r="R22" i="8"/>
  <c r="I21" i="1"/>
  <c r="I16" i="8" s="1"/>
  <c r="D152" i="9" l="1"/>
  <c r="L152" i="9" s="1"/>
  <c r="K48" i="9"/>
  <c r="D147" i="9"/>
  <c r="L147" i="9" s="1"/>
  <c r="K43" i="9"/>
  <c r="D144" i="9"/>
  <c r="L144" i="9" s="1"/>
  <c r="K92" i="9"/>
  <c r="D146" i="9"/>
  <c r="L146" i="9" s="1"/>
  <c r="K68" i="9"/>
  <c r="D156" i="9"/>
  <c r="L156" i="9" s="1"/>
  <c r="K78" i="9"/>
  <c r="D143" i="9"/>
  <c r="L143" i="9" s="1"/>
  <c r="K13" i="9"/>
  <c r="D148" i="9"/>
  <c r="L148" i="9" s="1"/>
  <c r="K18" i="9"/>
  <c r="D154" i="9"/>
  <c r="L154" i="9" s="1"/>
  <c r="K102" i="9"/>
  <c r="D149" i="9"/>
  <c r="L149" i="9" s="1"/>
  <c r="K97" i="9"/>
  <c r="D145" i="9"/>
  <c r="L145" i="9" s="1"/>
  <c r="K119" i="9"/>
  <c r="D150" i="9"/>
  <c r="L150" i="9" s="1"/>
  <c r="K124" i="9"/>
  <c r="D155" i="9"/>
  <c r="L155" i="9" s="1"/>
  <c r="K129" i="9"/>
  <c r="D153" i="9"/>
  <c r="L153" i="9" s="1"/>
  <c r="K23" i="9"/>
  <c r="D158" i="9"/>
  <c r="L158" i="9" s="1"/>
  <c r="K28" i="9"/>
  <c r="D157" i="9"/>
  <c r="L157" i="9" s="1"/>
  <c r="K53" i="9"/>
  <c r="CM139" i="16"/>
  <c r="CM140" i="16" s="1"/>
  <c r="CM141" i="16" s="1"/>
  <c r="CM142" i="16" s="1"/>
  <c r="CM143" i="16" s="1"/>
  <c r="CM144" i="16" s="1"/>
  <c r="CM145" i="16" s="1"/>
  <c r="CM146" i="16" s="1"/>
  <c r="CM147" i="16" s="1"/>
  <c r="CM148" i="16" s="1"/>
  <c r="CM149" i="16" s="1"/>
  <c r="CM150" i="16" s="1"/>
  <c r="CM151" i="16" s="1"/>
  <c r="CM152" i="16" s="1"/>
  <c r="CM153" i="16" s="1"/>
  <c r="AJ161" i="16" s="1"/>
  <c r="BO139" i="14"/>
  <c r="BO140" i="14" s="1"/>
  <c r="BO141" i="14" s="1"/>
  <c r="BO142" i="14" s="1"/>
  <c r="BO143" i="14" s="1"/>
  <c r="BO144" i="14" s="1"/>
  <c r="BO145" i="14" s="1"/>
  <c r="BO146" i="14" s="1"/>
  <c r="BO147" i="14" s="1"/>
  <c r="BO148" i="14" s="1"/>
  <c r="BO149" i="14" s="1"/>
  <c r="BO150" i="14" s="1"/>
  <c r="BO151" i="14" s="1"/>
  <c r="BO152" i="14" s="1"/>
  <c r="BO153" i="14" s="1"/>
  <c r="AI161" i="14" s="1"/>
  <c r="BO141" i="16"/>
  <c r="BO142" i="16" s="1"/>
  <c r="BO143" i="16" s="1"/>
  <c r="BO144" i="16" s="1"/>
  <c r="BO145" i="16" s="1"/>
  <c r="BO146" i="16" s="1"/>
  <c r="BO147" i="16" s="1"/>
  <c r="BO148" i="16" s="1"/>
  <c r="BO149" i="16" s="1"/>
  <c r="BO150" i="16" s="1"/>
  <c r="BO151" i="16" s="1"/>
  <c r="BO152" i="16" s="1"/>
  <c r="BO153" i="16" s="1"/>
  <c r="AI161" i="16" s="1"/>
  <c r="AQ139" i="15"/>
  <c r="AQ140" i="15" s="1"/>
  <c r="AQ141" i="15" s="1"/>
  <c r="AQ142" i="15" s="1"/>
  <c r="AQ143" i="15" s="1"/>
  <c r="AQ144" i="15" s="1"/>
  <c r="AQ145" i="15" s="1"/>
  <c r="AQ146" i="15" s="1"/>
  <c r="AQ147" i="15" s="1"/>
  <c r="AQ148" i="15" s="1"/>
  <c r="AQ149" i="15" s="1"/>
  <c r="AQ150" i="15" s="1"/>
  <c r="AQ151" i="15" s="1"/>
  <c r="AQ152" i="15" s="1"/>
  <c r="AQ153" i="15" s="1"/>
  <c r="AH161" i="15" s="1"/>
  <c r="S139" i="15"/>
  <c r="S140" i="15" s="1"/>
  <c r="S141" i="15" s="1"/>
  <c r="S142" i="15" s="1"/>
  <c r="S143" i="15" s="1"/>
  <c r="S144" i="15" s="1"/>
  <c r="S145" i="15" s="1"/>
  <c r="S146" i="15" s="1"/>
  <c r="S147" i="15" s="1"/>
  <c r="S148" i="15" s="1"/>
  <c r="S149" i="15" s="1"/>
  <c r="S150" i="15" s="1"/>
  <c r="S151" i="15" s="1"/>
  <c r="S152" i="15" s="1"/>
  <c r="S153" i="15" s="1"/>
  <c r="AG161" i="15" s="1"/>
  <c r="AQ139" i="14"/>
  <c r="AQ140" i="14" s="1"/>
  <c r="AQ141" i="14" s="1"/>
  <c r="AQ142" i="14" s="1"/>
  <c r="AQ143" i="14" s="1"/>
  <c r="AQ144" i="14" s="1"/>
  <c r="AQ145" i="14" s="1"/>
  <c r="AQ146" i="14" s="1"/>
  <c r="AQ147" i="14" s="1"/>
  <c r="AQ148" i="14" s="1"/>
  <c r="AQ149" i="14" s="1"/>
  <c r="AQ150" i="14" s="1"/>
  <c r="AQ151" i="14" s="1"/>
  <c r="AQ152" i="14" s="1"/>
  <c r="AQ153" i="14" s="1"/>
  <c r="AH161" i="14" s="1"/>
  <c r="CM139" i="15"/>
  <c r="CM140" i="15" s="1"/>
  <c r="CM141" i="15" s="1"/>
  <c r="CM142" i="15" s="1"/>
  <c r="CM143" i="15" s="1"/>
  <c r="CM144" i="15" s="1"/>
  <c r="CM145" i="15" s="1"/>
  <c r="CM146" i="15" s="1"/>
  <c r="CM147" i="15" s="1"/>
  <c r="CM148" i="15" s="1"/>
  <c r="CM149" i="15" s="1"/>
  <c r="CM150" i="15" s="1"/>
  <c r="CM151" i="15" s="1"/>
  <c r="CM152" i="15" s="1"/>
  <c r="CM153" i="15" s="1"/>
  <c r="AJ161" i="15" s="1"/>
  <c r="S139" i="16"/>
  <c r="S140" i="16" s="1"/>
  <c r="S141" i="16" s="1"/>
  <c r="S142" i="16" s="1"/>
  <c r="S143" i="16" s="1"/>
  <c r="S144" i="16" s="1"/>
  <c r="S145" i="16" s="1"/>
  <c r="S146" i="16" s="1"/>
  <c r="S147" i="16" s="1"/>
  <c r="S148" i="16" s="1"/>
  <c r="S149" i="16" s="1"/>
  <c r="S150" i="16" s="1"/>
  <c r="S151" i="16" s="1"/>
  <c r="S152" i="16" s="1"/>
  <c r="S153" i="16" s="1"/>
  <c r="AG161" i="16" s="1"/>
  <c r="S139" i="13"/>
  <c r="S140" i="13" s="1"/>
  <c r="S141" i="13" s="1"/>
  <c r="S142" i="13" s="1"/>
  <c r="S143" i="13" s="1"/>
  <c r="S144" i="13" s="1"/>
  <c r="S145" i="13" s="1"/>
  <c r="S146" i="13" s="1"/>
  <c r="S147" i="13" s="1"/>
  <c r="S148" i="13" s="1"/>
  <c r="S149" i="13" s="1"/>
  <c r="S150" i="13" s="1"/>
  <c r="S151" i="13" s="1"/>
  <c r="S152" i="13" s="1"/>
  <c r="S153" i="13" s="1"/>
  <c r="AG161" i="13" s="1"/>
  <c r="DK139" i="15"/>
  <c r="DK140" i="15" s="1"/>
  <c r="DK141" i="15" s="1"/>
  <c r="DK142" i="15" s="1"/>
  <c r="DK143" i="15" s="1"/>
  <c r="DK144" i="15" s="1"/>
  <c r="DK145" i="15" s="1"/>
  <c r="DK146" i="15" s="1"/>
  <c r="DK147" i="15" s="1"/>
  <c r="DK148" i="15" s="1"/>
  <c r="DK149" i="15" s="1"/>
  <c r="DK150" i="15" s="1"/>
  <c r="DK151" i="15" s="1"/>
  <c r="DK152" i="15" s="1"/>
  <c r="DK153" i="15" s="1"/>
  <c r="AK161" i="15" s="1"/>
  <c r="AQ140" i="13"/>
  <c r="AQ141" i="13" s="1"/>
  <c r="AQ142" i="13" s="1"/>
  <c r="AQ143" i="13" s="1"/>
  <c r="AQ144" i="13" s="1"/>
  <c r="AQ145" i="13" s="1"/>
  <c r="AQ146" i="13" s="1"/>
  <c r="AQ147" i="13" s="1"/>
  <c r="AQ148" i="13" s="1"/>
  <c r="AQ149" i="13" s="1"/>
  <c r="AQ150" i="13" s="1"/>
  <c r="AQ151" i="13" s="1"/>
  <c r="AQ152" i="13" s="1"/>
  <c r="AQ153" i="13" s="1"/>
  <c r="AH161" i="13" s="1"/>
  <c r="CM139" i="14"/>
  <c r="CM140" i="14" s="1"/>
  <c r="CM141" i="14" s="1"/>
  <c r="CM142" i="14" s="1"/>
  <c r="CM143" i="14" s="1"/>
  <c r="CM144" i="14" s="1"/>
  <c r="CM145" i="14" s="1"/>
  <c r="CM146" i="14" s="1"/>
  <c r="CM147" i="14" s="1"/>
  <c r="CM148" i="14" s="1"/>
  <c r="CM149" i="14" s="1"/>
  <c r="CM150" i="14" s="1"/>
  <c r="CM151" i="14" s="1"/>
  <c r="CM152" i="14" s="1"/>
  <c r="CM153" i="14" s="1"/>
  <c r="AJ161" i="14" s="1"/>
  <c r="BO139" i="15"/>
  <c r="BO140" i="15" s="1"/>
  <c r="BO141" i="15" s="1"/>
  <c r="BO142" i="15" s="1"/>
  <c r="BO143" i="15" s="1"/>
  <c r="BO144" i="15" s="1"/>
  <c r="BO145" i="15" s="1"/>
  <c r="BO146" i="15" s="1"/>
  <c r="BO147" i="15" s="1"/>
  <c r="BO148" i="15" s="1"/>
  <c r="BO149" i="15" s="1"/>
  <c r="BO150" i="15" s="1"/>
  <c r="BO151" i="15" s="1"/>
  <c r="BO152" i="15" s="1"/>
  <c r="BO153" i="15" s="1"/>
  <c r="AI161" i="15" s="1"/>
  <c r="DK139" i="16"/>
  <c r="DK140" i="16" s="1"/>
  <c r="DK141" i="16" s="1"/>
  <c r="DK142" i="16" s="1"/>
  <c r="DK143" i="16" s="1"/>
  <c r="DK144" i="16" s="1"/>
  <c r="DK145" i="16" s="1"/>
  <c r="DK146" i="16" s="1"/>
  <c r="DK147" i="16" s="1"/>
  <c r="DK148" i="16" s="1"/>
  <c r="DK149" i="16" s="1"/>
  <c r="DK150" i="16" s="1"/>
  <c r="DK151" i="16" s="1"/>
  <c r="DK152" i="16" s="1"/>
  <c r="DK153" i="16" s="1"/>
  <c r="AK161" i="16" s="1"/>
  <c r="AQ139" i="16"/>
  <c r="AQ140" i="16" s="1"/>
  <c r="AQ141" i="16" s="1"/>
  <c r="AQ142" i="16" s="1"/>
  <c r="AQ143" i="16" s="1"/>
  <c r="AQ144" i="16" s="1"/>
  <c r="AQ145" i="16" s="1"/>
  <c r="AQ146" i="16" s="1"/>
  <c r="AQ147" i="16" s="1"/>
  <c r="AQ148" i="16" s="1"/>
  <c r="AQ149" i="16" s="1"/>
  <c r="AQ150" i="16" s="1"/>
  <c r="AQ151" i="16" s="1"/>
  <c r="AQ152" i="16" s="1"/>
  <c r="AQ153" i="16" s="1"/>
  <c r="AH161" i="16" s="1"/>
  <c r="CM139" i="13"/>
  <c r="CM140" i="13" s="1"/>
  <c r="CM141" i="13" s="1"/>
  <c r="CM142" i="13" s="1"/>
  <c r="CM143" i="13" s="1"/>
  <c r="CM144" i="13" s="1"/>
  <c r="CM145" i="13" s="1"/>
  <c r="CM146" i="13" s="1"/>
  <c r="CM147" i="13" s="1"/>
  <c r="CM148" i="13" s="1"/>
  <c r="CM149" i="13" s="1"/>
  <c r="CM150" i="13" s="1"/>
  <c r="CM151" i="13" s="1"/>
  <c r="CM152" i="13" s="1"/>
  <c r="CM153" i="13" s="1"/>
  <c r="AJ161" i="13" s="1"/>
  <c r="DK139" i="14"/>
  <c r="DK140" i="14" s="1"/>
  <c r="DK141" i="14" s="1"/>
  <c r="DK142" i="14" s="1"/>
  <c r="DK143" i="14" s="1"/>
  <c r="DK144" i="14" s="1"/>
  <c r="DK145" i="14" s="1"/>
  <c r="DK146" i="14" s="1"/>
  <c r="DK147" i="14" s="1"/>
  <c r="DK148" i="14" s="1"/>
  <c r="DK149" i="14" s="1"/>
  <c r="DK150" i="14" s="1"/>
  <c r="DK151" i="14" s="1"/>
  <c r="DK152" i="14" s="1"/>
  <c r="DK153" i="14" s="1"/>
  <c r="AK161" i="14" s="1"/>
  <c r="DK139" i="13"/>
  <c r="DK140" i="13" s="1"/>
  <c r="DK141" i="13" s="1"/>
  <c r="DK142" i="13" s="1"/>
  <c r="DK143" i="13" s="1"/>
  <c r="DK144" i="13" s="1"/>
  <c r="DK145" i="13" s="1"/>
  <c r="DK146" i="13" s="1"/>
  <c r="DK147" i="13" s="1"/>
  <c r="DK148" i="13" s="1"/>
  <c r="DK149" i="13" s="1"/>
  <c r="DK150" i="13" s="1"/>
  <c r="DK151" i="13" s="1"/>
  <c r="DK152" i="13" s="1"/>
  <c r="DK153" i="13" s="1"/>
  <c r="AK161" i="13" s="1"/>
  <c r="BO141" i="13"/>
  <c r="BO142" i="13" s="1"/>
  <c r="BO143" i="13" s="1"/>
  <c r="BO144" i="13" s="1"/>
  <c r="BO145" i="13" s="1"/>
  <c r="BO146" i="13" s="1"/>
  <c r="BO147" i="13" s="1"/>
  <c r="BO148" i="13" s="1"/>
  <c r="BO149" i="13" s="1"/>
  <c r="BO150" i="13" s="1"/>
  <c r="BO151" i="13" s="1"/>
  <c r="BO152" i="13" s="1"/>
  <c r="BO153" i="13" s="1"/>
  <c r="AI161" i="13" s="1"/>
  <c r="S140" i="14"/>
  <c r="S141" i="14" s="1"/>
  <c r="S142" i="14" s="1"/>
  <c r="S143" i="14" s="1"/>
  <c r="S144" i="14" s="1"/>
  <c r="S145" i="14" s="1"/>
  <c r="S146" i="14" s="1"/>
  <c r="S147" i="14" s="1"/>
  <c r="S148" i="14" s="1"/>
  <c r="S149" i="14" s="1"/>
  <c r="S150" i="14" s="1"/>
  <c r="S151" i="14" s="1"/>
  <c r="S152" i="14" s="1"/>
  <c r="S153" i="14" s="1"/>
  <c r="AG161" i="14" s="1"/>
  <c r="D151" i="9"/>
  <c r="L151" i="9" s="1"/>
  <c r="J8" i="17"/>
  <c r="J12" i="17"/>
  <c r="J16" i="17"/>
  <c r="J20" i="17"/>
  <c r="J10" i="17"/>
  <c r="J18" i="17"/>
  <c r="J11" i="17"/>
  <c r="J19" i="17"/>
  <c r="J9" i="17"/>
  <c r="J13" i="17"/>
  <c r="J17" i="17"/>
  <c r="J21" i="17"/>
  <c r="J14" i="17"/>
  <c r="J22" i="17"/>
  <c r="J15" i="17"/>
  <c r="J7" i="17"/>
  <c r="DC128" i="16"/>
  <c r="DC124" i="16"/>
  <c r="DC120" i="16"/>
  <c r="DC116" i="16"/>
  <c r="CE127" i="16"/>
  <c r="CE123" i="16"/>
  <c r="CE119" i="16"/>
  <c r="CE115" i="16"/>
  <c r="BG126" i="16"/>
  <c r="BG122" i="16"/>
  <c r="BG118" i="16"/>
  <c r="BG114" i="16"/>
  <c r="AI125" i="16"/>
  <c r="AI121" i="16"/>
  <c r="AI117" i="16"/>
  <c r="K128" i="16"/>
  <c r="K124" i="16"/>
  <c r="K120" i="16"/>
  <c r="K116" i="16"/>
  <c r="DC127" i="15"/>
  <c r="DC123" i="15"/>
  <c r="DC119" i="15"/>
  <c r="DC115" i="15"/>
  <c r="CE126" i="15"/>
  <c r="CE122" i="15"/>
  <c r="CE118" i="15"/>
  <c r="CE114" i="15"/>
  <c r="BG125" i="15"/>
  <c r="BG121" i="15"/>
  <c r="BG117" i="15"/>
  <c r="AI128" i="15"/>
  <c r="AI124" i="15"/>
  <c r="AI120" i="15"/>
  <c r="AI116" i="15"/>
  <c r="K127" i="15"/>
  <c r="K123" i="15"/>
  <c r="K119" i="15"/>
  <c r="K115" i="15"/>
  <c r="DC126" i="14"/>
  <c r="DC122" i="14"/>
  <c r="DC118" i="14"/>
  <c r="DC114" i="14"/>
  <c r="CE125" i="14"/>
  <c r="CE121" i="14"/>
  <c r="CE117" i="14"/>
  <c r="BG128" i="14"/>
  <c r="BG124" i="14"/>
  <c r="BG120" i="14"/>
  <c r="BG116" i="14"/>
  <c r="AI127" i="14"/>
  <c r="AI123" i="14"/>
  <c r="AI119" i="14"/>
  <c r="AI115" i="14"/>
  <c r="K126" i="14"/>
  <c r="K122" i="14"/>
  <c r="K118" i="14"/>
  <c r="K114" i="14"/>
  <c r="DC125" i="13"/>
  <c r="DC121" i="13"/>
  <c r="DC117" i="13"/>
  <c r="CE128" i="13"/>
  <c r="CE124" i="13"/>
  <c r="CE120" i="13"/>
  <c r="CE116" i="13"/>
  <c r="BG127" i="13"/>
  <c r="BG123" i="13"/>
  <c r="BG119" i="13"/>
  <c r="BG115" i="13"/>
  <c r="AI126" i="13"/>
  <c r="AI122" i="13"/>
  <c r="AI118" i="13"/>
  <c r="AI114" i="13"/>
  <c r="K118" i="13"/>
  <c r="K122" i="13"/>
  <c r="K126" i="13"/>
  <c r="DC126" i="16"/>
  <c r="DC122" i="16"/>
  <c r="DC118" i="16"/>
  <c r="DC114" i="16"/>
  <c r="CE125" i="16"/>
  <c r="CE121" i="16"/>
  <c r="CE117" i="16"/>
  <c r="BG128" i="16"/>
  <c r="BG124" i="16"/>
  <c r="BG120" i="16"/>
  <c r="BG116" i="16"/>
  <c r="AI127" i="16"/>
  <c r="AI123" i="16"/>
  <c r="AI119" i="16"/>
  <c r="AI115" i="16"/>
  <c r="K126" i="16"/>
  <c r="K122" i="16"/>
  <c r="K118" i="16"/>
  <c r="K114" i="16"/>
  <c r="DC125" i="15"/>
  <c r="DC121" i="15"/>
  <c r="DC117" i="15"/>
  <c r="CE128" i="15"/>
  <c r="CE124" i="15"/>
  <c r="CE120" i="15"/>
  <c r="CE116" i="15"/>
  <c r="BG127" i="15"/>
  <c r="BG123" i="15"/>
  <c r="BG119" i="15"/>
  <c r="BG115" i="15"/>
  <c r="AI126" i="15"/>
  <c r="AI122" i="15"/>
  <c r="AI118" i="15"/>
  <c r="AI114" i="15"/>
  <c r="K125" i="15"/>
  <c r="K121" i="15"/>
  <c r="K117" i="15"/>
  <c r="DC128" i="14"/>
  <c r="DC124" i="14"/>
  <c r="DC120" i="14"/>
  <c r="DC116" i="14"/>
  <c r="CE127" i="14"/>
  <c r="CE123" i="14"/>
  <c r="CE119" i="14"/>
  <c r="CE115" i="14"/>
  <c r="BG126" i="14"/>
  <c r="BG122" i="14"/>
  <c r="BG118" i="14"/>
  <c r="BG114" i="14"/>
  <c r="AI125" i="14"/>
  <c r="AI121" i="14"/>
  <c r="AI117" i="14"/>
  <c r="K128" i="14"/>
  <c r="K124" i="14"/>
  <c r="K120" i="14"/>
  <c r="K116" i="14"/>
  <c r="DC127" i="13"/>
  <c r="DC123" i="13"/>
  <c r="DC119" i="13"/>
  <c r="DC115" i="13"/>
  <c r="CE126" i="13"/>
  <c r="CE122" i="13"/>
  <c r="CE118" i="13"/>
  <c r="CE114" i="13"/>
  <c r="BG125" i="13"/>
  <c r="BG121" i="13"/>
  <c r="BG117" i="13"/>
  <c r="AI128" i="13"/>
  <c r="AI124" i="13"/>
  <c r="AI120" i="13"/>
  <c r="AI116" i="13"/>
  <c r="K116" i="13"/>
  <c r="K120" i="13"/>
  <c r="K124" i="13"/>
  <c r="K128" i="13"/>
  <c r="DC125" i="16"/>
  <c r="DC121" i="16"/>
  <c r="DC127" i="16"/>
  <c r="DC115" i="16"/>
  <c r="CE122" i="16"/>
  <c r="CE114" i="16"/>
  <c r="BG121" i="16"/>
  <c r="AI128" i="16"/>
  <c r="AI120" i="16"/>
  <c r="K127" i="16"/>
  <c r="K119" i="16"/>
  <c r="DC126" i="15"/>
  <c r="DC118" i="15"/>
  <c r="CE125" i="15"/>
  <c r="CE117" i="15"/>
  <c r="BG124" i="15"/>
  <c r="BG116" i="15"/>
  <c r="AI123" i="15"/>
  <c r="AI115" i="15"/>
  <c r="K122" i="15"/>
  <c r="K114" i="15"/>
  <c r="DC121" i="14"/>
  <c r="CE128" i="14"/>
  <c r="CE120" i="14"/>
  <c r="BG127" i="14"/>
  <c r="BG119" i="14"/>
  <c r="AI126" i="14"/>
  <c r="AI118" i="14"/>
  <c r="K125" i="14"/>
  <c r="K117" i="14"/>
  <c r="DC124" i="13"/>
  <c r="DC116" i="13"/>
  <c r="CE123" i="13"/>
  <c r="CE115" i="13"/>
  <c r="BG122" i="13"/>
  <c r="BG114" i="13"/>
  <c r="AI121" i="13"/>
  <c r="K115" i="13"/>
  <c r="K123" i="13"/>
  <c r="DC123" i="16"/>
  <c r="CE128" i="16"/>
  <c r="CE120" i="16"/>
  <c r="BG127" i="16"/>
  <c r="BG119" i="16"/>
  <c r="AI126" i="16"/>
  <c r="AI118" i="16"/>
  <c r="K125" i="16"/>
  <c r="K117" i="16"/>
  <c r="DC124" i="15"/>
  <c r="DC116" i="15"/>
  <c r="CE123" i="15"/>
  <c r="CE115" i="15"/>
  <c r="BG122" i="15"/>
  <c r="BG114" i="15"/>
  <c r="AI121" i="15"/>
  <c r="K128" i="15"/>
  <c r="K120" i="15"/>
  <c r="DC127" i="14"/>
  <c r="DC119" i="14"/>
  <c r="CE126" i="14"/>
  <c r="CE118" i="14"/>
  <c r="BG125" i="14"/>
  <c r="BG117" i="14"/>
  <c r="AI124" i="14"/>
  <c r="AI116" i="14"/>
  <c r="K123" i="14"/>
  <c r="K115" i="14"/>
  <c r="DC122" i="13"/>
  <c r="DC114" i="13"/>
  <c r="CE121" i="13"/>
  <c r="BG128" i="13"/>
  <c r="BG120" i="13"/>
  <c r="AI127" i="13"/>
  <c r="AI119" i="13"/>
  <c r="K117" i="13"/>
  <c r="K125" i="13"/>
  <c r="DC119" i="16"/>
  <c r="CE126" i="16"/>
  <c r="CE118" i="16"/>
  <c r="DC117" i="16"/>
  <c r="BG123" i="16"/>
  <c r="AI122" i="16"/>
  <c r="K121" i="16"/>
  <c r="DC120" i="15"/>
  <c r="CE119" i="15"/>
  <c r="BG118" i="15"/>
  <c r="AI117" i="15"/>
  <c r="K116" i="15"/>
  <c r="DC115" i="14"/>
  <c r="CE114" i="14"/>
  <c r="AI128" i="14"/>
  <c r="K127" i="14"/>
  <c r="DC126" i="13"/>
  <c r="CE125" i="13"/>
  <c r="BG124" i="13"/>
  <c r="AI123" i="13"/>
  <c r="K121" i="13"/>
  <c r="AI125" i="15"/>
  <c r="CE124" i="16"/>
  <c r="BG117" i="16"/>
  <c r="AI116" i="16"/>
  <c r="K115" i="16"/>
  <c r="DC114" i="15"/>
  <c r="BG128" i="15"/>
  <c r="AI127" i="15"/>
  <c r="K126" i="15"/>
  <c r="DC125" i="14"/>
  <c r="CE124" i="14"/>
  <c r="BG123" i="14"/>
  <c r="AI122" i="14"/>
  <c r="K121" i="14"/>
  <c r="DC120" i="13"/>
  <c r="CE119" i="13"/>
  <c r="BG118" i="13"/>
  <c r="AI117" i="13"/>
  <c r="K127" i="13"/>
  <c r="CE116" i="16"/>
  <c r="BG115" i="16"/>
  <c r="AI114" i="16"/>
  <c r="DC128" i="15"/>
  <c r="CE127" i="15"/>
  <c r="BG126" i="15"/>
  <c r="K124" i="15"/>
  <c r="DC123" i="14"/>
  <c r="CE122" i="14"/>
  <c r="BG121" i="14"/>
  <c r="AI120" i="14"/>
  <c r="K119" i="14"/>
  <c r="DC118" i="13"/>
  <c r="CE117" i="13"/>
  <c r="BG116" i="13"/>
  <c r="AI115" i="13"/>
  <c r="K114" i="13"/>
  <c r="BG125" i="16"/>
  <c r="AI124" i="16"/>
  <c r="K123" i="16"/>
  <c r="DC122" i="15"/>
  <c r="CE121" i="15"/>
  <c r="BG120" i="15"/>
  <c r="AI119" i="15"/>
  <c r="K118" i="15"/>
  <c r="DC117" i="14"/>
  <c r="CE116" i="14"/>
  <c r="BG115" i="14"/>
  <c r="AI114" i="14"/>
  <c r="DC128" i="13"/>
  <c r="CE127" i="13"/>
  <c r="BG126" i="13"/>
  <c r="AI125" i="13"/>
  <c r="K119" i="13"/>
  <c r="E44" i="22"/>
  <c r="H14" i="23" s="1"/>
  <c r="J14" i="23" s="1"/>
  <c r="E52" i="22"/>
  <c r="H22" i="23" s="1"/>
  <c r="J22" i="23" s="1"/>
  <c r="E40" i="22"/>
  <c r="H10" i="23" s="1"/>
  <c r="J10" i="23" s="1"/>
  <c r="E41" i="22"/>
  <c r="H11" i="23" s="1"/>
  <c r="J11" i="23" s="1"/>
  <c r="E50" i="22"/>
  <c r="H20" i="23" s="1"/>
  <c r="J20" i="23" s="1"/>
  <c r="E43" i="22"/>
  <c r="H13" i="23" s="1"/>
  <c r="J13" i="23" s="1"/>
  <c r="E45" i="22"/>
  <c r="H15" i="23" s="1"/>
  <c r="J15" i="23" s="1"/>
  <c r="E47" i="22"/>
  <c r="H17" i="23" s="1"/>
  <c r="J17" i="23" s="1"/>
  <c r="E49" i="22"/>
  <c r="H19" i="23" s="1"/>
  <c r="J19" i="23" s="1"/>
  <c r="E46" i="22"/>
  <c r="H16" i="23" s="1"/>
  <c r="J16" i="23" s="1"/>
  <c r="E39" i="22"/>
  <c r="H9" i="23" s="1"/>
  <c r="J9" i="23" s="1"/>
  <c r="E48" i="22"/>
  <c r="H18" i="23" s="1"/>
  <c r="J18" i="23" s="1"/>
  <c r="E38" i="22"/>
  <c r="H8" i="23" s="1"/>
  <c r="J8" i="23" s="1"/>
  <c r="E42" i="22"/>
  <c r="H12" i="23" s="1"/>
  <c r="J12" i="23" s="1"/>
  <c r="E51" i="22"/>
  <c r="H21" i="23" s="1"/>
  <c r="J21" i="23" s="1"/>
  <c r="R63" i="2"/>
  <c r="S21" i="8" s="1"/>
  <c r="K187" i="3"/>
  <c r="I67" i="1" s="1"/>
  <c r="I187" i="3"/>
  <c r="H67" i="1" s="1"/>
  <c r="R134" i="3"/>
  <c r="H187" i="3" s="1"/>
  <c r="G65" i="1" s="1"/>
  <c r="G67" i="1" s="1"/>
  <c r="K180" i="3"/>
  <c r="I59" i="1" s="1"/>
  <c r="I180" i="3"/>
  <c r="H59" i="1" s="1"/>
  <c r="H180" i="3"/>
  <c r="G59" i="1" s="1"/>
  <c r="G180" i="3"/>
  <c r="F59" i="1" s="1"/>
  <c r="F180" i="3"/>
  <c r="E59" i="1" s="1"/>
  <c r="K179" i="3"/>
  <c r="I58" i="1" s="1"/>
  <c r="I179" i="3"/>
  <c r="H58" i="1" s="1"/>
  <c r="G179" i="3"/>
  <c r="F58" i="1" s="1"/>
  <c r="F179" i="3"/>
  <c r="E58" i="1" s="1"/>
  <c r="K178" i="3"/>
  <c r="I178" i="3"/>
  <c r="K177" i="3"/>
  <c r="I56" i="1" s="1"/>
  <c r="I177" i="3"/>
  <c r="H56" i="1" s="1"/>
  <c r="H177" i="3"/>
  <c r="G56" i="1" s="1"/>
  <c r="G177" i="3"/>
  <c r="F56" i="1" s="1"/>
  <c r="F177" i="3"/>
  <c r="E56" i="1" s="1"/>
  <c r="K173" i="3"/>
  <c r="I52" i="1" s="1"/>
  <c r="I173" i="3"/>
  <c r="H52" i="1" s="1"/>
  <c r="H173" i="3"/>
  <c r="G52" i="1" s="1"/>
  <c r="G173" i="3"/>
  <c r="F52" i="1" s="1"/>
  <c r="F173" i="3"/>
  <c r="E52" i="1" s="1"/>
  <c r="R141" i="3"/>
  <c r="S140" i="3"/>
  <c r="S141" i="3" s="1"/>
  <c r="M134" i="3"/>
  <c r="G187" i="3" s="1"/>
  <c r="F65" i="1" s="1"/>
  <c r="F67" i="1" s="1"/>
  <c r="H134" i="3"/>
  <c r="S133" i="3"/>
  <c r="N133" i="3"/>
  <c r="I133" i="3"/>
  <c r="Q125" i="3"/>
  <c r="N125" i="3"/>
  <c r="L125" i="3"/>
  <c r="I125" i="3"/>
  <c r="G125" i="3"/>
  <c r="AC105" i="3"/>
  <c r="AB105" i="3"/>
  <c r="W105" i="3"/>
  <c r="R105" i="3"/>
  <c r="N104" i="3"/>
  <c r="I104" i="3"/>
  <c r="N103" i="3"/>
  <c r="I103" i="3"/>
  <c r="K176" i="3"/>
  <c r="S89" i="3"/>
  <c r="S105" i="3" s="1"/>
  <c r="Q105" i="3"/>
  <c r="H176" i="3" s="1"/>
  <c r="N80" i="3"/>
  <c r="I80" i="3"/>
  <c r="AC74" i="3"/>
  <c r="AA74" i="3"/>
  <c r="V74" i="3"/>
  <c r="S74" i="3"/>
  <c r="Q74" i="3"/>
  <c r="G74" i="3"/>
  <c r="G81" i="3" s="1"/>
  <c r="AB71" i="3"/>
  <c r="W71" i="3"/>
  <c r="AC71" i="3"/>
  <c r="K174" i="3"/>
  <c r="I53" i="1" s="1"/>
  <c r="X61" i="3"/>
  <c r="X71" i="3" s="1"/>
  <c r="V71" i="3"/>
  <c r="I174" i="3" s="1"/>
  <c r="H53" i="1" s="1"/>
  <c r="M71" i="3"/>
  <c r="L71" i="3"/>
  <c r="G174" i="3" s="1"/>
  <c r="F53" i="1" s="1"/>
  <c r="I57" i="3"/>
  <c r="I71" i="3" s="1"/>
  <c r="G71" i="3"/>
  <c r="F174" i="3" s="1"/>
  <c r="E53" i="1" s="1"/>
  <c r="S56" i="3"/>
  <c r="AB48" i="3"/>
  <c r="W48" i="3"/>
  <c r="M48" i="3"/>
  <c r="H48" i="3"/>
  <c r="AC48" i="3"/>
  <c r="X39" i="3"/>
  <c r="X48" i="3" s="1"/>
  <c r="R48" i="3"/>
  <c r="N39" i="3"/>
  <c r="I39" i="3"/>
  <c r="AB35" i="3"/>
  <c r="W35" i="3"/>
  <c r="S32" i="3"/>
  <c r="N32" i="3"/>
  <c r="I32" i="3"/>
  <c r="R35" i="3"/>
  <c r="N25" i="3"/>
  <c r="I25" i="3"/>
  <c r="AC15" i="3"/>
  <c r="X15" i="3"/>
  <c r="N15" i="3"/>
  <c r="I15" i="3"/>
  <c r="F187" i="3" l="1"/>
  <c r="E65" i="1" s="1"/>
  <c r="E67" i="1" s="1"/>
  <c r="K186" i="3"/>
  <c r="I55" i="1"/>
  <c r="G55" i="1"/>
  <c r="N74" i="3"/>
  <c r="N81" i="3" s="1"/>
  <c r="M81" i="3"/>
  <c r="X74" i="3"/>
  <c r="X81" i="3" s="1"/>
  <c r="W81" i="3"/>
  <c r="W8" i="3" s="1"/>
  <c r="I74" i="3"/>
  <c r="H81" i="3"/>
  <c r="S81" i="3"/>
  <c r="L119" i="13"/>
  <c r="DD117" i="14"/>
  <c r="BH125" i="16"/>
  <c r="BH126" i="15"/>
  <c r="BH118" i="13"/>
  <c r="L126" i="15"/>
  <c r="AJ125" i="15"/>
  <c r="CF114" i="14"/>
  <c r="AJ122" i="16"/>
  <c r="AJ119" i="13"/>
  <c r="L123" i="14"/>
  <c r="DD127" i="14"/>
  <c r="DD116" i="15"/>
  <c r="CF120" i="16"/>
  <c r="CF115" i="13"/>
  <c r="BH119" i="14"/>
  <c r="AJ123" i="15"/>
  <c r="L127" i="16"/>
  <c r="DD121" i="16"/>
  <c r="AJ124" i="13"/>
  <c r="CF126" i="13"/>
  <c r="L128" i="14"/>
  <c r="CF115" i="14"/>
  <c r="L117" i="15"/>
  <c r="BH119" i="15"/>
  <c r="DD121" i="15"/>
  <c r="BH124" i="16"/>
  <c r="DD126" i="16"/>
  <c r="BH115" i="13"/>
  <c r="DD117" i="13"/>
  <c r="AJ119" i="14"/>
  <c r="BH120" i="14"/>
  <c r="DD122" i="14"/>
  <c r="AJ124" i="15"/>
  <c r="CF126" i="15"/>
  <c r="L128" i="16"/>
  <c r="BH114" i="16"/>
  <c r="CF115" i="16"/>
  <c r="AJ125" i="13"/>
  <c r="L118" i="15"/>
  <c r="L114" i="13"/>
  <c r="CF127" i="15"/>
  <c r="CF119" i="13"/>
  <c r="AJ127" i="15"/>
  <c r="L121" i="13"/>
  <c r="CF119" i="15"/>
  <c r="DD119" i="16"/>
  <c r="DD114" i="13"/>
  <c r="CF118" i="14"/>
  <c r="BH122" i="15"/>
  <c r="AJ126" i="16"/>
  <c r="AJ121" i="13"/>
  <c r="L125" i="14"/>
  <c r="L114" i="15"/>
  <c r="BH116" i="15"/>
  <c r="AJ120" i="16"/>
  <c r="CF122" i="16"/>
  <c r="DD125" i="16"/>
  <c r="L116" i="13"/>
  <c r="AJ128" i="13"/>
  <c r="CF114" i="13"/>
  <c r="DD115" i="13"/>
  <c r="AJ117" i="14"/>
  <c r="BH118" i="14"/>
  <c r="CF119" i="14"/>
  <c r="DD120" i="14"/>
  <c r="L121" i="15"/>
  <c r="AJ122" i="15"/>
  <c r="BH123" i="15"/>
  <c r="CF124" i="15"/>
  <c r="DD125" i="15"/>
  <c r="L126" i="16"/>
  <c r="AJ127" i="16"/>
  <c r="BH128" i="16"/>
  <c r="DD114" i="16"/>
  <c r="L126" i="13"/>
  <c r="AJ118" i="13"/>
  <c r="BH119" i="13"/>
  <c r="CF120" i="13"/>
  <c r="DD121" i="13"/>
  <c r="L122" i="14"/>
  <c r="AJ123" i="14"/>
  <c r="BH124" i="14"/>
  <c r="CF125" i="14"/>
  <c r="DD126" i="14"/>
  <c r="L127" i="15"/>
  <c r="AJ128" i="15"/>
  <c r="CF114" i="15"/>
  <c r="DD115" i="15"/>
  <c r="L116" i="16"/>
  <c r="AJ117" i="16"/>
  <c r="BH118" i="16"/>
  <c r="CF119" i="16"/>
  <c r="DD120" i="16"/>
  <c r="BH126" i="13"/>
  <c r="BH115" i="14"/>
  <c r="AJ119" i="15"/>
  <c r="L123" i="16"/>
  <c r="AJ115" i="13"/>
  <c r="L119" i="14"/>
  <c r="DD123" i="14"/>
  <c r="DD128" i="15"/>
  <c r="L127" i="13"/>
  <c r="DD120" i="13"/>
  <c r="CF124" i="14"/>
  <c r="BH128" i="15"/>
  <c r="BH117" i="16"/>
  <c r="AJ123" i="13"/>
  <c r="L127" i="14"/>
  <c r="L116" i="15"/>
  <c r="DD120" i="15"/>
  <c r="DD117" i="16"/>
  <c r="L125" i="13"/>
  <c r="BH120" i="13"/>
  <c r="DD122" i="13"/>
  <c r="AJ124" i="14"/>
  <c r="CF126" i="14"/>
  <c r="L128" i="15"/>
  <c r="CF115" i="15"/>
  <c r="L117" i="16"/>
  <c r="BH119" i="16"/>
  <c r="DD123" i="16"/>
  <c r="BH114" i="13"/>
  <c r="DD116" i="13"/>
  <c r="AJ118" i="14"/>
  <c r="CF120" i="14"/>
  <c r="L122" i="15"/>
  <c r="BH124" i="15"/>
  <c r="DD126" i="15"/>
  <c r="AJ128" i="16"/>
  <c r="DD115" i="16"/>
  <c r="L128" i="13"/>
  <c r="AJ116" i="13"/>
  <c r="BH117" i="13"/>
  <c r="CF118" i="13"/>
  <c r="DD119" i="13"/>
  <c r="L120" i="14"/>
  <c r="AJ121" i="14"/>
  <c r="BH122" i="14"/>
  <c r="CF123" i="14"/>
  <c r="DD124" i="14"/>
  <c r="L125" i="15"/>
  <c r="AJ126" i="15"/>
  <c r="BH127" i="15"/>
  <c r="CF128" i="15"/>
  <c r="L114" i="16"/>
  <c r="AJ115" i="16"/>
  <c r="BH116" i="16"/>
  <c r="CF117" i="16"/>
  <c r="DD118" i="16"/>
  <c r="L122" i="13"/>
  <c r="AJ122" i="13"/>
  <c r="BH123" i="13"/>
  <c r="CF124" i="13"/>
  <c r="DD125" i="13"/>
  <c r="L126" i="14"/>
  <c r="AJ127" i="14"/>
  <c r="BH128" i="14"/>
  <c r="DD114" i="14"/>
  <c r="L115" i="15"/>
  <c r="AJ116" i="15"/>
  <c r="BH117" i="15"/>
  <c r="CF118" i="15"/>
  <c r="DD119" i="15"/>
  <c r="L120" i="16"/>
  <c r="AJ121" i="16"/>
  <c r="BH122" i="16"/>
  <c r="CF123" i="16"/>
  <c r="DD124" i="16"/>
  <c r="DD128" i="13"/>
  <c r="CF121" i="15"/>
  <c r="CF117" i="13"/>
  <c r="BH121" i="14"/>
  <c r="BH115" i="16"/>
  <c r="AJ122" i="14"/>
  <c r="L115" i="16"/>
  <c r="CF125" i="13"/>
  <c r="BH118" i="15"/>
  <c r="CF126" i="16"/>
  <c r="CF121" i="13"/>
  <c r="BH125" i="14"/>
  <c r="BH114" i="15"/>
  <c r="AJ118" i="16"/>
  <c r="L115" i="13"/>
  <c r="L117" i="14"/>
  <c r="DD121" i="14"/>
  <c r="CF125" i="15"/>
  <c r="CF114" i="16"/>
  <c r="L120" i="13"/>
  <c r="BH125" i="13"/>
  <c r="DD127" i="13"/>
  <c r="BH114" i="14"/>
  <c r="DD116" i="14"/>
  <c r="AJ118" i="15"/>
  <c r="CF120" i="15"/>
  <c r="L122" i="16"/>
  <c r="AJ123" i="16"/>
  <c r="CF125" i="16"/>
  <c r="AJ114" i="13"/>
  <c r="CF116" i="13"/>
  <c r="L118" i="14"/>
  <c r="CF121" i="14"/>
  <c r="L123" i="15"/>
  <c r="BH125" i="15"/>
  <c r="DD127" i="15"/>
  <c r="DD116" i="16"/>
  <c r="AJ114" i="14"/>
  <c r="DD122" i="15"/>
  <c r="DD118" i="13"/>
  <c r="CF122" i="14"/>
  <c r="CF116" i="16"/>
  <c r="BH123" i="14"/>
  <c r="AJ116" i="16"/>
  <c r="DD126" i="13"/>
  <c r="DD115" i="14"/>
  <c r="BH123" i="16"/>
  <c r="AJ127" i="13"/>
  <c r="AJ116" i="14"/>
  <c r="L120" i="15"/>
  <c r="DD124" i="15"/>
  <c r="CF128" i="16"/>
  <c r="CF123" i="13"/>
  <c r="BH127" i="14"/>
  <c r="DD118" i="15"/>
  <c r="L116" i="14"/>
  <c r="CF127" i="13"/>
  <c r="CF116" i="14"/>
  <c r="BH120" i="15"/>
  <c r="AJ124" i="16"/>
  <c r="BH116" i="13"/>
  <c r="AJ120" i="14"/>
  <c r="L124" i="15"/>
  <c r="AJ114" i="16"/>
  <c r="AJ117" i="13"/>
  <c r="L121" i="14"/>
  <c r="DD125" i="14"/>
  <c r="DD114" i="15"/>
  <c r="CF124" i="16"/>
  <c r="BH124" i="13"/>
  <c r="AJ128" i="14"/>
  <c r="AJ117" i="15"/>
  <c r="L121" i="16"/>
  <c r="CF118" i="16"/>
  <c r="L117" i="13"/>
  <c r="BH128" i="13"/>
  <c r="L115" i="14"/>
  <c r="BH117" i="14"/>
  <c r="DD119" i="14"/>
  <c r="AJ121" i="15"/>
  <c r="CF123" i="15"/>
  <c r="L125" i="16"/>
  <c r="BH127" i="16"/>
  <c r="L123" i="13"/>
  <c r="BH122" i="13"/>
  <c r="DD124" i="13"/>
  <c r="AJ126" i="14"/>
  <c r="CF128" i="14"/>
  <c r="AJ115" i="15"/>
  <c r="CF117" i="15"/>
  <c r="L119" i="16"/>
  <c r="BH121" i="16"/>
  <c r="DD127" i="16"/>
  <c r="L124" i="13"/>
  <c r="AJ120" i="13"/>
  <c r="BH121" i="13"/>
  <c r="CF122" i="13"/>
  <c r="DD123" i="13"/>
  <c r="L124" i="14"/>
  <c r="AJ125" i="14"/>
  <c r="BH126" i="14"/>
  <c r="CF127" i="14"/>
  <c r="DD128" i="14"/>
  <c r="AJ114" i="15"/>
  <c r="BH115" i="15"/>
  <c r="CF116" i="15"/>
  <c r="DD117" i="15"/>
  <c r="L118" i="16"/>
  <c r="AJ119" i="16"/>
  <c r="BH120" i="16"/>
  <c r="CF121" i="16"/>
  <c r="DD122" i="16"/>
  <c r="L118" i="13"/>
  <c r="AJ126" i="13"/>
  <c r="BH127" i="13"/>
  <c r="CF128" i="13"/>
  <c r="L114" i="14"/>
  <c r="AJ115" i="14"/>
  <c r="BH116" i="14"/>
  <c r="CF117" i="14"/>
  <c r="DD118" i="14"/>
  <c r="L119" i="15"/>
  <c r="AJ120" i="15"/>
  <c r="BH121" i="15"/>
  <c r="CF122" i="15"/>
  <c r="DD123" i="15"/>
  <c r="L124" i="16"/>
  <c r="AJ125" i="16"/>
  <c r="BH126" i="16"/>
  <c r="CF127" i="16"/>
  <c r="DD128" i="16"/>
  <c r="H172" i="3"/>
  <c r="G51" i="1" s="1"/>
  <c r="AA48" i="3"/>
  <c r="K172" i="3" s="1"/>
  <c r="I51" i="1" s="1"/>
  <c r="G39" i="3"/>
  <c r="G48" i="3" s="1"/>
  <c r="V39" i="3"/>
  <c r="V48" i="3" s="1"/>
  <c r="I172" i="3" s="1"/>
  <c r="H51" i="1" s="1"/>
  <c r="L39" i="3"/>
  <c r="L48" i="3" s="1"/>
  <c r="G172" i="3" s="1"/>
  <c r="F51" i="1" s="1"/>
  <c r="Q140" i="3"/>
  <c r="Q141" i="3" s="1"/>
  <c r="H179" i="3" s="1"/>
  <c r="G58" i="1" s="1"/>
  <c r="L74" i="3"/>
  <c r="W44" i="10"/>
  <c r="AB44" i="10" s="1"/>
  <c r="W52" i="10"/>
  <c r="AB52" i="10" s="1"/>
  <c r="W54" i="10"/>
  <c r="AB54" i="10" s="1"/>
  <c r="W47" i="10"/>
  <c r="AB47" i="10" s="1"/>
  <c r="W45" i="10"/>
  <c r="AB45" i="10" s="1"/>
  <c r="W53" i="10"/>
  <c r="AB53" i="10" s="1"/>
  <c r="W46" i="10"/>
  <c r="AB46" i="10" s="1"/>
  <c r="W40" i="10"/>
  <c r="AB40" i="10" s="1"/>
  <c r="W48" i="10"/>
  <c r="AB48" i="10" s="1"/>
  <c r="W42" i="10"/>
  <c r="AB42" i="10" s="1"/>
  <c r="W50" i="10"/>
  <c r="AB50" i="10" s="1"/>
  <c r="W41" i="10"/>
  <c r="AB41" i="10" s="1"/>
  <c r="W49" i="10"/>
  <c r="AB49" i="10" s="1"/>
  <c r="W43" i="10"/>
  <c r="AB43" i="10" s="1"/>
  <c r="W51" i="10"/>
  <c r="AB51" i="10" s="1"/>
  <c r="L134" i="3"/>
  <c r="G178" i="3" s="1"/>
  <c r="G184" i="3" s="1"/>
  <c r="H105" i="3"/>
  <c r="Q71" i="3"/>
  <c r="H174" i="3" s="1"/>
  <c r="G53" i="1" s="1"/>
  <c r="Q134" i="3"/>
  <c r="H178" i="3" s="1"/>
  <c r="G57" i="1" s="1"/>
  <c r="AA35" i="3"/>
  <c r="K171" i="3" s="1"/>
  <c r="I50" i="1" s="1"/>
  <c r="AB8" i="3"/>
  <c r="I184" i="3"/>
  <c r="H75" i="1" s="1"/>
  <c r="H57" i="1"/>
  <c r="K184" i="3"/>
  <c r="I75" i="1" s="1"/>
  <c r="I57" i="1"/>
  <c r="G35" i="3"/>
  <c r="F171" i="3" s="1"/>
  <c r="E50" i="1" s="1"/>
  <c r="S35" i="3"/>
  <c r="G105" i="3"/>
  <c r="F176" i="3" s="1"/>
  <c r="AA81" i="3"/>
  <c r="I81" i="3"/>
  <c r="AC81" i="3"/>
  <c r="M105" i="3"/>
  <c r="I64" i="1"/>
  <c r="I66" i="1" s="1"/>
  <c r="I68" i="1" s="1"/>
  <c r="Q35" i="3"/>
  <c r="H171" i="3" s="1"/>
  <c r="G50" i="1" s="1"/>
  <c r="L35" i="3"/>
  <c r="G171" i="3" s="1"/>
  <c r="F50" i="1" s="1"/>
  <c r="N48" i="3"/>
  <c r="S71" i="3"/>
  <c r="V81" i="3"/>
  <c r="R81" i="3"/>
  <c r="V105" i="3"/>
  <c r="N57" i="3"/>
  <c r="N71" i="3" s="1"/>
  <c r="X105" i="3"/>
  <c r="G134" i="3"/>
  <c r="F178" i="3" s="1"/>
  <c r="N134" i="3"/>
  <c r="AC35" i="3"/>
  <c r="L105" i="3"/>
  <c r="G176" i="3" s="1"/>
  <c r="I35" i="3"/>
  <c r="X35" i="3"/>
  <c r="R71" i="3"/>
  <c r="Q81" i="3"/>
  <c r="N84" i="3"/>
  <c r="N105" i="3" s="1"/>
  <c r="I134" i="3"/>
  <c r="V35" i="3"/>
  <c r="I171" i="3" s="1"/>
  <c r="S125" i="3"/>
  <c r="S134" i="3" s="1"/>
  <c r="N35" i="3"/>
  <c r="S48" i="3"/>
  <c r="I48" i="3"/>
  <c r="H71" i="3"/>
  <c r="F186" i="3" s="1"/>
  <c r="M35" i="3"/>
  <c r="I84" i="3"/>
  <c r="I105" i="3" s="1"/>
  <c r="G186" i="3" l="1"/>
  <c r="H186" i="3"/>
  <c r="G64" i="1" s="1"/>
  <c r="G66" i="1" s="1"/>
  <c r="G68" i="1" s="1"/>
  <c r="I186" i="3"/>
  <c r="H50" i="1"/>
  <c r="F55" i="1"/>
  <c r="E55" i="1"/>
  <c r="L81" i="3"/>
  <c r="G175" i="3" s="1"/>
  <c r="F172" i="3"/>
  <c r="E51" i="1" s="1"/>
  <c r="F61" i="1"/>
  <c r="F75" i="1" s="1"/>
  <c r="F28" i="8" s="1"/>
  <c r="H8" i="3"/>
  <c r="R8" i="3"/>
  <c r="X51" i="10"/>
  <c r="E73" i="22" s="1"/>
  <c r="Q19" i="23" s="1"/>
  <c r="X53" i="10"/>
  <c r="E75" i="22" s="1"/>
  <c r="Q21" i="23" s="1"/>
  <c r="X49" i="10"/>
  <c r="E71" i="22" s="1"/>
  <c r="Q17" i="23" s="1"/>
  <c r="X50" i="10"/>
  <c r="E72" i="22" s="1"/>
  <c r="Q18" i="23" s="1"/>
  <c r="X47" i="10"/>
  <c r="E69" i="22" s="1"/>
  <c r="Q15" i="23" s="1"/>
  <c r="X43" i="10"/>
  <c r="E65" i="22" s="1"/>
  <c r="Q11" i="23" s="1"/>
  <c r="X45" i="10"/>
  <c r="E67" i="22" s="1"/>
  <c r="Q13" i="23" s="1"/>
  <c r="X54" i="10"/>
  <c r="E76" i="22" s="1"/>
  <c r="Q22" i="23" s="1"/>
  <c r="X48" i="10"/>
  <c r="E70" i="22" s="1"/>
  <c r="Q16" i="23" s="1"/>
  <c r="X52" i="10"/>
  <c r="E74" i="22" s="1"/>
  <c r="Q20" i="23" s="1"/>
  <c r="X46" i="10"/>
  <c r="E68" i="22" s="1"/>
  <c r="Q14" i="23" s="1"/>
  <c r="X41" i="10"/>
  <c r="E63" i="22" s="1"/>
  <c r="Q9" i="23" s="1"/>
  <c r="X42" i="10"/>
  <c r="E64" i="22" s="1"/>
  <c r="Q10" i="23" s="1"/>
  <c r="X40" i="10"/>
  <c r="E62" i="22" s="1"/>
  <c r="Q8" i="23" s="1"/>
  <c r="X44" i="10"/>
  <c r="E66" i="22" s="1"/>
  <c r="Q12" i="23" s="1"/>
  <c r="F57" i="1"/>
  <c r="H184" i="3"/>
  <c r="I176" i="3"/>
  <c r="H55" i="1" s="1"/>
  <c r="W10" i="3"/>
  <c r="M8" i="3"/>
  <c r="F184" i="3"/>
  <c r="E57" i="1"/>
  <c r="I175" i="3"/>
  <c r="F175" i="3"/>
  <c r="E54" i="1" s="1"/>
  <c r="H10" i="3"/>
  <c r="H175" i="3"/>
  <c r="R10" i="3"/>
  <c r="K175" i="3"/>
  <c r="AB10" i="3"/>
  <c r="AB9" i="3"/>
  <c r="W9" i="3"/>
  <c r="M9" i="3"/>
  <c r="R9" i="3"/>
  <c r="H9" i="3"/>
  <c r="F64" i="1"/>
  <c r="F66" i="1" s="1"/>
  <c r="F68" i="1" s="1"/>
  <c r="H64" i="1"/>
  <c r="H66" i="1" s="1"/>
  <c r="H68" i="1" s="1"/>
  <c r="E64" i="1"/>
  <c r="E66" i="1" s="1"/>
  <c r="E68" i="1" s="1"/>
  <c r="H183" i="3" l="1"/>
  <c r="G54" i="1"/>
  <c r="I181" i="3"/>
  <c r="H54" i="1"/>
  <c r="K183" i="3"/>
  <c r="I60" i="1" s="1"/>
  <c r="I54" i="1"/>
  <c r="G183" i="3"/>
  <c r="F60" i="1" s="1"/>
  <c r="F62" i="1" s="1"/>
  <c r="F54" i="1"/>
  <c r="M10" i="3"/>
  <c r="M11" i="3" s="1"/>
  <c r="F183" i="3"/>
  <c r="E60" i="1" s="1"/>
  <c r="E74" i="1" s="1"/>
  <c r="E27" i="8" s="1"/>
  <c r="K181" i="3"/>
  <c r="H181" i="3"/>
  <c r="I183" i="3"/>
  <c r="H60" i="1" s="1"/>
  <c r="G181" i="3"/>
  <c r="F181" i="3"/>
  <c r="G61" i="1"/>
  <c r="G75" i="1" s="1"/>
  <c r="G28" i="8" s="1"/>
  <c r="E61" i="1"/>
  <c r="E75" i="1" s="1"/>
  <c r="E28" i="8" s="1"/>
  <c r="G60" i="1"/>
  <c r="W11" i="3"/>
  <c r="R11" i="3"/>
  <c r="H11" i="3"/>
  <c r="AB11" i="3"/>
  <c r="F74" i="1" l="1"/>
  <c r="F27" i="8" s="1"/>
  <c r="E62" i="1"/>
  <c r="G73" i="1"/>
  <c r="G26" i="8" s="1"/>
  <c r="H62" i="1"/>
  <c r="H74" i="1"/>
  <c r="H27" i="8" s="1"/>
  <c r="I62" i="1"/>
  <c r="I74" i="1"/>
  <c r="I27" i="8" s="1"/>
  <c r="G62" i="1"/>
  <c r="G74" i="1"/>
  <c r="G27" i="8" s="1"/>
  <c r="H21" i="1"/>
  <c r="H16" i="8" s="1"/>
  <c r="G19" i="1"/>
  <c r="G14" i="8" s="1"/>
  <c r="F19" i="1"/>
  <c r="F14" i="8" s="1"/>
  <c r="E19" i="1"/>
  <c r="E14" i="8" s="1"/>
  <c r="E72" i="1"/>
  <c r="E25" i="8" s="1"/>
  <c r="H45" i="1"/>
  <c r="F76" i="1" l="1"/>
  <c r="F29" i="8" s="1"/>
  <c r="F72" i="1"/>
  <c r="F25" i="8" s="1"/>
  <c r="I45" i="1"/>
  <c r="I22" i="8" s="1"/>
  <c r="I80" i="1"/>
  <c r="I37" i="8" s="1"/>
  <c r="H80" i="1"/>
  <c r="H37" i="8" s="1"/>
  <c r="H82" i="1"/>
  <c r="H39" i="8" s="1"/>
  <c r="I76" i="1"/>
  <c r="H76" i="1"/>
  <c r="G76" i="1"/>
  <c r="G72" i="1"/>
  <c r="G25" i="8" s="1"/>
  <c r="I72" i="1"/>
  <c r="I25" i="8" s="1"/>
  <c r="E22" i="1"/>
  <c r="E17" i="8" s="1"/>
  <c r="E73" i="1"/>
  <c r="E26" i="8" s="1"/>
  <c r="F73" i="1"/>
  <c r="F26" i="8" s="1"/>
  <c r="H72" i="1"/>
  <c r="H25" i="8" s="1"/>
  <c r="F22" i="1"/>
  <c r="F17" i="8" s="1"/>
  <c r="G22" i="1"/>
  <c r="G17" i="8" s="1"/>
  <c r="E42" i="1"/>
  <c r="E45" i="1" s="1"/>
  <c r="F42" i="1"/>
  <c r="F46" i="1" s="1"/>
  <c r="F23" i="8" s="1"/>
  <c r="E76" i="1"/>
  <c r="E20" i="1"/>
  <c r="E15" i="8" s="1"/>
  <c r="G42" i="1"/>
  <c r="G46" i="1" s="1"/>
  <c r="G23" i="8" s="1"/>
  <c r="G20" i="1"/>
  <c r="I19" i="1"/>
  <c r="I14" i="8" s="1"/>
  <c r="H19" i="1"/>
  <c r="H14" i="8" s="1"/>
  <c r="G21" i="1"/>
  <c r="G16" i="8" s="1"/>
  <c r="F21" i="1"/>
  <c r="F16" i="8" s="1"/>
  <c r="H23" i="1"/>
  <c r="H18" i="8" s="1"/>
  <c r="G28" i="18" s="1"/>
  <c r="I23" i="1"/>
  <c r="I18" i="8" s="1"/>
  <c r="H28" i="18" s="1"/>
  <c r="E21" i="1"/>
  <c r="E16" i="8" s="1"/>
  <c r="F20" i="1"/>
  <c r="F15" i="8" s="1"/>
  <c r="E20" i="18" l="1"/>
  <c r="E46" i="1"/>
  <c r="E23" i="8" s="1"/>
  <c r="E22" i="8"/>
  <c r="F45" i="1"/>
  <c r="F22" i="8" s="1"/>
  <c r="G45" i="1"/>
  <c r="G22" i="8" s="1"/>
  <c r="G41" i="9"/>
  <c r="G39" i="9"/>
  <c r="G51" i="9"/>
  <c r="G47" i="9"/>
  <c r="G43" i="9"/>
  <c r="H147" i="9" s="1"/>
  <c r="G50" i="9"/>
  <c r="G46" i="9"/>
  <c r="G42" i="9"/>
  <c r="G48" i="9"/>
  <c r="H152" i="9" s="1"/>
  <c r="G49" i="9"/>
  <c r="G53" i="9"/>
  <c r="H157" i="9" s="1"/>
  <c r="G40" i="9"/>
  <c r="G45" i="9"/>
  <c r="G52" i="9"/>
  <c r="G44" i="9"/>
  <c r="G54" i="9"/>
  <c r="G29" i="8"/>
  <c r="F20" i="18"/>
  <c r="H29" i="8"/>
  <c r="G96" i="9" s="1"/>
  <c r="G20" i="18"/>
  <c r="I29" i="8"/>
  <c r="G131" i="9" s="1"/>
  <c r="H20" i="18"/>
  <c r="E29" i="8"/>
  <c r="D20" i="18"/>
  <c r="G15" i="8"/>
  <c r="H81" i="1"/>
  <c r="H22" i="8"/>
  <c r="E95" i="9"/>
  <c r="E103" i="9"/>
  <c r="E96" i="9"/>
  <c r="E104" i="9"/>
  <c r="E99" i="9"/>
  <c r="E97" i="9"/>
  <c r="F149" i="9" s="1"/>
  <c r="E105" i="9"/>
  <c r="E106" i="9"/>
  <c r="E94" i="9"/>
  <c r="E102" i="9"/>
  <c r="F154" i="9" s="1"/>
  <c r="E98" i="9"/>
  <c r="E92" i="9"/>
  <c r="F144" i="9" s="1"/>
  <c r="E100" i="9"/>
  <c r="E101" i="9"/>
  <c r="E91" i="9"/>
  <c r="E93" i="9"/>
  <c r="H43" i="1"/>
  <c r="H20" i="8" s="1"/>
  <c r="E121" i="9"/>
  <c r="E129" i="9"/>
  <c r="F155" i="9" s="1"/>
  <c r="E132" i="9"/>
  <c r="E125" i="9"/>
  <c r="E122" i="9"/>
  <c r="E130" i="9"/>
  <c r="E124" i="9"/>
  <c r="F150" i="9" s="1"/>
  <c r="E123" i="9"/>
  <c r="E131" i="9"/>
  <c r="E117" i="9"/>
  <c r="E120" i="9"/>
  <c r="E128" i="9"/>
  <c r="E119" i="9"/>
  <c r="F145" i="9" s="1"/>
  <c r="E127" i="9"/>
  <c r="E126" i="9"/>
  <c r="E118" i="9"/>
  <c r="I81" i="1"/>
  <c r="G44" i="1"/>
  <c r="G21" i="8" s="1"/>
  <c r="G82" i="1"/>
  <c r="F44" i="1"/>
  <c r="F82" i="1"/>
  <c r="I82" i="1"/>
  <c r="I39" i="8" s="1"/>
  <c r="G23" i="1"/>
  <c r="G18" i="8" s="1"/>
  <c r="F28" i="18" s="1"/>
  <c r="F23" i="1"/>
  <c r="F18" i="8" s="1"/>
  <c r="E28" i="18" s="1"/>
  <c r="F89" i="1"/>
  <c r="F44" i="8" s="1"/>
  <c r="G89" i="1"/>
  <c r="G44" i="8" s="1"/>
  <c r="I47" i="1"/>
  <c r="I88" i="1"/>
  <c r="I43" i="8" s="1"/>
  <c r="I43" i="1"/>
  <c r="H88" i="1"/>
  <c r="H43" i="8" s="1"/>
  <c r="H47" i="1"/>
  <c r="E23" i="1"/>
  <c r="E18" i="8" s="1"/>
  <c r="D28" i="18" s="1"/>
  <c r="DA152" i="16" l="1"/>
  <c r="CC152" i="16"/>
  <c r="AG152" i="16"/>
  <c r="CC152" i="15"/>
  <c r="AG152" i="15"/>
  <c r="AG152" i="13"/>
  <c r="I152" i="13"/>
  <c r="BE152" i="16"/>
  <c r="AG152" i="14"/>
  <c r="DA152" i="13"/>
  <c r="I152" i="16"/>
  <c r="DA152" i="14"/>
  <c r="CC152" i="14"/>
  <c r="BE152" i="13"/>
  <c r="DA152" i="15"/>
  <c r="BE152" i="15"/>
  <c r="I152" i="15"/>
  <c r="BE152" i="14"/>
  <c r="CC152" i="13"/>
  <c r="I152" i="14"/>
  <c r="E89" i="1"/>
  <c r="E44" i="8" s="1"/>
  <c r="F88" i="1"/>
  <c r="F43" i="8" s="1"/>
  <c r="E44" i="1"/>
  <c r="E21" i="8" s="1"/>
  <c r="E82" i="1"/>
  <c r="E33" i="8" s="1"/>
  <c r="E39" i="8" s="1"/>
  <c r="F47" i="1"/>
  <c r="E16" i="18" s="1"/>
  <c r="F43" i="1"/>
  <c r="F20" i="8" s="1"/>
  <c r="G47" i="1"/>
  <c r="F16" i="18" s="1"/>
  <c r="F81" i="1"/>
  <c r="F32" i="8" s="1"/>
  <c r="F38" i="8" s="1"/>
  <c r="E81" i="1"/>
  <c r="E32" i="8" s="1"/>
  <c r="E38" i="8" s="1"/>
  <c r="E43" i="1"/>
  <c r="E20" i="8" s="1"/>
  <c r="E88" i="1"/>
  <c r="E43" i="8" s="1"/>
  <c r="E47" i="1"/>
  <c r="D16" i="18" s="1"/>
  <c r="G43" i="1"/>
  <c r="G20" i="8" s="1"/>
  <c r="G81" i="1"/>
  <c r="G32" i="8" s="1"/>
  <c r="G38" i="8" s="1"/>
  <c r="G88" i="1"/>
  <c r="G43" i="8" s="1"/>
  <c r="K8" i="17"/>
  <c r="K12" i="17"/>
  <c r="K16" i="17"/>
  <c r="K20" i="17"/>
  <c r="K14" i="17"/>
  <c r="K22" i="17"/>
  <c r="K11" i="17"/>
  <c r="K19" i="17"/>
  <c r="K9" i="17"/>
  <c r="K13" i="17"/>
  <c r="K17" i="17"/>
  <c r="K21" i="17"/>
  <c r="K10" i="17"/>
  <c r="K18" i="17"/>
  <c r="K15" i="17"/>
  <c r="K7" i="17"/>
  <c r="H8" i="17"/>
  <c r="H12" i="17"/>
  <c r="H16" i="17"/>
  <c r="H20" i="17"/>
  <c r="H10" i="17"/>
  <c r="H18" i="17"/>
  <c r="H11" i="17"/>
  <c r="H19" i="17"/>
  <c r="H9" i="17"/>
  <c r="H13" i="17"/>
  <c r="H17" i="17"/>
  <c r="H21" i="17"/>
  <c r="H14" i="17"/>
  <c r="H22" i="17"/>
  <c r="H15" i="17"/>
  <c r="H7" i="17"/>
  <c r="G105" i="9"/>
  <c r="G98" i="9"/>
  <c r="G100" i="9"/>
  <c r="G104" i="9"/>
  <c r="G106" i="9"/>
  <c r="G27" i="9"/>
  <c r="G20" i="9"/>
  <c r="G23" i="9"/>
  <c r="H153" i="9" s="1"/>
  <c r="G24" i="9"/>
  <c r="G103" i="9"/>
  <c r="G121" i="9"/>
  <c r="G76" i="9"/>
  <c r="G65" i="9"/>
  <c r="G102" i="9"/>
  <c r="H154" i="9" s="1"/>
  <c r="DL74" i="16" s="1"/>
  <c r="G21" i="9"/>
  <c r="G93" i="9"/>
  <c r="G18" i="9"/>
  <c r="H148" i="9" s="1"/>
  <c r="G127" i="9"/>
  <c r="G122" i="9"/>
  <c r="G72" i="9"/>
  <c r="G118" i="9"/>
  <c r="G79" i="9"/>
  <c r="G101" i="9"/>
  <c r="G97" i="9"/>
  <c r="H149" i="9" s="1"/>
  <c r="AL69" i="16" s="1"/>
  <c r="G125" i="9"/>
  <c r="G14" i="9"/>
  <c r="G74" i="9"/>
  <c r="G75" i="9"/>
  <c r="G117" i="9"/>
  <c r="G22" i="9"/>
  <c r="G77" i="9"/>
  <c r="G123" i="9"/>
  <c r="G25" i="9"/>
  <c r="G69" i="9"/>
  <c r="G132" i="9"/>
  <c r="G70" i="9"/>
  <c r="G128" i="9"/>
  <c r="G126" i="9"/>
  <c r="G13" i="9"/>
  <c r="H143" i="9" s="1"/>
  <c r="DL63" i="16" s="1"/>
  <c r="G73" i="9"/>
  <c r="H151" i="9" s="1"/>
  <c r="G94" i="9"/>
  <c r="G92" i="9"/>
  <c r="H144" i="9" s="1"/>
  <c r="DL64" i="16" s="1"/>
  <c r="G129" i="9"/>
  <c r="G130" i="9"/>
  <c r="G16" i="9"/>
  <c r="G19" i="9"/>
  <c r="G68" i="9"/>
  <c r="H146" i="9" s="1"/>
  <c r="G71" i="9"/>
  <c r="G91" i="9"/>
  <c r="G99" i="9"/>
  <c r="G119" i="9"/>
  <c r="G124" i="9"/>
  <c r="G17" i="9"/>
  <c r="G26" i="9"/>
  <c r="G66" i="9"/>
  <c r="G78" i="9"/>
  <c r="H156" i="9" s="1"/>
  <c r="G95" i="9"/>
  <c r="G120" i="9"/>
  <c r="G15" i="9"/>
  <c r="G28" i="9"/>
  <c r="H158" i="9" s="1"/>
  <c r="G67" i="9"/>
  <c r="G80" i="9"/>
  <c r="I24" i="8"/>
  <c r="F130" i="9" s="1"/>
  <c r="H16" i="18"/>
  <c r="H24" i="8"/>
  <c r="F91" i="9" s="1"/>
  <c r="G16" i="18"/>
  <c r="F24" i="8"/>
  <c r="F33" i="8"/>
  <c r="F39" i="8" s="1"/>
  <c r="G33" i="8"/>
  <c r="G39" i="8" s="1"/>
  <c r="I32" i="8"/>
  <c r="I38" i="8" s="1"/>
  <c r="H32" i="8"/>
  <c r="H38" i="8" s="1"/>
  <c r="G87" i="1"/>
  <c r="G42" i="8" s="1"/>
  <c r="F87" i="1"/>
  <c r="F42" i="8" s="1"/>
  <c r="F21" i="8"/>
  <c r="E43" i="9"/>
  <c r="F147" i="9" s="1"/>
  <c r="E51" i="9"/>
  <c r="E46" i="9"/>
  <c r="E44" i="9"/>
  <c r="E52" i="9"/>
  <c r="E45" i="9"/>
  <c r="E53" i="9"/>
  <c r="F157" i="9" s="1"/>
  <c r="E54" i="9"/>
  <c r="E42" i="9"/>
  <c r="E50" i="9"/>
  <c r="E48" i="9"/>
  <c r="F152" i="9" s="1"/>
  <c r="E40" i="9"/>
  <c r="E49" i="9"/>
  <c r="E39" i="9"/>
  <c r="E47" i="9"/>
  <c r="E41" i="9"/>
  <c r="I86" i="1"/>
  <c r="I41" i="8" s="1"/>
  <c r="I20" i="8"/>
  <c r="I83" i="1"/>
  <c r="E69" i="9"/>
  <c r="E77" i="9"/>
  <c r="E73" i="9"/>
  <c r="F151" i="9" s="1"/>
  <c r="E70" i="9"/>
  <c r="E78" i="9"/>
  <c r="F156" i="9" s="1"/>
  <c r="E72" i="9"/>
  <c r="E71" i="9"/>
  <c r="E79" i="9"/>
  <c r="E68" i="9"/>
  <c r="F146" i="9" s="1"/>
  <c r="E76" i="9"/>
  <c r="E80" i="9"/>
  <c r="E66" i="9"/>
  <c r="E75" i="9"/>
  <c r="E65" i="9"/>
  <c r="E67" i="9"/>
  <c r="E74" i="9"/>
  <c r="F80" i="1"/>
  <c r="G80" i="1"/>
  <c r="H86" i="1"/>
  <c r="H41" i="8" s="1"/>
  <c r="H79" i="1"/>
  <c r="H83" i="1"/>
  <c r="I79" i="1"/>
  <c r="H90" i="1"/>
  <c r="H45" i="8" s="1"/>
  <c r="I90" i="1"/>
  <c r="I45" i="8" s="1"/>
  <c r="R12" i="8"/>
  <c r="K10" i="2"/>
  <c r="DA149" i="16" l="1"/>
  <c r="CC149" i="16"/>
  <c r="AG149" i="16"/>
  <c r="CC149" i="15"/>
  <c r="AG149" i="15"/>
  <c r="CC149" i="14"/>
  <c r="BE149" i="14"/>
  <c r="CC149" i="13"/>
  <c r="BE149" i="16"/>
  <c r="DA149" i="14"/>
  <c r="I149" i="14"/>
  <c r="AG149" i="13"/>
  <c r="I149" i="13"/>
  <c r="I149" i="16"/>
  <c r="I149" i="15"/>
  <c r="DA149" i="13"/>
  <c r="DA149" i="15"/>
  <c r="BE149" i="15"/>
  <c r="BE149" i="13"/>
  <c r="AG149" i="14"/>
  <c r="CC138" i="16"/>
  <c r="AG138" i="16"/>
  <c r="I138" i="16"/>
  <c r="CC138" i="15"/>
  <c r="BE138" i="13"/>
  <c r="DA138" i="16"/>
  <c r="BE138" i="16"/>
  <c r="BE138" i="14"/>
  <c r="CC138" i="13"/>
  <c r="AG138" i="15"/>
  <c r="I138" i="15"/>
  <c r="DA138" i="14"/>
  <c r="I138" i="14"/>
  <c r="AG138" i="13"/>
  <c r="I138" i="13"/>
  <c r="DA138" i="15"/>
  <c r="BE138" i="15"/>
  <c r="CC138" i="14"/>
  <c r="DA138" i="13"/>
  <c r="AG138" i="14"/>
  <c r="DA146" i="16"/>
  <c r="CC146" i="16"/>
  <c r="AG146" i="16"/>
  <c r="I146" i="16"/>
  <c r="CC146" i="15"/>
  <c r="AG146" i="15"/>
  <c r="I146" i="14"/>
  <c r="BE146" i="13"/>
  <c r="BE146" i="16"/>
  <c r="AG146" i="14"/>
  <c r="I146" i="15"/>
  <c r="CC146" i="14"/>
  <c r="CC146" i="13"/>
  <c r="AG146" i="13"/>
  <c r="I146" i="13"/>
  <c r="DA146" i="15"/>
  <c r="DA146" i="14"/>
  <c r="DA146" i="13"/>
  <c r="BE146" i="15"/>
  <c r="BE146" i="14"/>
  <c r="CC139" i="16"/>
  <c r="AG139" i="16"/>
  <c r="I139" i="16"/>
  <c r="CC139" i="15"/>
  <c r="DA139" i="16"/>
  <c r="CC139" i="14"/>
  <c r="AG139" i="14"/>
  <c r="I139" i="14"/>
  <c r="DA139" i="13"/>
  <c r="BE139" i="16"/>
  <c r="BE139" i="14"/>
  <c r="CC139" i="13"/>
  <c r="BE139" i="13"/>
  <c r="AG139" i="15"/>
  <c r="I139" i="15"/>
  <c r="DA139" i="14"/>
  <c r="DA139" i="15"/>
  <c r="BE139" i="15"/>
  <c r="I139" i="13"/>
  <c r="AG139" i="13"/>
  <c r="H150" i="9"/>
  <c r="DA145" i="16"/>
  <c r="CC145" i="16"/>
  <c r="AG145" i="16"/>
  <c r="I145" i="16"/>
  <c r="CC145" i="15"/>
  <c r="AG145" i="15"/>
  <c r="AG145" i="14"/>
  <c r="BE145" i="16"/>
  <c r="CC145" i="14"/>
  <c r="CC145" i="13"/>
  <c r="AG145" i="13"/>
  <c r="I145" i="13"/>
  <c r="I145" i="15"/>
  <c r="DA145" i="14"/>
  <c r="BE145" i="14"/>
  <c r="I145" i="14"/>
  <c r="DA145" i="13"/>
  <c r="DA145" i="15"/>
  <c r="BE145" i="15"/>
  <c r="BE145" i="13"/>
  <c r="DA151" i="16"/>
  <c r="CC151" i="16"/>
  <c r="AG151" i="16"/>
  <c r="CC151" i="15"/>
  <c r="AG151" i="15"/>
  <c r="AG151" i="14"/>
  <c r="DA151" i="13"/>
  <c r="BE151" i="16"/>
  <c r="CC151" i="14"/>
  <c r="I151" i="14"/>
  <c r="BE151" i="13"/>
  <c r="I151" i="16"/>
  <c r="I151" i="15"/>
  <c r="DA151" i="14"/>
  <c r="BE151" i="14"/>
  <c r="CC151" i="13"/>
  <c r="DA151" i="15"/>
  <c r="I151" i="13"/>
  <c r="BE151" i="15"/>
  <c r="AG151" i="13"/>
  <c r="DA144" i="16"/>
  <c r="CC144" i="16"/>
  <c r="AG144" i="16"/>
  <c r="I144" i="16"/>
  <c r="CC144" i="15"/>
  <c r="AG144" i="15"/>
  <c r="CC144" i="14"/>
  <c r="AG144" i="14"/>
  <c r="I144" i="14"/>
  <c r="AG144" i="13"/>
  <c r="I144" i="13"/>
  <c r="BE144" i="16"/>
  <c r="I144" i="15"/>
  <c r="DA144" i="14"/>
  <c r="BE144" i="14"/>
  <c r="DA144" i="13"/>
  <c r="CC144" i="13"/>
  <c r="BE144" i="13"/>
  <c r="DA144" i="15"/>
  <c r="BE144" i="15"/>
  <c r="H145" i="9"/>
  <c r="AL65" i="16" s="1"/>
  <c r="CC140" i="16"/>
  <c r="AG140" i="16"/>
  <c r="I140" i="16"/>
  <c r="CC140" i="15"/>
  <c r="DA140" i="16"/>
  <c r="CC140" i="14"/>
  <c r="AG140" i="13"/>
  <c r="I140" i="13"/>
  <c r="BE140" i="16"/>
  <c r="BE140" i="14"/>
  <c r="AG140" i="14"/>
  <c r="DA140" i="13"/>
  <c r="AG140" i="15"/>
  <c r="I140" i="15"/>
  <c r="DA140" i="14"/>
  <c r="I140" i="14"/>
  <c r="CC140" i="13"/>
  <c r="BE140" i="13"/>
  <c r="DA140" i="15"/>
  <c r="BE140" i="15"/>
  <c r="H155" i="9"/>
  <c r="AL75" i="16" s="1"/>
  <c r="DA150" i="16"/>
  <c r="CC150" i="16"/>
  <c r="AG150" i="16"/>
  <c r="CC150" i="15"/>
  <c r="AG150" i="15"/>
  <c r="AG150" i="14"/>
  <c r="BE150" i="13"/>
  <c r="BE150" i="16"/>
  <c r="CC150" i="14"/>
  <c r="BE150" i="14"/>
  <c r="CC150" i="13"/>
  <c r="I150" i="16"/>
  <c r="I150" i="15"/>
  <c r="DA150" i="14"/>
  <c r="AG150" i="13"/>
  <c r="I150" i="13"/>
  <c r="DA150" i="15"/>
  <c r="BE150" i="15"/>
  <c r="I150" i="14"/>
  <c r="DA150" i="13"/>
  <c r="DA153" i="16"/>
  <c r="CC153" i="16"/>
  <c r="AG153" i="16"/>
  <c r="CC153" i="15"/>
  <c r="AG153" i="15"/>
  <c r="I153" i="15"/>
  <c r="BE153" i="14"/>
  <c r="I153" i="14"/>
  <c r="CC153" i="13"/>
  <c r="BE153" i="16"/>
  <c r="I153" i="16"/>
  <c r="AG153" i="13"/>
  <c r="I153" i="13"/>
  <c r="AG153" i="14"/>
  <c r="DA153" i="13"/>
  <c r="DA153" i="15"/>
  <c r="BE153" i="15"/>
  <c r="DA153" i="14"/>
  <c r="CC153" i="14"/>
  <c r="BE153" i="13"/>
  <c r="DA143" i="16"/>
  <c r="CC143" i="16"/>
  <c r="AG143" i="16"/>
  <c r="I143" i="16"/>
  <c r="CC143" i="15"/>
  <c r="AG143" i="15"/>
  <c r="DA143" i="14"/>
  <c r="BE143" i="14"/>
  <c r="DA143" i="13"/>
  <c r="CC143" i="13"/>
  <c r="BE143" i="16"/>
  <c r="I143" i="15"/>
  <c r="BE143" i="13"/>
  <c r="DA143" i="15"/>
  <c r="BE143" i="15"/>
  <c r="AG143" i="13"/>
  <c r="CC143" i="14"/>
  <c r="AG143" i="14"/>
  <c r="I143" i="13"/>
  <c r="I143" i="14"/>
  <c r="DA142" i="16"/>
  <c r="CC142" i="16"/>
  <c r="AG142" i="16"/>
  <c r="I142" i="16"/>
  <c r="CC142" i="15"/>
  <c r="AG142" i="15"/>
  <c r="I142" i="15"/>
  <c r="DA142" i="14"/>
  <c r="CC142" i="13"/>
  <c r="BE142" i="13"/>
  <c r="BE142" i="16"/>
  <c r="CC142" i="14"/>
  <c r="I142" i="14"/>
  <c r="AG142" i="13"/>
  <c r="I142" i="13"/>
  <c r="DA142" i="15"/>
  <c r="BE142" i="15"/>
  <c r="DA142" i="13"/>
  <c r="AG142" i="14"/>
  <c r="BE142" i="14"/>
  <c r="DA141" i="16"/>
  <c r="CC141" i="16"/>
  <c r="AG141" i="16"/>
  <c r="I141" i="16"/>
  <c r="CC141" i="15"/>
  <c r="I141" i="14"/>
  <c r="BE141" i="16"/>
  <c r="CC141" i="14"/>
  <c r="AG141" i="13"/>
  <c r="I141" i="13"/>
  <c r="AG141" i="15"/>
  <c r="BE141" i="14"/>
  <c r="AG141" i="14"/>
  <c r="DA141" i="13"/>
  <c r="I141" i="15"/>
  <c r="DA141" i="14"/>
  <c r="CC141" i="13"/>
  <c r="BE141" i="13"/>
  <c r="DA141" i="15"/>
  <c r="BE141" i="15"/>
  <c r="DA147" i="16"/>
  <c r="CC147" i="16"/>
  <c r="AG147" i="16"/>
  <c r="I147" i="16"/>
  <c r="CC147" i="15"/>
  <c r="AG147" i="15"/>
  <c r="I147" i="15"/>
  <c r="DA147" i="13"/>
  <c r="BE147" i="16"/>
  <c r="AG147" i="14"/>
  <c r="BE147" i="13"/>
  <c r="I147" i="14"/>
  <c r="DA147" i="15"/>
  <c r="DA147" i="14"/>
  <c r="AG147" i="13"/>
  <c r="BE147" i="15"/>
  <c r="CC147" i="14"/>
  <c r="CC147" i="13"/>
  <c r="BE147" i="14"/>
  <c r="I147" i="13"/>
  <c r="DA148" i="16"/>
  <c r="CC148" i="16"/>
  <c r="AG148" i="16"/>
  <c r="CC148" i="15"/>
  <c r="AG148" i="15"/>
  <c r="DA148" i="14"/>
  <c r="I148" i="14"/>
  <c r="CC148" i="13"/>
  <c r="AG148" i="13"/>
  <c r="I148" i="13"/>
  <c r="BE148" i="16"/>
  <c r="I148" i="15"/>
  <c r="DA148" i="13"/>
  <c r="I148" i="16"/>
  <c r="AG148" i="14"/>
  <c r="BE148" i="13"/>
  <c r="DA148" i="15"/>
  <c r="BE148" i="15"/>
  <c r="CC148" i="14"/>
  <c r="BE148" i="14"/>
  <c r="CZ151" i="15"/>
  <c r="DB151" i="15" s="1"/>
  <c r="CB151" i="15"/>
  <c r="CD151" i="15" s="1"/>
  <c r="H151" i="15"/>
  <c r="J151" i="15" s="1"/>
  <c r="CB151" i="14"/>
  <c r="CD151" i="14" s="1"/>
  <c r="BD151" i="14"/>
  <c r="BF151" i="14" s="1"/>
  <c r="CB151" i="13"/>
  <c r="CD151" i="13" s="1"/>
  <c r="BD151" i="16"/>
  <c r="BF151" i="16" s="1"/>
  <c r="CZ151" i="13"/>
  <c r="H151" i="13"/>
  <c r="H151" i="16"/>
  <c r="J151" i="16" s="1"/>
  <c r="AF151" i="15"/>
  <c r="AH151" i="15" s="1"/>
  <c r="CZ151" i="14"/>
  <c r="DB151" i="14" s="1"/>
  <c r="AF151" i="13"/>
  <c r="AH151" i="13" s="1"/>
  <c r="BD151" i="15"/>
  <c r="AF151" i="14"/>
  <c r="H151" i="14"/>
  <c r="J151" i="14" s="1"/>
  <c r="BD151" i="13"/>
  <c r="BF151" i="13" s="1"/>
  <c r="CZ151" i="16"/>
  <c r="AF151" i="16"/>
  <c r="CB151" i="16"/>
  <c r="CD151" i="16" s="1"/>
  <c r="G79" i="1"/>
  <c r="G30" i="8" s="1"/>
  <c r="G36" i="8" s="1"/>
  <c r="F90" i="1"/>
  <c r="F45" i="8" s="1"/>
  <c r="F86" i="1"/>
  <c r="F41" i="8" s="1"/>
  <c r="G86" i="1"/>
  <c r="G41" i="8" s="1"/>
  <c r="F83" i="1"/>
  <c r="F34" i="8" s="1"/>
  <c r="F40" i="8" s="1"/>
  <c r="E87" i="1"/>
  <c r="E42" i="8" s="1"/>
  <c r="E80" i="1"/>
  <c r="E31" i="8" s="1"/>
  <c r="E37" i="8" s="1"/>
  <c r="G24" i="8"/>
  <c r="F70" i="9" s="1"/>
  <c r="H70" i="9" s="1"/>
  <c r="F79" i="1"/>
  <c r="F30" i="8" s="1"/>
  <c r="F36" i="8" s="1"/>
  <c r="G83" i="1"/>
  <c r="G34" i="8" s="1"/>
  <c r="G40" i="8" s="1"/>
  <c r="K39" i="2"/>
  <c r="K57" i="2"/>
  <c r="G90" i="1"/>
  <c r="G45" i="8" s="1"/>
  <c r="E24" i="8"/>
  <c r="F18" i="9" s="1"/>
  <c r="E83" i="1"/>
  <c r="E34" i="8" s="1"/>
  <c r="E40" i="8" s="1"/>
  <c r="E79" i="1"/>
  <c r="E30" i="8" s="1"/>
  <c r="E36" i="8" s="1"/>
  <c r="E86" i="1"/>
  <c r="E41" i="8" s="1"/>
  <c r="E90" i="1"/>
  <c r="E45" i="8" s="1"/>
  <c r="L74" i="13"/>
  <c r="AL64" i="13"/>
  <c r="L74" i="14"/>
  <c r="AL64" i="15"/>
  <c r="AL63" i="15"/>
  <c r="AL64" i="16"/>
  <c r="AL63" i="14"/>
  <c r="AL64" i="14"/>
  <c r="AL74" i="13"/>
  <c r="AL74" i="16"/>
  <c r="BL63" i="14"/>
  <c r="L64" i="13"/>
  <c r="AL74" i="14"/>
  <c r="L63" i="13"/>
  <c r="AL63" i="16"/>
  <c r="BL69" i="15"/>
  <c r="AL69" i="14"/>
  <c r="BL64" i="13"/>
  <c r="BL64" i="14"/>
  <c r="L64" i="14"/>
  <c r="BL64" i="15"/>
  <c r="BL64" i="16"/>
  <c r="L69" i="15"/>
  <c r="CL69" i="15"/>
  <c r="BL69" i="13"/>
  <c r="BL69" i="14"/>
  <c r="CL69" i="16"/>
  <c r="BL74" i="13"/>
  <c r="BL74" i="14"/>
  <c r="BL74" i="15"/>
  <c r="L74" i="15"/>
  <c r="BL74" i="16"/>
  <c r="L63" i="14"/>
  <c r="BL63" i="13"/>
  <c r="CL63" i="14"/>
  <c r="DL63" i="14"/>
  <c r="BL63" i="16"/>
  <c r="L69" i="14"/>
  <c r="AL69" i="13"/>
  <c r="CL64" i="13"/>
  <c r="DL64" i="14"/>
  <c r="L64" i="15"/>
  <c r="CL64" i="15"/>
  <c r="CL64" i="16"/>
  <c r="L69" i="16"/>
  <c r="DL69" i="15"/>
  <c r="CL69" i="13"/>
  <c r="DL69" i="14"/>
  <c r="DL69" i="16"/>
  <c r="CL74" i="13"/>
  <c r="DL74" i="14"/>
  <c r="DL74" i="15"/>
  <c r="L74" i="16"/>
  <c r="CL74" i="16"/>
  <c r="L63" i="15"/>
  <c r="CL63" i="13"/>
  <c r="DL63" i="15"/>
  <c r="BL63" i="15"/>
  <c r="CL63" i="16"/>
  <c r="BL69" i="16"/>
  <c r="DL64" i="13"/>
  <c r="CL64" i="14"/>
  <c r="L64" i="16"/>
  <c r="DL64" i="15"/>
  <c r="AL69" i="15"/>
  <c r="L69" i="13"/>
  <c r="DL69" i="13"/>
  <c r="CL69" i="14"/>
  <c r="DL74" i="13"/>
  <c r="CL74" i="14"/>
  <c r="CL74" i="15"/>
  <c r="AL74" i="15"/>
  <c r="L63" i="16"/>
  <c r="DL63" i="13"/>
  <c r="AL63" i="13"/>
  <c r="CL63" i="15"/>
  <c r="G14" i="17"/>
  <c r="G11" i="17"/>
  <c r="G15" i="17"/>
  <c r="G19" i="17"/>
  <c r="G7" i="17"/>
  <c r="G8" i="17"/>
  <c r="G12" i="17"/>
  <c r="G16" i="17"/>
  <c r="G20" i="17"/>
  <c r="G9" i="17"/>
  <c r="G13" i="17"/>
  <c r="G17" i="17"/>
  <c r="G21" i="17"/>
  <c r="G10" i="17"/>
  <c r="G18" i="17"/>
  <c r="G22" i="17"/>
  <c r="DL78" i="16"/>
  <c r="CL78" i="16"/>
  <c r="BL78" i="16"/>
  <c r="AL78" i="16"/>
  <c r="AL78" i="15"/>
  <c r="L78" i="16"/>
  <c r="L78" i="15"/>
  <c r="L78" i="14"/>
  <c r="L78" i="13"/>
  <c r="DL78" i="15"/>
  <c r="CL78" i="14"/>
  <c r="DL78" i="14"/>
  <c r="BL78" i="14"/>
  <c r="AL78" i="14"/>
  <c r="DL78" i="13"/>
  <c r="CL78" i="13"/>
  <c r="BL78" i="13"/>
  <c r="AL78" i="13"/>
  <c r="CL78" i="15"/>
  <c r="BL78" i="15"/>
  <c r="DL65" i="16"/>
  <c r="CL65" i="16"/>
  <c r="BL65" i="16"/>
  <c r="DL65" i="15"/>
  <c r="BL65" i="15"/>
  <c r="L65" i="13"/>
  <c r="AL65" i="15"/>
  <c r="L65" i="16"/>
  <c r="L65" i="15"/>
  <c r="CL65" i="14"/>
  <c r="DL65" i="14"/>
  <c r="BL65" i="14"/>
  <c r="DL65" i="13"/>
  <c r="CL65" i="13"/>
  <c r="BL65" i="13"/>
  <c r="DL77" i="16"/>
  <c r="CL77" i="16"/>
  <c r="BL77" i="16"/>
  <c r="AL77" i="16"/>
  <c r="CL77" i="14"/>
  <c r="DL77" i="14"/>
  <c r="BL77" i="14"/>
  <c r="AL77" i="14"/>
  <c r="DL77" i="13"/>
  <c r="CL77" i="13"/>
  <c r="BL77" i="13"/>
  <c r="AL77" i="13"/>
  <c r="DL77" i="15"/>
  <c r="CL77" i="15"/>
  <c r="BL77" i="15"/>
  <c r="AL77" i="15"/>
  <c r="L77" i="16"/>
  <c r="L77" i="15"/>
  <c r="L77" i="14"/>
  <c r="L77" i="13"/>
  <c r="DL76" i="16"/>
  <c r="CL76" i="16"/>
  <c r="BL76" i="16"/>
  <c r="AL76" i="16"/>
  <c r="AL76" i="15"/>
  <c r="L76" i="16"/>
  <c r="L76" i="15"/>
  <c r="L76" i="14"/>
  <c r="BL76" i="14"/>
  <c r="AL76" i="14"/>
  <c r="DL76" i="13"/>
  <c r="CL76" i="13"/>
  <c r="BL76" i="13"/>
  <c r="DL76" i="15"/>
  <c r="L76" i="13"/>
  <c r="AL76" i="13"/>
  <c r="CL76" i="15"/>
  <c r="BL76" i="15"/>
  <c r="CL76" i="14"/>
  <c r="DL76" i="14"/>
  <c r="DL73" i="16"/>
  <c r="AL73" i="16"/>
  <c r="CL73" i="16"/>
  <c r="BL73" i="16"/>
  <c r="DL73" i="13"/>
  <c r="CL73" i="13"/>
  <c r="BL73" i="13"/>
  <c r="L73" i="13"/>
  <c r="DL73" i="15"/>
  <c r="CL73" i="15"/>
  <c r="BL73" i="15"/>
  <c r="AL73" i="15"/>
  <c r="L73" i="14"/>
  <c r="CL73" i="14"/>
  <c r="DL73" i="14"/>
  <c r="BL73" i="14"/>
  <c r="AL73" i="14"/>
  <c r="AL73" i="13"/>
  <c r="L73" i="16"/>
  <c r="L73" i="15"/>
  <c r="DL72" i="16"/>
  <c r="CL72" i="16"/>
  <c r="BL72" i="16"/>
  <c r="AL72" i="16"/>
  <c r="AL72" i="15"/>
  <c r="L72" i="16"/>
  <c r="L72" i="15"/>
  <c r="L72" i="14"/>
  <c r="L72" i="13"/>
  <c r="BL72" i="13"/>
  <c r="DL72" i="15"/>
  <c r="CL72" i="13"/>
  <c r="AL72" i="13"/>
  <c r="CL72" i="15"/>
  <c r="BL72" i="15"/>
  <c r="CL72" i="14"/>
  <c r="DL72" i="14"/>
  <c r="BL72" i="14"/>
  <c r="AL72" i="14"/>
  <c r="DL72" i="13"/>
  <c r="DL71" i="16"/>
  <c r="CL71" i="16"/>
  <c r="BL71" i="16"/>
  <c r="AL71" i="16"/>
  <c r="DL71" i="15"/>
  <c r="BL71" i="15"/>
  <c r="L71" i="13"/>
  <c r="CL71" i="14"/>
  <c r="DL71" i="14"/>
  <c r="BL71" i="14"/>
  <c r="AL71" i="14"/>
  <c r="DL71" i="13"/>
  <c r="CL71" i="13"/>
  <c r="BL71" i="13"/>
  <c r="AL71" i="13"/>
  <c r="CL71" i="15"/>
  <c r="AL71" i="15"/>
  <c r="L71" i="16"/>
  <c r="L71" i="15"/>
  <c r="L71" i="14"/>
  <c r="DL70" i="16"/>
  <c r="CL70" i="16"/>
  <c r="BL70" i="16"/>
  <c r="AL70" i="16"/>
  <c r="AL70" i="15"/>
  <c r="L70" i="16"/>
  <c r="L70" i="15"/>
  <c r="L70" i="14"/>
  <c r="L70" i="13"/>
  <c r="CL70" i="13"/>
  <c r="BL70" i="13"/>
  <c r="AL70" i="13"/>
  <c r="BL70" i="15"/>
  <c r="BL70" i="14"/>
  <c r="DL70" i="13"/>
  <c r="CL70" i="15"/>
  <c r="DL70" i="15"/>
  <c r="CL70" i="14"/>
  <c r="DL70" i="14"/>
  <c r="AL70" i="14"/>
  <c r="DL68" i="16"/>
  <c r="CL68" i="16"/>
  <c r="BL68" i="16"/>
  <c r="AL68" i="16"/>
  <c r="AL68" i="15"/>
  <c r="L68" i="16"/>
  <c r="L68" i="15"/>
  <c r="L68" i="14"/>
  <c r="BL68" i="15"/>
  <c r="DL68" i="14"/>
  <c r="DL68" i="13"/>
  <c r="BL68" i="13"/>
  <c r="DL68" i="15"/>
  <c r="L68" i="13"/>
  <c r="BL68" i="14"/>
  <c r="AL68" i="14"/>
  <c r="AL68" i="13"/>
  <c r="CL68" i="15"/>
  <c r="CL68" i="14"/>
  <c r="CL68" i="13"/>
  <c r="DL67" i="16"/>
  <c r="CL67" i="16"/>
  <c r="BL67" i="16"/>
  <c r="AL67" i="16"/>
  <c r="DL67" i="15"/>
  <c r="BL67" i="15"/>
  <c r="CL67" i="13"/>
  <c r="BL67" i="13"/>
  <c r="AL67" i="13"/>
  <c r="L67" i="13"/>
  <c r="CL67" i="14"/>
  <c r="DL67" i="14"/>
  <c r="BL67" i="14"/>
  <c r="AL67" i="14"/>
  <c r="DL67" i="13"/>
  <c r="CL67" i="15"/>
  <c r="AL67" i="15"/>
  <c r="L67" i="16"/>
  <c r="L67" i="15"/>
  <c r="L67" i="14"/>
  <c r="DL66" i="16"/>
  <c r="CL66" i="16"/>
  <c r="BL66" i="16"/>
  <c r="AL66" i="16"/>
  <c r="AL66" i="15"/>
  <c r="L66" i="16"/>
  <c r="L66" i="15"/>
  <c r="L66" i="14"/>
  <c r="AL66" i="14"/>
  <c r="BL66" i="13"/>
  <c r="AL66" i="13"/>
  <c r="BL66" i="15"/>
  <c r="L66" i="13"/>
  <c r="DL66" i="15"/>
  <c r="CL66" i="14"/>
  <c r="BL66" i="14"/>
  <c r="DL66" i="13"/>
  <c r="CL66" i="13"/>
  <c r="CL66" i="15"/>
  <c r="DL66" i="14"/>
  <c r="F132" i="9"/>
  <c r="F126" i="9"/>
  <c r="H91" i="9"/>
  <c r="F122" i="9"/>
  <c r="F127" i="9"/>
  <c r="F128" i="9"/>
  <c r="F118" i="9"/>
  <c r="F120" i="9"/>
  <c r="F124" i="9"/>
  <c r="F117" i="9"/>
  <c r="F125" i="9"/>
  <c r="F131" i="9"/>
  <c r="F119" i="9"/>
  <c r="F129" i="9"/>
  <c r="F123" i="9"/>
  <c r="F121" i="9"/>
  <c r="F102" i="9"/>
  <c r="F97" i="9"/>
  <c r="F104" i="9"/>
  <c r="H104" i="9" s="1"/>
  <c r="F96" i="9"/>
  <c r="H96" i="9" s="1"/>
  <c r="F94" i="9"/>
  <c r="H94" i="9" s="1"/>
  <c r="H130" i="9"/>
  <c r="F103" i="9"/>
  <c r="H103" i="9" s="1"/>
  <c r="F106" i="9"/>
  <c r="H106" i="9" s="1"/>
  <c r="F95" i="9"/>
  <c r="H95" i="9" s="1"/>
  <c r="F93" i="9"/>
  <c r="H93" i="9" s="1"/>
  <c r="M93" i="9" s="1"/>
  <c r="N93" i="9" s="1"/>
  <c r="O93" i="9" s="1"/>
  <c r="F98" i="9"/>
  <c r="H98" i="9" s="1"/>
  <c r="F101" i="9"/>
  <c r="H101" i="9" s="1"/>
  <c r="F105" i="9"/>
  <c r="H105" i="9" s="1"/>
  <c r="F100" i="9"/>
  <c r="H100" i="9" s="1"/>
  <c r="F92" i="9"/>
  <c r="F99" i="9"/>
  <c r="H99" i="9" s="1"/>
  <c r="M99" i="9" s="1"/>
  <c r="N99" i="9" s="1"/>
  <c r="O99" i="9" s="1"/>
  <c r="H30" i="8"/>
  <c r="H36" i="8" s="1"/>
  <c r="G31" i="8"/>
  <c r="G37" i="8" s="1"/>
  <c r="I30" i="8"/>
  <c r="I36" i="8" s="1"/>
  <c r="H34" i="8"/>
  <c r="H40" i="8" s="1"/>
  <c r="F31" i="8"/>
  <c r="F37" i="8" s="1"/>
  <c r="I34" i="8"/>
  <c r="I40" i="8" s="1"/>
  <c r="E16" i="9"/>
  <c r="E24" i="9"/>
  <c r="E17" i="9"/>
  <c r="E25" i="9"/>
  <c r="E27" i="9"/>
  <c r="E18" i="9"/>
  <c r="F148" i="9" s="1"/>
  <c r="E26" i="9"/>
  <c r="E15" i="9"/>
  <c r="E23" i="9"/>
  <c r="F153" i="9" s="1"/>
  <c r="E19" i="9"/>
  <c r="E13" i="9"/>
  <c r="F143" i="9" s="1"/>
  <c r="E21" i="9"/>
  <c r="E14" i="9"/>
  <c r="E22" i="9"/>
  <c r="E28" i="9"/>
  <c r="F158" i="9" s="1"/>
  <c r="E20" i="9"/>
  <c r="F44" i="9"/>
  <c r="H44" i="9" s="1"/>
  <c r="F52" i="9"/>
  <c r="H52" i="9" s="1"/>
  <c r="M52" i="9" s="1"/>
  <c r="N52" i="9" s="1"/>
  <c r="O52" i="9" s="1"/>
  <c r="F39" i="9"/>
  <c r="H39" i="9" s="1"/>
  <c r="M39" i="9" s="1"/>
  <c r="N39" i="9" s="1"/>
  <c r="O39" i="9" s="1"/>
  <c r="F48" i="9"/>
  <c r="F45" i="9"/>
  <c r="H45" i="9" s="1"/>
  <c r="F53" i="9"/>
  <c r="F46" i="9"/>
  <c r="H46" i="9" s="1"/>
  <c r="F54" i="9"/>
  <c r="H54" i="9" s="1"/>
  <c r="M54" i="9" s="1"/>
  <c r="N54" i="9" s="1"/>
  <c r="O54" i="9" s="1"/>
  <c r="F43" i="9"/>
  <c r="F51" i="9"/>
  <c r="H51" i="9" s="1"/>
  <c r="F47" i="9"/>
  <c r="H47" i="9" s="1"/>
  <c r="M47" i="9" s="1"/>
  <c r="N47" i="9" s="1"/>
  <c r="O47" i="9" s="1"/>
  <c r="F40" i="9"/>
  <c r="H40" i="9" s="1"/>
  <c r="M40" i="9" s="1"/>
  <c r="N40" i="9" s="1"/>
  <c r="O40" i="9" s="1"/>
  <c r="F42" i="9"/>
  <c r="H42" i="9" s="1"/>
  <c r="F49" i="9"/>
  <c r="H49" i="9" s="1"/>
  <c r="F50" i="9"/>
  <c r="H50" i="9" s="1"/>
  <c r="F41" i="9"/>
  <c r="H41" i="9" s="1"/>
  <c r="K63" i="2"/>
  <c r="Q21" i="8" s="1"/>
  <c r="K66" i="2"/>
  <c r="K14" i="2"/>
  <c r="Q12" i="8" s="1"/>
  <c r="J14" i="2"/>
  <c r="R14" i="2"/>
  <c r="S12" i="8" s="1"/>
  <c r="Y13" i="2"/>
  <c r="AL75" i="13" l="1"/>
  <c r="BL75" i="15"/>
  <c r="J41" i="9"/>
  <c r="M41" i="9"/>
  <c r="N41" i="9" s="1"/>
  <c r="O41" i="9" s="1"/>
  <c r="L35" i="18" s="1"/>
  <c r="J46" i="9"/>
  <c r="M46" i="9"/>
  <c r="N46" i="9" s="1"/>
  <c r="O46" i="9" s="1"/>
  <c r="L40" i="18" s="1"/>
  <c r="J105" i="9"/>
  <c r="M105" i="9"/>
  <c r="N105" i="9" s="1"/>
  <c r="O105" i="9" s="1"/>
  <c r="N47" i="18" s="1"/>
  <c r="J95" i="9"/>
  <c r="M95" i="9"/>
  <c r="N95" i="9" s="1"/>
  <c r="O95" i="9" s="1"/>
  <c r="N37" i="18" s="1"/>
  <c r="J94" i="9"/>
  <c r="M94" i="9"/>
  <c r="N94" i="9" s="1"/>
  <c r="O94" i="9" s="1"/>
  <c r="N36" i="18" s="1"/>
  <c r="J70" i="9"/>
  <c r="M70" i="9"/>
  <c r="N70" i="9" s="1"/>
  <c r="O70" i="9" s="1"/>
  <c r="M38" i="18" s="1"/>
  <c r="J100" i="9"/>
  <c r="M100" i="9"/>
  <c r="N100" i="9" s="1"/>
  <c r="O100" i="9" s="1"/>
  <c r="N42" i="18" s="1"/>
  <c r="J130" i="9"/>
  <c r="M130" i="9"/>
  <c r="J50" i="9"/>
  <c r="M50" i="9"/>
  <c r="N50" i="9" s="1"/>
  <c r="O50" i="9" s="1"/>
  <c r="L44" i="18" s="1"/>
  <c r="J49" i="9"/>
  <c r="M49" i="9"/>
  <c r="N49" i="9" s="1"/>
  <c r="O49" i="9" s="1"/>
  <c r="L43" i="18" s="1"/>
  <c r="J51" i="9"/>
  <c r="M51" i="9"/>
  <c r="N51" i="9" s="1"/>
  <c r="O51" i="9" s="1"/>
  <c r="I101" i="9"/>
  <c r="M101" i="9"/>
  <c r="N101" i="9" s="1"/>
  <c r="O101" i="9" s="1"/>
  <c r="J106" i="9"/>
  <c r="M106" i="9"/>
  <c r="N106" i="9" s="1"/>
  <c r="O106" i="9" s="1"/>
  <c r="J96" i="9"/>
  <c r="M96" i="9"/>
  <c r="N96" i="9" s="1"/>
  <c r="O96" i="9" s="1"/>
  <c r="N38" i="18" s="1"/>
  <c r="J42" i="9"/>
  <c r="M42" i="9"/>
  <c r="N42" i="9" s="1"/>
  <c r="O42" i="9" s="1"/>
  <c r="L36" i="18" s="1"/>
  <c r="J45" i="9"/>
  <c r="M45" i="9"/>
  <c r="N45" i="9" s="1"/>
  <c r="O45" i="9" s="1"/>
  <c r="L39" i="18" s="1"/>
  <c r="J44" i="9"/>
  <c r="M44" i="9"/>
  <c r="N44" i="9" s="1"/>
  <c r="O44" i="9" s="1"/>
  <c r="L38" i="18" s="1"/>
  <c r="J98" i="9"/>
  <c r="M98" i="9"/>
  <c r="N98" i="9" s="1"/>
  <c r="O98" i="9" s="1"/>
  <c r="N40" i="18" s="1"/>
  <c r="J103" i="9"/>
  <c r="M103" i="9"/>
  <c r="N103" i="9" s="1"/>
  <c r="O103" i="9" s="1"/>
  <c r="J104" i="9"/>
  <c r="M104" i="9"/>
  <c r="N104" i="9" s="1"/>
  <c r="O104" i="9" s="1"/>
  <c r="I91" i="9"/>
  <c r="M91" i="9"/>
  <c r="N91" i="9" s="1"/>
  <c r="O91" i="9" s="1"/>
  <c r="L75" i="13"/>
  <c r="CL75" i="14"/>
  <c r="J151" i="13"/>
  <c r="L151" i="13" s="1"/>
  <c r="L75" i="15"/>
  <c r="DL75" i="13"/>
  <c r="BL75" i="16"/>
  <c r="L75" i="16"/>
  <c r="AL75" i="14"/>
  <c r="CL75" i="16"/>
  <c r="DB151" i="13"/>
  <c r="DC151" i="13" s="1"/>
  <c r="AL75" i="15"/>
  <c r="BL75" i="13"/>
  <c r="BL75" i="14"/>
  <c r="DL75" i="15"/>
  <c r="DL75" i="16"/>
  <c r="AH151" i="16"/>
  <c r="AH151" i="14"/>
  <c r="AI151" i="14" s="1"/>
  <c r="L75" i="14"/>
  <c r="CL75" i="15"/>
  <c r="CL75" i="13"/>
  <c r="DL75" i="14"/>
  <c r="AL65" i="13"/>
  <c r="AL65" i="14"/>
  <c r="L65" i="14"/>
  <c r="CL65" i="15"/>
  <c r="DB151" i="16"/>
  <c r="DC151" i="16" s="1"/>
  <c r="BF151" i="15"/>
  <c r="BG151" i="15" s="1"/>
  <c r="H121" i="9"/>
  <c r="CZ142" i="16"/>
  <c r="DB142" i="16" s="1"/>
  <c r="CB142" i="16"/>
  <c r="CD142" i="16" s="1"/>
  <c r="AF142" i="16"/>
  <c r="AH142" i="16" s="1"/>
  <c r="AF142" i="15"/>
  <c r="AH142" i="15" s="1"/>
  <c r="H142" i="15"/>
  <c r="J142" i="15" s="1"/>
  <c r="CZ142" i="14"/>
  <c r="DB142" i="14" s="1"/>
  <c r="H142" i="16"/>
  <c r="J142" i="16" s="1"/>
  <c r="AF142" i="14"/>
  <c r="AH142" i="14" s="1"/>
  <c r="H142" i="14"/>
  <c r="J142" i="14" s="1"/>
  <c r="CZ142" i="13"/>
  <c r="DB142" i="13" s="1"/>
  <c r="CB142" i="13"/>
  <c r="CD142" i="13" s="1"/>
  <c r="CB142" i="14"/>
  <c r="CD142" i="14" s="1"/>
  <c r="AF142" i="13"/>
  <c r="AH142" i="13" s="1"/>
  <c r="H142" i="13"/>
  <c r="J142" i="13" s="1"/>
  <c r="BD142" i="15"/>
  <c r="BF142" i="15" s="1"/>
  <c r="CZ142" i="15"/>
  <c r="DB142" i="15" s="1"/>
  <c r="BD142" i="13"/>
  <c r="BF142" i="13" s="1"/>
  <c r="CB142" i="15"/>
  <c r="CD142" i="15" s="1"/>
  <c r="BD142" i="16"/>
  <c r="BF142" i="16" s="1"/>
  <c r="BD142" i="14"/>
  <c r="BF142" i="14" s="1"/>
  <c r="H131" i="9"/>
  <c r="BD152" i="16"/>
  <c r="BF152" i="16" s="1"/>
  <c r="BD152" i="15"/>
  <c r="BF152" i="15" s="1"/>
  <c r="H152" i="15"/>
  <c r="J152" i="15" s="1"/>
  <c r="CZ152" i="14"/>
  <c r="DB152" i="14" s="1"/>
  <c r="CB152" i="14"/>
  <c r="CD152" i="14" s="1"/>
  <c r="BD152" i="14"/>
  <c r="BF152" i="14" s="1"/>
  <c r="H152" i="14"/>
  <c r="J152" i="14" s="1"/>
  <c r="CB152" i="13"/>
  <c r="CD152" i="13" s="1"/>
  <c r="H152" i="16"/>
  <c r="J152" i="16" s="1"/>
  <c r="CZ152" i="15"/>
  <c r="DB152" i="15" s="1"/>
  <c r="AF152" i="15"/>
  <c r="AH152" i="15" s="1"/>
  <c r="CZ152" i="13"/>
  <c r="DB152" i="13" s="1"/>
  <c r="AF152" i="13"/>
  <c r="AH152" i="13" s="1"/>
  <c r="H152" i="13"/>
  <c r="J152" i="13" s="1"/>
  <c r="CZ152" i="16"/>
  <c r="DB152" i="16" s="1"/>
  <c r="CB152" i="16"/>
  <c r="CD152" i="16" s="1"/>
  <c r="AF152" i="16"/>
  <c r="AH152" i="16" s="1"/>
  <c r="AF152" i="14"/>
  <c r="AH152" i="14" s="1"/>
  <c r="BD152" i="13"/>
  <c r="BF152" i="13" s="1"/>
  <c r="CB152" i="15"/>
  <c r="CD152" i="15" s="1"/>
  <c r="H120" i="9"/>
  <c r="M120" i="9" s="1"/>
  <c r="H141" i="15"/>
  <c r="J141" i="15" s="1"/>
  <c r="CZ141" i="14"/>
  <c r="DB141" i="14" s="1"/>
  <c r="CB141" i="14"/>
  <c r="CD141" i="14" s="1"/>
  <c r="H141" i="14"/>
  <c r="J141" i="14" s="1"/>
  <c r="BD141" i="16"/>
  <c r="BF141" i="16" s="1"/>
  <c r="CZ141" i="15"/>
  <c r="DB141" i="15" s="1"/>
  <c r="CB141" i="15"/>
  <c r="CD141" i="15" s="1"/>
  <c r="AF141" i="14"/>
  <c r="AH141" i="14" s="1"/>
  <c r="CZ141" i="13"/>
  <c r="DB141" i="13" s="1"/>
  <c r="CB141" i="13"/>
  <c r="CD141" i="13" s="1"/>
  <c r="H141" i="13"/>
  <c r="J141" i="13" s="1"/>
  <c r="H141" i="16"/>
  <c r="J141" i="16" s="1"/>
  <c r="AF141" i="15"/>
  <c r="AH141" i="15" s="1"/>
  <c r="AF141" i="13"/>
  <c r="AH141" i="13" s="1"/>
  <c r="CZ141" i="16"/>
  <c r="DB141" i="16" s="1"/>
  <c r="CB141" i="16"/>
  <c r="CD141" i="16" s="1"/>
  <c r="AF141" i="16"/>
  <c r="AH141" i="16" s="1"/>
  <c r="BD141" i="13"/>
  <c r="BF141" i="13" s="1"/>
  <c r="BD141" i="15"/>
  <c r="BF141" i="15" s="1"/>
  <c r="BD141" i="14"/>
  <c r="BF141" i="14" s="1"/>
  <c r="H122" i="9"/>
  <c r="H143" i="16"/>
  <c r="J143" i="16" s="1"/>
  <c r="CZ143" i="15"/>
  <c r="DB143" i="15" s="1"/>
  <c r="H143" i="15"/>
  <c r="J143" i="15" s="1"/>
  <c r="H143" i="14"/>
  <c r="J143" i="14" s="1"/>
  <c r="CZ143" i="13"/>
  <c r="DB143" i="13" s="1"/>
  <c r="CZ143" i="16"/>
  <c r="DB143" i="16" s="1"/>
  <c r="CB143" i="16"/>
  <c r="CD143" i="16" s="1"/>
  <c r="AF143" i="16"/>
  <c r="AH143" i="16" s="1"/>
  <c r="BD143" i="15"/>
  <c r="BF143" i="15" s="1"/>
  <c r="CB143" i="14"/>
  <c r="CD143" i="14" s="1"/>
  <c r="AF143" i="13"/>
  <c r="AH143" i="13" s="1"/>
  <c r="BD143" i="16"/>
  <c r="BF143" i="16" s="1"/>
  <c r="CB143" i="15"/>
  <c r="CD143" i="15" s="1"/>
  <c r="AF143" i="15"/>
  <c r="AH143" i="15" s="1"/>
  <c r="CB143" i="13"/>
  <c r="CD143" i="13" s="1"/>
  <c r="BD143" i="13"/>
  <c r="BF143" i="13" s="1"/>
  <c r="AF143" i="14"/>
  <c r="AH143" i="14" s="1"/>
  <c r="H143" i="13"/>
  <c r="J143" i="13" s="1"/>
  <c r="BD143" i="14"/>
  <c r="BF143" i="14" s="1"/>
  <c r="CZ143" i="14"/>
  <c r="DB143" i="14" s="1"/>
  <c r="H123" i="9"/>
  <c r="M123" i="9" s="1"/>
  <c r="BD144" i="16"/>
  <c r="BF144" i="16" s="1"/>
  <c r="CB144" i="15"/>
  <c r="CD144" i="15" s="1"/>
  <c r="BD144" i="15"/>
  <c r="BF144" i="15" s="1"/>
  <c r="H144" i="13"/>
  <c r="J144" i="13" s="1"/>
  <c r="CZ144" i="16"/>
  <c r="DB144" i="16" s="1"/>
  <c r="CB144" i="16"/>
  <c r="CD144" i="16" s="1"/>
  <c r="AF144" i="16"/>
  <c r="AH144" i="16" s="1"/>
  <c r="CB144" i="14"/>
  <c r="CD144" i="14" s="1"/>
  <c r="H144" i="14"/>
  <c r="J144" i="14" s="1"/>
  <c r="CZ144" i="13"/>
  <c r="DB144" i="13" s="1"/>
  <c r="H144" i="15"/>
  <c r="J144" i="15" s="1"/>
  <c r="AF144" i="13"/>
  <c r="AH144" i="13" s="1"/>
  <c r="CZ144" i="15"/>
  <c r="DB144" i="15" s="1"/>
  <c r="AF144" i="15"/>
  <c r="AH144" i="15" s="1"/>
  <c r="CB144" i="13"/>
  <c r="CD144" i="13" s="1"/>
  <c r="BD144" i="13"/>
  <c r="BF144" i="13" s="1"/>
  <c r="AF144" i="14"/>
  <c r="AH144" i="14" s="1"/>
  <c r="H144" i="16"/>
  <c r="J144" i="16" s="1"/>
  <c r="BD144" i="14"/>
  <c r="BF144" i="14" s="1"/>
  <c r="CZ144" i="14"/>
  <c r="DB144" i="14" s="1"/>
  <c r="H125" i="9"/>
  <c r="CZ146" i="16"/>
  <c r="DB146" i="16" s="1"/>
  <c r="CB146" i="16"/>
  <c r="CD146" i="16" s="1"/>
  <c r="AF146" i="16"/>
  <c r="AH146" i="16" s="1"/>
  <c r="AF146" i="15"/>
  <c r="AH146" i="15" s="1"/>
  <c r="AF146" i="14"/>
  <c r="AH146" i="14" s="1"/>
  <c r="BD146" i="16"/>
  <c r="BF146" i="16" s="1"/>
  <c r="CZ146" i="15"/>
  <c r="DB146" i="15" s="1"/>
  <c r="CB146" i="15"/>
  <c r="CD146" i="15" s="1"/>
  <c r="H146" i="15"/>
  <c r="J146" i="15" s="1"/>
  <c r="CB146" i="14"/>
  <c r="CD146" i="14" s="1"/>
  <c r="CZ146" i="13"/>
  <c r="DB146" i="13" s="1"/>
  <c r="H146" i="13"/>
  <c r="J146" i="13" s="1"/>
  <c r="H146" i="16"/>
  <c r="J146" i="16" s="1"/>
  <c r="AF146" i="13"/>
  <c r="AH146" i="13" s="1"/>
  <c r="BD146" i="13"/>
  <c r="BF146" i="13" s="1"/>
  <c r="BD146" i="15"/>
  <c r="BF146" i="15" s="1"/>
  <c r="H146" i="14"/>
  <c r="J146" i="14" s="1"/>
  <c r="BD146" i="14"/>
  <c r="BF146" i="14" s="1"/>
  <c r="CZ146" i="14"/>
  <c r="DB146" i="14" s="1"/>
  <c r="CB146" i="13"/>
  <c r="CD146" i="13" s="1"/>
  <c r="H118" i="9"/>
  <c r="CZ139" i="16"/>
  <c r="DB139" i="16" s="1"/>
  <c r="H139" i="16"/>
  <c r="J139" i="16" s="1"/>
  <c r="CZ139" i="15"/>
  <c r="DB139" i="15" s="1"/>
  <c r="AF139" i="15"/>
  <c r="AH139" i="15" s="1"/>
  <c r="CB139" i="16"/>
  <c r="CD139" i="16" s="1"/>
  <c r="AF139" i="16"/>
  <c r="AH139" i="16" s="1"/>
  <c r="BD139" i="15"/>
  <c r="BF139" i="15" s="1"/>
  <c r="BD139" i="14"/>
  <c r="BF139" i="14" s="1"/>
  <c r="AF139" i="14"/>
  <c r="AH139" i="14" s="1"/>
  <c r="H139" i="14"/>
  <c r="J139" i="14" s="1"/>
  <c r="CZ139" i="13"/>
  <c r="DB139" i="13" s="1"/>
  <c r="CB139" i="13"/>
  <c r="CD139" i="13" s="1"/>
  <c r="BD139" i="16"/>
  <c r="BF139" i="16" s="1"/>
  <c r="CB139" i="15"/>
  <c r="CD139" i="15" s="1"/>
  <c r="CB139" i="14"/>
  <c r="CD139" i="14" s="1"/>
  <c r="AF139" i="13"/>
  <c r="AH139" i="13" s="1"/>
  <c r="BD139" i="13"/>
  <c r="BF139" i="13" s="1"/>
  <c r="H139" i="13"/>
  <c r="J139" i="13" s="1"/>
  <c r="H139" i="15"/>
  <c r="J139" i="15" s="1"/>
  <c r="CZ139" i="14"/>
  <c r="DB139" i="14" s="1"/>
  <c r="CZ150" i="16"/>
  <c r="DB150" i="16" s="1"/>
  <c r="CB150" i="16"/>
  <c r="CD150" i="16" s="1"/>
  <c r="AF150" i="16"/>
  <c r="AH150" i="16" s="1"/>
  <c r="H150" i="16"/>
  <c r="J150" i="16" s="1"/>
  <c r="AF150" i="15"/>
  <c r="AH150" i="15" s="1"/>
  <c r="BD150" i="14"/>
  <c r="BF150" i="14" s="1"/>
  <c r="CB150" i="13"/>
  <c r="CD150" i="13" s="1"/>
  <c r="CB150" i="15"/>
  <c r="CD150" i="15" s="1"/>
  <c r="BD150" i="15"/>
  <c r="BF150" i="15" s="1"/>
  <c r="CZ150" i="13"/>
  <c r="DB150" i="13" s="1"/>
  <c r="BD150" i="16"/>
  <c r="BF150" i="16" s="1"/>
  <c r="CZ150" i="15"/>
  <c r="DB150" i="15" s="1"/>
  <c r="AF150" i="13"/>
  <c r="AH150" i="13" s="1"/>
  <c r="BD150" i="13"/>
  <c r="BF150" i="13" s="1"/>
  <c r="H150" i="13"/>
  <c r="J150" i="13" s="1"/>
  <c r="AF150" i="14"/>
  <c r="AH150" i="14" s="1"/>
  <c r="CZ150" i="14"/>
  <c r="DB150" i="14" s="1"/>
  <c r="H150" i="15"/>
  <c r="J150" i="15" s="1"/>
  <c r="CB150" i="14"/>
  <c r="CD150" i="14" s="1"/>
  <c r="H150" i="14"/>
  <c r="J150" i="14" s="1"/>
  <c r="H117" i="9"/>
  <c r="CB138" i="16"/>
  <c r="CD138" i="16" s="1"/>
  <c r="AF138" i="16"/>
  <c r="AH138" i="16" s="1"/>
  <c r="BD138" i="14"/>
  <c r="BF138" i="14" s="1"/>
  <c r="CB138" i="13"/>
  <c r="CD138" i="13" s="1"/>
  <c r="H138" i="15"/>
  <c r="J138" i="15" s="1"/>
  <c r="AF138" i="14"/>
  <c r="AH138" i="14" s="1"/>
  <c r="CZ138" i="13"/>
  <c r="DB138" i="13" s="1"/>
  <c r="BD138" i="15"/>
  <c r="BF138" i="15" s="1"/>
  <c r="CB138" i="14"/>
  <c r="CD138" i="14" s="1"/>
  <c r="AF138" i="13"/>
  <c r="AH138" i="13" s="1"/>
  <c r="CZ138" i="16"/>
  <c r="DB138" i="16" s="1"/>
  <c r="BD138" i="16"/>
  <c r="BF138" i="16" s="1"/>
  <c r="CZ138" i="15"/>
  <c r="DB138" i="15" s="1"/>
  <c r="CB138" i="15"/>
  <c r="CD138" i="15" s="1"/>
  <c r="H138" i="14"/>
  <c r="J138" i="14" s="1"/>
  <c r="BD138" i="13"/>
  <c r="BF138" i="13" s="1"/>
  <c r="H138" i="13"/>
  <c r="J138" i="13" s="1"/>
  <c r="H138" i="16"/>
  <c r="J138" i="16" s="1"/>
  <c r="AF138" i="15"/>
  <c r="AH138" i="15" s="1"/>
  <c r="CZ138" i="14"/>
  <c r="DB138" i="14" s="1"/>
  <c r="H128" i="9"/>
  <c r="M128" i="9" s="1"/>
  <c r="BD149" i="14"/>
  <c r="BF149" i="14" s="1"/>
  <c r="CB149" i="13"/>
  <c r="CD149" i="13" s="1"/>
  <c r="CZ149" i="16"/>
  <c r="DB149" i="16" s="1"/>
  <c r="CB149" i="16"/>
  <c r="CD149" i="16" s="1"/>
  <c r="AF149" i="16"/>
  <c r="AH149" i="16" s="1"/>
  <c r="H149" i="15"/>
  <c r="J149" i="15" s="1"/>
  <c r="CZ149" i="13"/>
  <c r="DB149" i="13" s="1"/>
  <c r="CB149" i="15"/>
  <c r="CD149" i="15" s="1"/>
  <c r="BD149" i="15"/>
  <c r="BF149" i="15" s="1"/>
  <c r="H149" i="14"/>
  <c r="J149" i="14" s="1"/>
  <c r="AF149" i="13"/>
  <c r="AH149" i="13" s="1"/>
  <c r="BD149" i="16"/>
  <c r="BF149" i="16" s="1"/>
  <c r="H149" i="16"/>
  <c r="J149" i="16" s="1"/>
  <c r="CZ149" i="15"/>
  <c r="DB149" i="15" s="1"/>
  <c r="AF149" i="15"/>
  <c r="AH149" i="15" s="1"/>
  <c r="BD149" i="13"/>
  <c r="BF149" i="13" s="1"/>
  <c r="AF149" i="14"/>
  <c r="AH149" i="14" s="1"/>
  <c r="CZ149" i="14"/>
  <c r="DB149" i="14" s="1"/>
  <c r="CB149" i="14"/>
  <c r="CD149" i="14" s="1"/>
  <c r="H149" i="13"/>
  <c r="J149" i="13" s="1"/>
  <c r="H126" i="9"/>
  <c r="H147" i="16"/>
  <c r="J147" i="16" s="1"/>
  <c r="CZ147" i="15"/>
  <c r="DB147" i="15" s="1"/>
  <c r="H147" i="14"/>
  <c r="J147" i="14" s="1"/>
  <c r="AF147" i="15"/>
  <c r="AH147" i="15" s="1"/>
  <c r="H147" i="15"/>
  <c r="J147" i="15" s="1"/>
  <c r="CB147" i="14"/>
  <c r="CD147" i="14" s="1"/>
  <c r="CZ147" i="13"/>
  <c r="DB147" i="13" s="1"/>
  <c r="AF147" i="13"/>
  <c r="AH147" i="13" s="1"/>
  <c r="H147" i="13"/>
  <c r="J147" i="13" s="1"/>
  <c r="CZ147" i="16"/>
  <c r="DB147" i="16" s="1"/>
  <c r="CB147" i="16"/>
  <c r="CD147" i="16" s="1"/>
  <c r="AF147" i="16"/>
  <c r="AH147" i="16" s="1"/>
  <c r="BD147" i="15"/>
  <c r="BF147" i="15" s="1"/>
  <c r="CB147" i="15"/>
  <c r="CD147" i="15" s="1"/>
  <c r="BD147" i="13"/>
  <c r="BF147" i="13" s="1"/>
  <c r="BD147" i="16"/>
  <c r="BF147" i="16" s="1"/>
  <c r="BD147" i="14"/>
  <c r="BF147" i="14" s="1"/>
  <c r="AF147" i="14"/>
  <c r="AH147" i="14" s="1"/>
  <c r="CZ147" i="14"/>
  <c r="DB147" i="14" s="1"/>
  <c r="CB147" i="13"/>
  <c r="CD147" i="13" s="1"/>
  <c r="CE151" i="16"/>
  <c r="CF151" i="16"/>
  <c r="K151" i="14"/>
  <c r="L151" i="14"/>
  <c r="DC151" i="14"/>
  <c r="DD151" i="14"/>
  <c r="CE151" i="14"/>
  <c r="CF151" i="14"/>
  <c r="BD140" i="16"/>
  <c r="BF140" i="16" s="1"/>
  <c r="CB140" i="15"/>
  <c r="CD140" i="15" s="1"/>
  <c r="BD140" i="15"/>
  <c r="BF140" i="15" s="1"/>
  <c r="H140" i="15"/>
  <c r="J140" i="15" s="1"/>
  <c r="CZ140" i="14"/>
  <c r="DB140" i="14" s="1"/>
  <c r="CB140" i="14"/>
  <c r="CD140" i="14" s="1"/>
  <c r="H140" i="13"/>
  <c r="J140" i="13" s="1"/>
  <c r="CZ140" i="16"/>
  <c r="DB140" i="16" s="1"/>
  <c r="AF140" i="14"/>
  <c r="AH140" i="14" s="1"/>
  <c r="CZ140" i="13"/>
  <c r="DB140" i="13" s="1"/>
  <c r="CB140" i="13"/>
  <c r="CD140" i="13" s="1"/>
  <c r="CZ140" i="15"/>
  <c r="DB140" i="15" s="1"/>
  <c r="H140" i="14"/>
  <c r="J140" i="14" s="1"/>
  <c r="AF140" i="13"/>
  <c r="AH140" i="13" s="1"/>
  <c r="H140" i="16"/>
  <c r="J140" i="16" s="1"/>
  <c r="BD140" i="13"/>
  <c r="BF140" i="13" s="1"/>
  <c r="CB140" i="16"/>
  <c r="CD140" i="16" s="1"/>
  <c r="AF140" i="15"/>
  <c r="AH140" i="15" s="1"/>
  <c r="BD140" i="14"/>
  <c r="BF140" i="14" s="1"/>
  <c r="AF140" i="16"/>
  <c r="AH140" i="16" s="1"/>
  <c r="AF145" i="14"/>
  <c r="AH145" i="14" s="1"/>
  <c r="BD145" i="15"/>
  <c r="BF145" i="15" s="1"/>
  <c r="CB145" i="14"/>
  <c r="CD145" i="14" s="1"/>
  <c r="CZ145" i="13"/>
  <c r="DB145" i="13" s="1"/>
  <c r="BD145" i="16"/>
  <c r="BF145" i="16" s="1"/>
  <c r="CZ145" i="15"/>
  <c r="DB145" i="15" s="1"/>
  <c r="CB145" i="15"/>
  <c r="CD145" i="15" s="1"/>
  <c r="AF145" i="15"/>
  <c r="AH145" i="15" s="1"/>
  <c r="H145" i="15"/>
  <c r="J145" i="15" s="1"/>
  <c r="H145" i="14"/>
  <c r="J145" i="14" s="1"/>
  <c r="AF145" i="13"/>
  <c r="AH145" i="13" s="1"/>
  <c r="H145" i="16"/>
  <c r="J145" i="16" s="1"/>
  <c r="CB145" i="16"/>
  <c r="CD145" i="16" s="1"/>
  <c r="BD145" i="13"/>
  <c r="BF145" i="13" s="1"/>
  <c r="CZ145" i="16"/>
  <c r="DB145" i="16" s="1"/>
  <c r="AF145" i="16"/>
  <c r="AH145" i="16" s="1"/>
  <c r="BD145" i="14"/>
  <c r="BF145" i="14" s="1"/>
  <c r="H145" i="13"/>
  <c r="J145" i="13" s="1"/>
  <c r="CZ145" i="14"/>
  <c r="DB145" i="14" s="1"/>
  <c r="CB145" i="13"/>
  <c r="CD145" i="13" s="1"/>
  <c r="H127" i="9"/>
  <c r="BD148" i="16"/>
  <c r="BF148" i="16" s="1"/>
  <c r="CB148" i="15"/>
  <c r="CD148" i="15" s="1"/>
  <c r="BD148" i="15"/>
  <c r="BF148" i="15" s="1"/>
  <c r="BD148" i="14"/>
  <c r="BF148" i="14" s="1"/>
  <c r="H148" i="13"/>
  <c r="J148" i="13" s="1"/>
  <c r="H148" i="15"/>
  <c r="J148" i="15" s="1"/>
  <c r="CZ148" i="13"/>
  <c r="DB148" i="13" s="1"/>
  <c r="CZ148" i="16"/>
  <c r="DB148" i="16" s="1"/>
  <c r="CB148" i="16"/>
  <c r="CD148" i="16" s="1"/>
  <c r="AF148" i="16"/>
  <c r="AH148" i="16" s="1"/>
  <c r="H148" i="14"/>
  <c r="J148" i="14" s="1"/>
  <c r="AF148" i="13"/>
  <c r="AH148" i="13" s="1"/>
  <c r="H148" i="16"/>
  <c r="J148" i="16" s="1"/>
  <c r="BD148" i="13"/>
  <c r="BF148" i="13" s="1"/>
  <c r="AF148" i="14"/>
  <c r="AH148" i="14" s="1"/>
  <c r="CZ148" i="14"/>
  <c r="DB148" i="14" s="1"/>
  <c r="CZ148" i="15"/>
  <c r="DB148" i="15" s="1"/>
  <c r="AF148" i="15"/>
  <c r="AH148" i="15" s="1"/>
  <c r="CB148" i="14"/>
  <c r="CD148" i="14" s="1"/>
  <c r="CB148" i="13"/>
  <c r="CD148" i="13" s="1"/>
  <c r="H132" i="9"/>
  <c r="H153" i="16"/>
  <c r="J153" i="16" s="1"/>
  <c r="H153" i="15"/>
  <c r="J153" i="15" s="1"/>
  <c r="CZ153" i="14"/>
  <c r="DB153" i="14" s="1"/>
  <c r="CB153" i="14"/>
  <c r="CD153" i="14" s="1"/>
  <c r="BD153" i="14"/>
  <c r="BF153" i="14" s="1"/>
  <c r="H153" i="14"/>
  <c r="J153" i="14" s="1"/>
  <c r="CB153" i="13"/>
  <c r="CD153" i="13" s="1"/>
  <c r="CZ153" i="13"/>
  <c r="DB153" i="13" s="1"/>
  <c r="CZ153" i="16"/>
  <c r="DB153" i="16" s="1"/>
  <c r="CB153" i="16"/>
  <c r="CD153" i="16" s="1"/>
  <c r="AF153" i="16"/>
  <c r="AH153" i="16" s="1"/>
  <c r="AF153" i="13"/>
  <c r="AH153" i="13" s="1"/>
  <c r="CB153" i="15"/>
  <c r="CD153" i="15" s="1"/>
  <c r="BD153" i="15"/>
  <c r="BF153" i="15" s="1"/>
  <c r="BD153" i="16"/>
  <c r="BF153" i="16" s="1"/>
  <c r="AF153" i="14"/>
  <c r="AH153" i="14" s="1"/>
  <c r="BD153" i="13"/>
  <c r="BF153" i="13" s="1"/>
  <c r="H153" i="13"/>
  <c r="J153" i="13" s="1"/>
  <c r="CZ153" i="15"/>
  <c r="DB153" i="15" s="1"/>
  <c r="AF153" i="15"/>
  <c r="AH153" i="15" s="1"/>
  <c r="AI151" i="15"/>
  <c r="AJ151" i="15"/>
  <c r="BH151" i="16"/>
  <c r="BG151" i="16"/>
  <c r="K151" i="15"/>
  <c r="L151" i="15"/>
  <c r="K151" i="16"/>
  <c r="L151" i="16"/>
  <c r="CE151" i="13"/>
  <c r="CF151" i="13"/>
  <c r="CE151" i="15"/>
  <c r="CF151" i="15"/>
  <c r="BG151" i="13"/>
  <c r="BH151" i="13"/>
  <c r="AJ151" i="13"/>
  <c r="AI151" i="13"/>
  <c r="BG151" i="14"/>
  <c r="BH151" i="14"/>
  <c r="DC151" i="15"/>
  <c r="DD151" i="15"/>
  <c r="F16" i="9"/>
  <c r="H16" i="9" s="1"/>
  <c r="F76" i="9"/>
  <c r="H76" i="9" s="1"/>
  <c r="M76" i="9" s="1"/>
  <c r="N76" i="9" s="1"/>
  <c r="O76" i="9" s="1"/>
  <c r="F75" i="9"/>
  <c r="H75" i="9" s="1"/>
  <c r="F80" i="9"/>
  <c r="H80" i="9" s="1"/>
  <c r="F72" i="9"/>
  <c r="H72" i="9" s="1"/>
  <c r="F77" i="9"/>
  <c r="H77" i="9" s="1"/>
  <c r="F79" i="9"/>
  <c r="H79" i="9" s="1"/>
  <c r="F69" i="9"/>
  <c r="H69" i="9" s="1"/>
  <c r="M69" i="9" s="1"/>
  <c r="N69" i="9" s="1"/>
  <c r="O69" i="9" s="1"/>
  <c r="F71" i="9"/>
  <c r="H71" i="9" s="1"/>
  <c r="F68" i="9"/>
  <c r="F74" i="9"/>
  <c r="H74" i="9" s="1"/>
  <c r="F66" i="9"/>
  <c r="H66" i="9" s="1"/>
  <c r="F78" i="9"/>
  <c r="H78" i="9" s="1"/>
  <c r="F67" i="9"/>
  <c r="H67" i="9" s="1"/>
  <c r="F73" i="9"/>
  <c r="H73" i="9" s="1"/>
  <c r="F65" i="9"/>
  <c r="H65" i="9" s="1"/>
  <c r="F17" i="9"/>
  <c r="H17" i="9" s="1"/>
  <c r="F20" i="9"/>
  <c r="H20" i="9" s="1"/>
  <c r="F26" i="9"/>
  <c r="H26" i="9" s="1"/>
  <c r="M26" i="9" s="1"/>
  <c r="N26" i="9" s="1"/>
  <c r="O26" i="9" s="1"/>
  <c r="P12" i="8"/>
  <c r="F23" i="9"/>
  <c r="H23" i="9" s="1"/>
  <c r="F13" i="9"/>
  <c r="H13" i="9" s="1"/>
  <c r="M13" i="9" s="1"/>
  <c r="N13" i="9" s="1"/>
  <c r="O13" i="9" s="1"/>
  <c r="F21" i="9"/>
  <c r="H21" i="9" s="1"/>
  <c r="F27" i="9"/>
  <c r="H27" i="9" s="1"/>
  <c r="F15" i="9"/>
  <c r="H15" i="9" s="1"/>
  <c r="F25" i="9"/>
  <c r="H25" i="9" s="1"/>
  <c r="F28" i="9"/>
  <c r="H28" i="9" s="1"/>
  <c r="F19" i="9"/>
  <c r="H19" i="9" s="1"/>
  <c r="F24" i="9"/>
  <c r="H24" i="9" s="1"/>
  <c r="F14" i="9"/>
  <c r="H14" i="9" s="1"/>
  <c r="F22" i="9"/>
  <c r="H22" i="9" s="1"/>
  <c r="H48" i="9"/>
  <c r="G152" i="9"/>
  <c r="H68" i="9"/>
  <c r="G146" i="9"/>
  <c r="I146" i="9" s="1"/>
  <c r="N146" i="9" s="1"/>
  <c r="O146" i="9" s="1"/>
  <c r="P146" i="9" s="1"/>
  <c r="H129" i="9"/>
  <c r="G155" i="9"/>
  <c r="H53" i="9"/>
  <c r="G157" i="9"/>
  <c r="H97" i="9"/>
  <c r="G149" i="9"/>
  <c r="H43" i="9"/>
  <c r="M43" i="9" s="1"/>
  <c r="N43" i="9" s="1"/>
  <c r="O43" i="9" s="1"/>
  <c r="G147" i="9"/>
  <c r="H92" i="9"/>
  <c r="G144" i="9"/>
  <c r="H102" i="9"/>
  <c r="G154" i="9"/>
  <c r="H119" i="9"/>
  <c r="G145" i="9"/>
  <c r="H124" i="9"/>
  <c r="G150" i="9"/>
  <c r="I150" i="9" s="1"/>
  <c r="N150" i="9" s="1"/>
  <c r="O150" i="9" s="1"/>
  <c r="P150" i="9" s="1"/>
  <c r="H18" i="9"/>
  <c r="M18" i="9" s="1"/>
  <c r="N18" i="9" s="1"/>
  <c r="O18" i="9" s="1"/>
  <c r="G148" i="9"/>
  <c r="I18" i="17"/>
  <c r="L18" i="17" s="1"/>
  <c r="I17" i="17"/>
  <c r="M17" i="17" s="1"/>
  <c r="I14" i="17"/>
  <c r="L14" i="17" s="1"/>
  <c r="I13" i="17"/>
  <c r="L13" i="17" s="1"/>
  <c r="I10" i="17"/>
  <c r="M10" i="17" s="1"/>
  <c r="I19" i="17"/>
  <c r="L19" i="17" s="1"/>
  <c r="I22" i="17"/>
  <c r="M22" i="17" s="1"/>
  <c r="I16" i="17"/>
  <c r="L16" i="17" s="1"/>
  <c r="I20" i="17"/>
  <c r="L20" i="17" s="1"/>
  <c r="I12" i="17"/>
  <c r="L12" i="17" s="1"/>
  <c r="I21" i="17"/>
  <c r="L21" i="17" s="1"/>
  <c r="I9" i="17"/>
  <c r="L9" i="17" s="1"/>
  <c r="I8" i="17"/>
  <c r="L8" i="17" s="1"/>
  <c r="I11" i="17"/>
  <c r="L11" i="17" s="1"/>
  <c r="I15" i="17"/>
  <c r="L15" i="17" s="1"/>
  <c r="I7" i="17"/>
  <c r="L7" i="17" s="1"/>
  <c r="N7" i="17" s="1"/>
  <c r="J91" i="9"/>
  <c r="I105" i="9"/>
  <c r="I104" i="9"/>
  <c r="I96" i="9"/>
  <c r="I98" i="9"/>
  <c r="I106" i="9"/>
  <c r="I94" i="9"/>
  <c r="I130" i="9"/>
  <c r="I103" i="9"/>
  <c r="N15" i="23"/>
  <c r="M15" i="23"/>
  <c r="N20" i="23"/>
  <c r="M20" i="23"/>
  <c r="N8" i="23"/>
  <c r="M8" i="23"/>
  <c r="N16" i="23"/>
  <c r="M16" i="23"/>
  <c r="N13" i="23"/>
  <c r="M13" i="23"/>
  <c r="N17" i="23"/>
  <c r="M17" i="23"/>
  <c r="N11" i="23"/>
  <c r="M11" i="23"/>
  <c r="N21" i="23"/>
  <c r="M21" i="23"/>
  <c r="N19" i="23"/>
  <c r="M19" i="23"/>
  <c r="N18" i="23"/>
  <c r="M18" i="23"/>
  <c r="N12" i="23"/>
  <c r="M12" i="23"/>
  <c r="N9" i="23"/>
  <c r="M9" i="23"/>
  <c r="N10" i="23"/>
  <c r="M10" i="23"/>
  <c r="N22" i="23"/>
  <c r="M22" i="23"/>
  <c r="N14" i="23"/>
  <c r="M14" i="23"/>
  <c r="I99" i="9"/>
  <c r="J93" i="9"/>
  <c r="L45" i="18"/>
  <c r="I95" i="9"/>
  <c r="I93" i="9"/>
  <c r="J99" i="9"/>
  <c r="I100" i="9"/>
  <c r="J101" i="9"/>
  <c r="I40" i="9"/>
  <c r="I47" i="9"/>
  <c r="I39" i="9"/>
  <c r="J39" i="9"/>
  <c r="I70" i="9"/>
  <c r="I52" i="9"/>
  <c r="I50" i="9"/>
  <c r="I46" i="9"/>
  <c r="I51" i="9"/>
  <c r="I41" i="9"/>
  <c r="I49" i="9"/>
  <c r="J47" i="9"/>
  <c r="I44" i="9"/>
  <c r="J52" i="9"/>
  <c r="J40" i="9"/>
  <c r="I54" i="9"/>
  <c r="I42" i="9"/>
  <c r="I45" i="9"/>
  <c r="J54" i="9"/>
  <c r="R13" i="2"/>
  <c r="K13" i="2"/>
  <c r="AE14" i="2"/>
  <c r="V12" i="8" s="1"/>
  <c r="AF14" i="2"/>
  <c r="W12" i="8" s="1"/>
  <c r="J16" i="2"/>
  <c r="J18" i="2" s="1"/>
  <c r="Q16" i="2"/>
  <c r="Q18" i="2" s="1"/>
  <c r="G36" i="18" l="1"/>
  <c r="G48" i="18"/>
  <c r="G33" i="18"/>
  <c r="K151" i="13"/>
  <c r="G47" i="18"/>
  <c r="G45" i="18"/>
  <c r="N33" i="18"/>
  <c r="BH151" i="15"/>
  <c r="G43" i="18"/>
  <c r="J120" i="9"/>
  <c r="O36" i="18" s="1"/>
  <c r="DD151" i="16"/>
  <c r="H46" i="18"/>
  <c r="G40" i="18"/>
  <c r="G38" i="18"/>
  <c r="J92" i="9"/>
  <c r="M92" i="9"/>
  <c r="N92" i="9" s="1"/>
  <c r="O92" i="9" s="1"/>
  <c r="I48" i="9"/>
  <c r="M48" i="9"/>
  <c r="N48" i="9" s="1"/>
  <c r="O48" i="9" s="1"/>
  <c r="J80" i="9"/>
  <c r="M80" i="9"/>
  <c r="N80" i="9" s="1"/>
  <c r="O80" i="9" s="1"/>
  <c r="J132" i="9"/>
  <c r="M132" i="9"/>
  <c r="J118" i="9"/>
  <c r="M118" i="9"/>
  <c r="J119" i="9"/>
  <c r="M119" i="9"/>
  <c r="J28" i="9"/>
  <c r="M28" i="9"/>
  <c r="N28" i="9" s="1"/>
  <c r="O28" i="9" s="1"/>
  <c r="K48" i="18" s="1"/>
  <c r="Q22" i="17" s="1"/>
  <c r="J74" i="9"/>
  <c r="M74" i="9"/>
  <c r="N74" i="9" s="1"/>
  <c r="O74" i="9" s="1"/>
  <c r="J127" i="9"/>
  <c r="M127" i="9"/>
  <c r="J126" i="9"/>
  <c r="M126" i="9"/>
  <c r="J125" i="9"/>
  <c r="M125" i="9"/>
  <c r="J131" i="9"/>
  <c r="M131" i="9"/>
  <c r="N46" i="18"/>
  <c r="O46" i="18"/>
  <c r="J129" i="9"/>
  <c r="M129" i="9"/>
  <c r="I27" i="9"/>
  <c r="M27" i="9"/>
  <c r="N27" i="9" s="1"/>
  <c r="O27" i="9" s="1"/>
  <c r="J65" i="9"/>
  <c r="M65" i="9"/>
  <c r="N65" i="9" s="1"/>
  <c r="O65" i="9" s="1"/>
  <c r="I22" i="9"/>
  <c r="M22" i="9"/>
  <c r="N22" i="9" s="1"/>
  <c r="O22" i="9" s="1"/>
  <c r="J21" i="9"/>
  <c r="M21" i="9"/>
  <c r="N21" i="9" s="1"/>
  <c r="O21" i="9" s="1"/>
  <c r="K41" i="18" s="1"/>
  <c r="Q15" i="17" s="1"/>
  <c r="J73" i="9"/>
  <c r="M73" i="9"/>
  <c r="N73" i="9" s="1"/>
  <c r="O73" i="9" s="1"/>
  <c r="J75" i="9"/>
  <c r="M75" i="9"/>
  <c r="N75" i="9" s="1"/>
  <c r="O75" i="9" s="1"/>
  <c r="M43" i="18" s="1"/>
  <c r="G46" i="18"/>
  <c r="I124" i="9"/>
  <c r="M124" i="9"/>
  <c r="J102" i="9"/>
  <c r="M102" i="9"/>
  <c r="N102" i="9" s="1"/>
  <c r="O102" i="9" s="1"/>
  <c r="J53" i="9"/>
  <c r="M53" i="9"/>
  <c r="N53" i="9" s="1"/>
  <c r="O53" i="9" s="1"/>
  <c r="J68" i="9"/>
  <c r="M68" i="9"/>
  <c r="N68" i="9" s="1"/>
  <c r="O68" i="9" s="1"/>
  <c r="I14" i="9"/>
  <c r="M14" i="9"/>
  <c r="N14" i="9" s="1"/>
  <c r="O14" i="9" s="1"/>
  <c r="J25" i="9"/>
  <c r="M25" i="9"/>
  <c r="N25" i="9" s="1"/>
  <c r="O25" i="9" s="1"/>
  <c r="K45" i="18" s="1"/>
  <c r="Q19" i="17" s="1"/>
  <c r="J20" i="9"/>
  <c r="M20" i="9"/>
  <c r="N20" i="9" s="1"/>
  <c r="O20" i="9" s="1"/>
  <c r="K40" i="18" s="1"/>
  <c r="Q14" i="17" s="1"/>
  <c r="J67" i="9"/>
  <c r="M67" i="9"/>
  <c r="N67" i="9" s="1"/>
  <c r="O67" i="9" s="1"/>
  <c r="J77" i="9"/>
  <c r="M77" i="9"/>
  <c r="N77" i="9" s="1"/>
  <c r="O77" i="9" s="1"/>
  <c r="DD151" i="13"/>
  <c r="J121" i="9"/>
  <c r="M121" i="9"/>
  <c r="J97" i="9"/>
  <c r="M97" i="9"/>
  <c r="N97" i="9" s="1"/>
  <c r="O97" i="9" s="1"/>
  <c r="J19" i="9"/>
  <c r="M19" i="9"/>
  <c r="N19" i="9" s="1"/>
  <c r="O19" i="9" s="1"/>
  <c r="K39" i="18" s="1"/>
  <c r="Q13" i="17" s="1"/>
  <c r="J66" i="9"/>
  <c r="M66" i="9"/>
  <c r="N66" i="9" s="1"/>
  <c r="O66" i="9" s="1"/>
  <c r="I97" i="9"/>
  <c r="J79" i="9"/>
  <c r="M79" i="9"/>
  <c r="N79" i="9" s="1"/>
  <c r="O79" i="9" s="1"/>
  <c r="J24" i="9"/>
  <c r="M24" i="9"/>
  <c r="N24" i="9" s="1"/>
  <c r="O24" i="9" s="1"/>
  <c r="K44" i="18" s="1"/>
  <c r="Q18" i="17" s="1"/>
  <c r="J15" i="9"/>
  <c r="M15" i="9"/>
  <c r="N15" i="9" s="1"/>
  <c r="O15" i="9" s="1"/>
  <c r="K35" i="18" s="1"/>
  <c r="Q9" i="17" s="1"/>
  <c r="J23" i="9"/>
  <c r="M23" i="9"/>
  <c r="N23" i="9" s="1"/>
  <c r="O23" i="9" s="1"/>
  <c r="K43" i="18" s="1"/>
  <c r="Q17" i="17" s="1"/>
  <c r="J17" i="9"/>
  <c r="M17" i="9"/>
  <c r="N17" i="9" s="1"/>
  <c r="O17" i="9" s="1"/>
  <c r="K37" i="18" s="1"/>
  <c r="Q11" i="17" s="1"/>
  <c r="I78" i="9"/>
  <c r="M78" i="9"/>
  <c r="N78" i="9" s="1"/>
  <c r="O78" i="9" s="1"/>
  <c r="J71" i="9"/>
  <c r="M71" i="9"/>
  <c r="N71" i="9" s="1"/>
  <c r="O71" i="9" s="1"/>
  <c r="J72" i="9"/>
  <c r="M72" i="9"/>
  <c r="N72" i="9" s="1"/>
  <c r="O72" i="9" s="1"/>
  <c r="J16" i="9"/>
  <c r="M16" i="9"/>
  <c r="N16" i="9" s="1"/>
  <c r="O16" i="9" s="1"/>
  <c r="K36" i="18" s="1"/>
  <c r="Q10" i="17" s="1"/>
  <c r="J117" i="9"/>
  <c r="M117" i="9"/>
  <c r="J122" i="9"/>
  <c r="M122" i="9"/>
  <c r="N45" i="18"/>
  <c r="N48" i="18"/>
  <c r="AJ151" i="16"/>
  <c r="I123" i="9"/>
  <c r="H39" i="18" s="1"/>
  <c r="AI151" i="16"/>
  <c r="J123" i="9"/>
  <c r="O39" i="18" s="1"/>
  <c r="J128" i="9"/>
  <c r="O44" i="18" s="1"/>
  <c r="I121" i="9"/>
  <c r="I128" i="9"/>
  <c r="H44" i="18" s="1"/>
  <c r="I16" i="9"/>
  <c r="I126" i="9"/>
  <c r="I131" i="9"/>
  <c r="H47" i="18" s="1"/>
  <c r="I67" i="9"/>
  <c r="I125" i="9"/>
  <c r="AJ151" i="14"/>
  <c r="J76" i="9"/>
  <c r="I20" i="9"/>
  <c r="I122" i="9"/>
  <c r="I132" i="9"/>
  <c r="AI148" i="15"/>
  <c r="AJ148" i="15"/>
  <c r="AI148" i="16"/>
  <c r="AJ148" i="16"/>
  <c r="CE148" i="15"/>
  <c r="CF148" i="15"/>
  <c r="DC145" i="16"/>
  <c r="DD145" i="16"/>
  <c r="CF145" i="15"/>
  <c r="CE145" i="15"/>
  <c r="BG140" i="14"/>
  <c r="BH140" i="14"/>
  <c r="CE140" i="13"/>
  <c r="CF140" i="13"/>
  <c r="K140" i="13"/>
  <c r="L140" i="13"/>
  <c r="AJ147" i="14"/>
  <c r="AI147" i="14"/>
  <c r="DC147" i="16"/>
  <c r="DD147" i="16"/>
  <c r="DC147" i="15"/>
  <c r="DD147" i="15"/>
  <c r="AI149" i="15"/>
  <c r="AJ149" i="15"/>
  <c r="DC149" i="13"/>
  <c r="DD149" i="13"/>
  <c r="DL138" i="14"/>
  <c r="DC138" i="14"/>
  <c r="DM138" i="14" s="1"/>
  <c r="DD138" i="14"/>
  <c r="DN138" i="14" s="1"/>
  <c r="BP138" i="16"/>
  <c r="BH138" i="16"/>
  <c r="BR138" i="16" s="1"/>
  <c r="BG138" i="16"/>
  <c r="BQ138" i="16" s="1"/>
  <c r="AI150" i="13"/>
  <c r="AJ150" i="13"/>
  <c r="AI150" i="15"/>
  <c r="AJ150" i="15"/>
  <c r="BH139" i="13"/>
  <c r="BG139" i="13"/>
  <c r="AI139" i="14"/>
  <c r="AJ139" i="14"/>
  <c r="DD139" i="16"/>
  <c r="DC139" i="16"/>
  <c r="AI146" i="13"/>
  <c r="AJ146" i="13"/>
  <c r="CE146" i="16"/>
  <c r="CF146" i="16"/>
  <c r="CE144" i="13"/>
  <c r="CF144" i="13"/>
  <c r="AI144" i="16"/>
  <c r="AJ144" i="16"/>
  <c r="DC143" i="14"/>
  <c r="DD143" i="14"/>
  <c r="BG143" i="16"/>
  <c r="BH143" i="16"/>
  <c r="AI141" i="15"/>
  <c r="AJ141" i="15"/>
  <c r="BG141" i="16"/>
  <c r="BH141" i="16"/>
  <c r="AJ152" i="14"/>
  <c r="AI152" i="14"/>
  <c r="DC152" i="15"/>
  <c r="DD152" i="15"/>
  <c r="BG152" i="15"/>
  <c r="BH152" i="15"/>
  <c r="BG142" i="15"/>
  <c r="BH142" i="15"/>
  <c r="AI142" i="16"/>
  <c r="AJ142" i="16"/>
  <c r="I117" i="9"/>
  <c r="H33" i="18" s="1"/>
  <c r="AI153" i="15"/>
  <c r="AJ153" i="15"/>
  <c r="CE153" i="14"/>
  <c r="CF153" i="14"/>
  <c r="K149" i="14"/>
  <c r="L149" i="14"/>
  <c r="CF149" i="13"/>
  <c r="CE149" i="13"/>
  <c r="T138" i="14"/>
  <c r="K138" i="14"/>
  <c r="U138" i="14" s="1"/>
  <c r="L138" i="14"/>
  <c r="V138" i="14" s="1"/>
  <c r="DL138" i="13"/>
  <c r="DC138" i="13"/>
  <c r="DM138" i="13" s="1"/>
  <c r="DD138" i="13"/>
  <c r="DN138" i="13" s="1"/>
  <c r="K150" i="14"/>
  <c r="L150" i="14"/>
  <c r="DC150" i="15"/>
  <c r="DD150" i="15"/>
  <c r="K150" i="16"/>
  <c r="L150" i="16"/>
  <c r="AI139" i="13"/>
  <c r="AJ139" i="13"/>
  <c r="BG139" i="14"/>
  <c r="BH139" i="14"/>
  <c r="K146" i="16"/>
  <c r="L146" i="16"/>
  <c r="AI146" i="14"/>
  <c r="AJ146" i="14"/>
  <c r="K144" i="16"/>
  <c r="L144" i="16"/>
  <c r="DC144" i="13"/>
  <c r="DD144" i="13"/>
  <c r="CE144" i="15"/>
  <c r="CF144" i="15"/>
  <c r="CE143" i="13"/>
  <c r="CF143" i="13"/>
  <c r="CE143" i="16"/>
  <c r="CF143" i="16"/>
  <c r="BG141" i="14"/>
  <c r="BH141" i="14"/>
  <c r="K141" i="16"/>
  <c r="L141" i="16"/>
  <c r="AI152" i="13"/>
  <c r="AJ152" i="13"/>
  <c r="CE152" i="14"/>
  <c r="CF152" i="14"/>
  <c r="BG152" i="16"/>
  <c r="BH152" i="16"/>
  <c r="K142" i="13"/>
  <c r="L142" i="13"/>
  <c r="DC142" i="14"/>
  <c r="DD142" i="14"/>
  <c r="DC153" i="15"/>
  <c r="DD153" i="15"/>
  <c r="BG153" i="16"/>
  <c r="BH153" i="16"/>
  <c r="AI153" i="16"/>
  <c r="AJ153" i="16"/>
  <c r="CE153" i="13"/>
  <c r="CF153" i="13"/>
  <c r="DD153" i="14"/>
  <c r="DC153" i="14"/>
  <c r="CE148" i="13"/>
  <c r="CF148" i="13"/>
  <c r="DC148" i="14"/>
  <c r="DD148" i="14"/>
  <c r="AI148" i="13"/>
  <c r="AJ148" i="13"/>
  <c r="DC148" i="16"/>
  <c r="DD148" i="16"/>
  <c r="BG148" i="14"/>
  <c r="BH148" i="14"/>
  <c r="BG145" i="14"/>
  <c r="BH145" i="14"/>
  <c r="CE145" i="16"/>
  <c r="CF145" i="16"/>
  <c r="K145" i="15"/>
  <c r="L145" i="15"/>
  <c r="BG145" i="16"/>
  <c r="BH145" i="16"/>
  <c r="AI145" i="14"/>
  <c r="AJ145" i="14"/>
  <c r="CE140" i="16"/>
  <c r="CF140" i="16"/>
  <c r="K140" i="14"/>
  <c r="L140" i="14"/>
  <c r="AI140" i="14"/>
  <c r="AJ140" i="14"/>
  <c r="DC140" i="14"/>
  <c r="DD140" i="14"/>
  <c r="BG140" i="16"/>
  <c r="BH140" i="16"/>
  <c r="CE147" i="13"/>
  <c r="CF147" i="13"/>
  <c r="BG147" i="16"/>
  <c r="BH147" i="16"/>
  <c r="AI147" i="16"/>
  <c r="AJ147" i="16"/>
  <c r="AI147" i="13"/>
  <c r="AJ147" i="13"/>
  <c r="AI147" i="15"/>
  <c r="AJ147" i="15"/>
  <c r="AI149" i="14"/>
  <c r="AJ149" i="14"/>
  <c r="K149" i="16"/>
  <c r="L149" i="16"/>
  <c r="BG149" i="15"/>
  <c r="BH149" i="15"/>
  <c r="AI149" i="16"/>
  <c r="AJ149" i="16"/>
  <c r="BG149" i="14"/>
  <c r="BH149" i="14"/>
  <c r="T138" i="16"/>
  <c r="K138" i="16"/>
  <c r="U138" i="16" s="1"/>
  <c r="L138" i="16"/>
  <c r="V138" i="16" s="1"/>
  <c r="CN138" i="15"/>
  <c r="CE138" i="15"/>
  <c r="CO138" i="15" s="1"/>
  <c r="CF138" i="15"/>
  <c r="CP138" i="15" s="1"/>
  <c r="AR138" i="13"/>
  <c r="AJ138" i="13"/>
  <c r="AT138" i="13" s="1"/>
  <c r="AT139" i="13" s="1"/>
  <c r="AI138" i="13"/>
  <c r="AS138" i="13" s="1"/>
  <c r="AR138" i="14"/>
  <c r="AI138" i="14"/>
  <c r="AS138" i="14" s="1"/>
  <c r="AJ138" i="14"/>
  <c r="AT138" i="14" s="1"/>
  <c r="AR138" i="16"/>
  <c r="AI138" i="16"/>
  <c r="AS138" i="16" s="1"/>
  <c r="AJ138" i="16"/>
  <c r="AT138" i="16" s="1"/>
  <c r="CE150" i="14"/>
  <c r="CF150" i="14"/>
  <c r="K150" i="13"/>
  <c r="L150" i="13"/>
  <c r="BH150" i="16"/>
  <c r="BG150" i="16"/>
  <c r="CE150" i="13"/>
  <c r="CF150" i="13"/>
  <c r="AI150" i="16"/>
  <c r="AJ150" i="16"/>
  <c r="K139" i="15"/>
  <c r="L139" i="15"/>
  <c r="CE139" i="14"/>
  <c r="CF139" i="14"/>
  <c r="DC139" i="13"/>
  <c r="DD139" i="13"/>
  <c r="BG139" i="15"/>
  <c r="BH139" i="15"/>
  <c r="DC139" i="15"/>
  <c r="DD139" i="15"/>
  <c r="CE146" i="13"/>
  <c r="CF146" i="13"/>
  <c r="BG146" i="15"/>
  <c r="BH146" i="15"/>
  <c r="K146" i="13"/>
  <c r="L146" i="13"/>
  <c r="CE146" i="15"/>
  <c r="CF146" i="15"/>
  <c r="AI146" i="15"/>
  <c r="AJ146" i="15"/>
  <c r="AI144" i="14"/>
  <c r="AJ144" i="14"/>
  <c r="DC144" i="15"/>
  <c r="DD144" i="15"/>
  <c r="K144" i="14"/>
  <c r="L144" i="14"/>
  <c r="DD144" i="16"/>
  <c r="DC144" i="16"/>
  <c r="BG144" i="16"/>
  <c r="BH144" i="16"/>
  <c r="K143" i="13"/>
  <c r="L143" i="13"/>
  <c r="AI143" i="15"/>
  <c r="AJ143" i="15"/>
  <c r="CE143" i="14"/>
  <c r="CF143" i="14"/>
  <c r="DC143" i="16"/>
  <c r="DD143" i="16"/>
  <c r="DC143" i="15"/>
  <c r="DD143" i="15"/>
  <c r="BH141" i="15"/>
  <c r="BG141" i="15"/>
  <c r="DC141" i="16"/>
  <c r="DD141" i="16"/>
  <c r="K141" i="13"/>
  <c r="L141" i="13"/>
  <c r="CE141" i="15"/>
  <c r="CF141" i="15"/>
  <c r="CE141" i="14"/>
  <c r="CF141" i="14"/>
  <c r="CE152" i="15"/>
  <c r="CF152" i="15"/>
  <c r="CE152" i="16"/>
  <c r="CF152" i="16"/>
  <c r="DC152" i="13"/>
  <c r="DD152" i="13"/>
  <c r="CF152" i="13"/>
  <c r="CE152" i="13"/>
  <c r="DC152" i="14"/>
  <c r="DD152" i="14"/>
  <c r="BG142" i="13"/>
  <c r="BH142" i="13"/>
  <c r="AI142" i="13"/>
  <c r="AJ142" i="13"/>
  <c r="K142" i="14"/>
  <c r="L142" i="14"/>
  <c r="K142" i="15"/>
  <c r="L142" i="15"/>
  <c r="DD142" i="16"/>
  <c r="DC142" i="16"/>
  <c r="BG153" i="13"/>
  <c r="BH153" i="13"/>
  <c r="CE153" i="15"/>
  <c r="CF153" i="15"/>
  <c r="DC153" i="16"/>
  <c r="DD153" i="16"/>
  <c r="BG153" i="14"/>
  <c r="BH153" i="14"/>
  <c r="K153" i="16"/>
  <c r="L153" i="16"/>
  <c r="BH148" i="13"/>
  <c r="BG148" i="13"/>
  <c r="K148" i="15"/>
  <c r="L148" i="15"/>
  <c r="DC145" i="14"/>
  <c r="DD145" i="14"/>
  <c r="AI145" i="13"/>
  <c r="AJ145" i="13"/>
  <c r="CE145" i="14"/>
  <c r="CF145" i="14"/>
  <c r="K140" i="16"/>
  <c r="L140" i="16"/>
  <c r="BG140" i="15"/>
  <c r="BH140" i="15"/>
  <c r="CE147" i="15"/>
  <c r="CF147" i="15"/>
  <c r="CE147" i="14"/>
  <c r="CF147" i="14"/>
  <c r="CE149" i="14"/>
  <c r="CF149" i="14"/>
  <c r="AI149" i="13"/>
  <c r="AJ149" i="13"/>
  <c r="DC149" i="16"/>
  <c r="DD149" i="16"/>
  <c r="BP138" i="13"/>
  <c r="BG138" i="13"/>
  <c r="BQ138" i="13" s="1"/>
  <c r="BQ139" i="13" s="1"/>
  <c r="BH138" i="13"/>
  <c r="BR138" i="13" s="1"/>
  <c r="BP138" i="15"/>
  <c r="BP139" i="15" s="1"/>
  <c r="BG138" i="15"/>
  <c r="BQ138" i="15" s="1"/>
  <c r="BH138" i="15"/>
  <c r="BR138" i="15" s="1"/>
  <c r="CN138" i="13"/>
  <c r="CE138" i="13"/>
  <c r="CO138" i="13" s="1"/>
  <c r="CF138" i="13"/>
  <c r="CP138" i="13" s="1"/>
  <c r="DC150" i="14"/>
  <c r="DD150" i="14"/>
  <c r="BG150" i="15"/>
  <c r="BH150" i="15"/>
  <c r="DC150" i="16"/>
  <c r="DD150" i="16"/>
  <c r="BG139" i="16"/>
  <c r="BH139" i="16"/>
  <c r="CF139" i="16"/>
  <c r="CE139" i="16"/>
  <c r="BG146" i="14"/>
  <c r="BH146" i="14"/>
  <c r="CE146" i="14"/>
  <c r="CF146" i="14"/>
  <c r="BH146" i="16"/>
  <c r="BG146" i="16"/>
  <c r="BG144" i="14"/>
  <c r="BH144" i="14"/>
  <c r="K144" i="15"/>
  <c r="L144" i="15"/>
  <c r="BG144" i="15"/>
  <c r="BH144" i="15"/>
  <c r="BG143" i="13"/>
  <c r="BH143" i="13"/>
  <c r="AI143" i="16"/>
  <c r="AJ143" i="16"/>
  <c r="K143" i="14"/>
  <c r="L143" i="14"/>
  <c r="AI141" i="16"/>
  <c r="AJ141" i="16"/>
  <c r="DC141" i="13"/>
  <c r="DD141" i="13"/>
  <c r="K141" i="15"/>
  <c r="L141" i="15"/>
  <c r="K152" i="13"/>
  <c r="L152" i="13"/>
  <c r="BG152" i="14"/>
  <c r="BH152" i="14"/>
  <c r="BG142" i="16"/>
  <c r="BH142" i="16"/>
  <c r="CE142" i="13"/>
  <c r="CF142" i="13"/>
  <c r="K142" i="16"/>
  <c r="L142" i="16"/>
  <c r="AI153" i="14"/>
  <c r="AJ153" i="14"/>
  <c r="AI153" i="13"/>
  <c r="AJ153" i="13"/>
  <c r="DC153" i="13"/>
  <c r="DD153" i="13"/>
  <c r="DC148" i="15"/>
  <c r="DD148" i="15"/>
  <c r="L148" i="16"/>
  <c r="K148" i="16"/>
  <c r="CE148" i="16"/>
  <c r="CF148" i="16"/>
  <c r="K148" i="13"/>
  <c r="L148" i="13"/>
  <c r="BG148" i="16"/>
  <c r="BH148" i="16"/>
  <c r="K145" i="13"/>
  <c r="L145" i="13"/>
  <c r="BG145" i="13"/>
  <c r="BH145" i="13"/>
  <c r="K145" i="14"/>
  <c r="L145" i="14"/>
  <c r="DC145" i="15"/>
  <c r="DD145" i="15"/>
  <c r="BG145" i="15"/>
  <c r="BH145" i="15"/>
  <c r="AI140" i="15"/>
  <c r="AJ140" i="15"/>
  <c r="AI140" i="13"/>
  <c r="AJ140" i="13"/>
  <c r="DC140" i="13"/>
  <c r="DD140" i="13"/>
  <c r="CE140" i="14"/>
  <c r="CF140" i="14"/>
  <c r="CE140" i="15"/>
  <c r="CF140" i="15"/>
  <c r="BG147" i="14"/>
  <c r="BH147" i="14"/>
  <c r="BG147" i="15"/>
  <c r="BH147" i="15"/>
  <c r="K147" i="13"/>
  <c r="L147" i="13"/>
  <c r="K147" i="15"/>
  <c r="L147" i="15"/>
  <c r="K147" i="16"/>
  <c r="L147" i="16"/>
  <c r="DC149" i="14"/>
  <c r="DD149" i="14"/>
  <c r="DC149" i="15"/>
  <c r="DD149" i="15"/>
  <c r="K149" i="15"/>
  <c r="L149" i="15"/>
  <c r="AR138" i="15"/>
  <c r="AJ138" i="15"/>
  <c r="AT138" i="15" s="1"/>
  <c r="AI138" i="15"/>
  <c r="AS138" i="15" s="1"/>
  <c r="DL138" i="16"/>
  <c r="DL139" i="16" s="1"/>
  <c r="DD138" i="16"/>
  <c r="DN138" i="16" s="1"/>
  <c r="DC138" i="16"/>
  <c r="DM138" i="16" s="1"/>
  <c r="BP138" i="14"/>
  <c r="BG138" i="14"/>
  <c r="BQ138" i="14" s="1"/>
  <c r="BH138" i="14"/>
  <c r="BR138" i="14" s="1"/>
  <c r="AI150" i="14"/>
  <c r="AJ150" i="14"/>
  <c r="CE150" i="15"/>
  <c r="CF150" i="15"/>
  <c r="DC139" i="14"/>
  <c r="DD139" i="14"/>
  <c r="CE139" i="13"/>
  <c r="CF139" i="13"/>
  <c r="AI139" i="15"/>
  <c r="AJ139" i="15"/>
  <c r="K146" i="14"/>
  <c r="L146" i="14"/>
  <c r="K146" i="15"/>
  <c r="L146" i="15"/>
  <c r="DC146" i="16"/>
  <c r="DD146" i="16"/>
  <c r="AI144" i="15"/>
  <c r="AJ144" i="15"/>
  <c r="CE144" i="16"/>
  <c r="CF144" i="16"/>
  <c r="BG143" i="14"/>
  <c r="BH143" i="14"/>
  <c r="AI143" i="13"/>
  <c r="AJ143" i="13"/>
  <c r="K143" i="15"/>
  <c r="L143" i="15"/>
  <c r="CE141" i="16"/>
  <c r="CF141" i="16"/>
  <c r="AI141" i="14"/>
  <c r="AJ141" i="14"/>
  <c r="K141" i="14"/>
  <c r="L141" i="14"/>
  <c r="AI152" i="16"/>
  <c r="AJ152" i="16"/>
  <c r="K152" i="16"/>
  <c r="L152" i="16"/>
  <c r="CE142" i="15"/>
  <c r="CF142" i="15"/>
  <c r="DC142" i="13"/>
  <c r="DD142" i="13"/>
  <c r="CE142" i="16"/>
  <c r="CF142" i="16"/>
  <c r="I118" i="9"/>
  <c r="H34" i="18" s="1"/>
  <c r="R117" i="9"/>
  <c r="I120" i="9"/>
  <c r="H36" i="18" s="1"/>
  <c r="I127" i="9"/>
  <c r="H43" i="18" s="1"/>
  <c r="L153" i="13"/>
  <c r="K153" i="13"/>
  <c r="BH153" i="15"/>
  <c r="BG153" i="15"/>
  <c r="CE153" i="16"/>
  <c r="CF153" i="16"/>
  <c r="K153" i="14"/>
  <c r="L153" i="14"/>
  <c r="K153" i="15"/>
  <c r="L153" i="15"/>
  <c r="CE148" i="14"/>
  <c r="CF148" i="14"/>
  <c r="AI148" i="14"/>
  <c r="AJ148" i="14"/>
  <c r="K148" i="14"/>
  <c r="L148" i="14"/>
  <c r="DC148" i="13"/>
  <c r="DD148" i="13"/>
  <c r="BG148" i="15"/>
  <c r="BH148" i="15"/>
  <c r="CE145" i="13"/>
  <c r="CF145" i="13"/>
  <c r="AI145" i="16"/>
  <c r="AJ145" i="16"/>
  <c r="K145" i="16"/>
  <c r="L145" i="16"/>
  <c r="AI145" i="15"/>
  <c r="AJ145" i="15"/>
  <c r="DC145" i="13"/>
  <c r="DD145" i="13"/>
  <c r="AI140" i="16"/>
  <c r="AJ140" i="16"/>
  <c r="BG140" i="13"/>
  <c r="BH140" i="13"/>
  <c r="DC140" i="15"/>
  <c r="DD140" i="15"/>
  <c r="DC140" i="16"/>
  <c r="DD140" i="16"/>
  <c r="K140" i="15"/>
  <c r="L140" i="15"/>
  <c r="DC147" i="14"/>
  <c r="DD147" i="14"/>
  <c r="BH147" i="13"/>
  <c r="BG147" i="13"/>
  <c r="CE147" i="16"/>
  <c r="CF147" i="16"/>
  <c r="DC147" i="13"/>
  <c r="DD147" i="13"/>
  <c r="K147" i="14"/>
  <c r="L147" i="14"/>
  <c r="L149" i="13"/>
  <c r="K149" i="13"/>
  <c r="BG149" i="13"/>
  <c r="BH149" i="13"/>
  <c r="BG149" i="16"/>
  <c r="BH149" i="16"/>
  <c r="CF149" i="15"/>
  <c r="CE149" i="15"/>
  <c r="CE149" i="16"/>
  <c r="CF149" i="16"/>
  <c r="T138" i="13"/>
  <c r="L138" i="13"/>
  <c r="V138" i="13" s="1"/>
  <c r="K138" i="13"/>
  <c r="U138" i="13" s="1"/>
  <c r="DL138" i="15"/>
  <c r="DC138" i="15"/>
  <c r="DM138" i="15" s="1"/>
  <c r="DD138" i="15"/>
  <c r="DN138" i="15" s="1"/>
  <c r="CN138" i="14"/>
  <c r="CE138" i="14"/>
  <c r="CO138" i="14" s="1"/>
  <c r="CF138" i="14"/>
  <c r="CP138" i="14" s="1"/>
  <c r="T138" i="15"/>
  <c r="K138" i="15"/>
  <c r="U138" i="15" s="1"/>
  <c r="L138" i="15"/>
  <c r="V138" i="15" s="1"/>
  <c r="CN138" i="16"/>
  <c r="CE138" i="16"/>
  <c r="CO138" i="16" s="1"/>
  <c r="CF138" i="16"/>
  <c r="CP138" i="16" s="1"/>
  <c r="K150" i="15"/>
  <c r="L150" i="15"/>
  <c r="BG150" i="13"/>
  <c r="BH150" i="13"/>
  <c r="DC150" i="13"/>
  <c r="DD150" i="13"/>
  <c r="BG150" i="14"/>
  <c r="BH150" i="14"/>
  <c r="CE150" i="16"/>
  <c r="CF150" i="16"/>
  <c r="K139" i="13"/>
  <c r="L139" i="13"/>
  <c r="CE139" i="15"/>
  <c r="CF139" i="15"/>
  <c r="K139" i="14"/>
  <c r="L139" i="14"/>
  <c r="AI139" i="16"/>
  <c r="AJ139" i="16"/>
  <c r="K139" i="16"/>
  <c r="L139" i="16"/>
  <c r="DC146" i="14"/>
  <c r="DD146" i="14"/>
  <c r="BG146" i="13"/>
  <c r="BH146" i="13"/>
  <c r="DC146" i="13"/>
  <c r="DD146" i="13"/>
  <c r="DC146" i="15"/>
  <c r="DD146" i="15"/>
  <c r="AI146" i="16"/>
  <c r="AJ146" i="16"/>
  <c r="DC144" i="14"/>
  <c r="DD144" i="14"/>
  <c r="BG144" i="13"/>
  <c r="BH144" i="13"/>
  <c r="AI144" i="13"/>
  <c r="AJ144" i="13"/>
  <c r="CE144" i="14"/>
  <c r="CF144" i="14"/>
  <c r="K144" i="13"/>
  <c r="L144" i="13"/>
  <c r="AI143" i="14"/>
  <c r="AJ143" i="14"/>
  <c r="CE143" i="15"/>
  <c r="CF143" i="15"/>
  <c r="BG143" i="15"/>
  <c r="BH143" i="15"/>
  <c r="DC143" i="13"/>
  <c r="DD143" i="13"/>
  <c r="K143" i="16"/>
  <c r="L143" i="16"/>
  <c r="BG141" i="13"/>
  <c r="BH141" i="13"/>
  <c r="AI141" i="13"/>
  <c r="AJ141" i="13"/>
  <c r="CE141" i="13"/>
  <c r="CF141" i="13"/>
  <c r="DC141" i="15"/>
  <c r="DD141" i="15"/>
  <c r="DC141" i="14"/>
  <c r="DD141" i="14"/>
  <c r="BH152" i="13"/>
  <c r="BG152" i="13"/>
  <c r="DC152" i="16"/>
  <c r="DD152" i="16"/>
  <c r="AI152" i="15"/>
  <c r="AJ152" i="15"/>
  <c r="K152" i="14"/>
  <c r="L152" i="14"/>
  <c r="K152" i="15"/>
  <c r="L152" i="15"/>
  <c r="BG142" i="14"/>
  <c r="BH142" i="14"/>
  <c r="DC142" i="15"/>
  <c r="DD142" i="15"/>
  <c r="CE142" i="14"/>
  <c r="CF142" i="14"/>
  <c r="AI142" i="14"/>
  <c r="AJ142" i="14"/>
  <c r="AI142" i="15"/>
  <c r="AJ142" i="15"/>
  <c r="I68" i="9"/>
  <c r="I76" i="9"/>
  <c r="I79" i="9"/>
  <c r="I75" i="9"/>
  <c r="I80" i="9"/>
  <c r="I66" i="9"/>
  <c r="I72" i="9"/>
  <c r="G156" i="9"/>
  <c r="BK76" i="16" s="1"/>
  <c r="BM76" i="16" s="1"/>
  <c r="I71" i="9"/>
  <c r="I74" i="9"/>
  <c r="F42" i="18" s="1"/>
  <c r="I77" i="9"/>
  <c r="I25" i="9"/>
  <c r="D45" i="18" s="1"/>
  <c r="P19" i="17" s="1"/>
  <c r="G143" i="9"/>
  <c r="AK63" i="16" s="1"/>
  <c r="AM63" i="16" s="1"/>
  <c r="J69" i="9"/>
  <c r="I69" i="9"/>
  <c r="F37" i="18" s="1"/>
  <c r="G151" i="9"/>
  <c r="CK71" i="16" s="1"/>
  <c r="CM71" i="16" s="1"/>
  <c r="J14" i="9"/>
  <c r="I17" i="9"/>
  <c r="D37" i="18" s="1"/>
  <c r="P11" i="17" s="1"/>
  <c r="I65" i="9"/>
  <c r="F33" i="18" s="1"/>
  <c r="I24" i="9"/>
  <c r="D44" i="18" s="1"/>
  <c r="P18" i="17" s="1"/>
  <c r="I15" i="9"/>
  <c r="J26" i="9"/>
  <c r="K46" i="18" s="1"/>
  <c r="Q20" i="17" s="1"/>
  <c r="I26" i="9"/>
  <c r="D46" i="18" s="1"/>
  <c r="P20" i="17" s="1"/>
  <c r="G153" i="9"/>
  <c r="BK73" i="16" s="1"/>
  <c r="BM73" i="16" s="1"/>
  <c r="I73" i="9"/>
  <c r="F41" i="18" s="1"/>
  <c r="J22" i="9"/>
  <c r="I21" i="9"/>
  <c r="D41" i="18" s="1"/>
  <c r="P15" i="17" s="1"/>
  <c r="J43" i="9"/>
  <c r="L37" i="18" s="1"/>
  <c r="J27" i="9"/>
  <c r="K47" i="18" s="1"/>
  <c r="Q21" i="17" s="1"/>
  <c r="G158" i="9"/>
  <c r="CK78" i="16" s="1"/>
  <c r="CM78" i="16" s="1"/>
  <c r="J78" i="9"/>
  <c r="I19" i="9"/>
  <c r="I92" i="9"/>
  <c r="J48" i="9"/>
  <c r="L42" i="18" s="1"/>
  <c r="I129" i="9"/>
  <c r="H45" i="18" s="1"/>
  <c r="I43" i="9"/>
  <c r="E37" i="18" s="1"/>
  <c r="I119" i="9"/>
  <c r="I28" i="9"/>
  <c r="I23" i="9"/>
  <c r="I53" i="9"/>
  <c r="J124" i="9"/>
  <c r="M11" i="17"/>
  <c r="I102" i="9"/>
  <c r="M20" i="17"/>
  <c r="L10" i="17"/>
  <c r="J18" i="9"/>
  <c r="K38" i="18" s="1"/>
  <c r="Q12" i="17" s="1"/>
  <c r="L22" i="17"/>
  <c r="M21" i="17"/>
  <c r="I18" i="9"/>
  <c r="D38" i="18" s="1"/>
  <c r="P12" i="17" s="1"/>
  <c r="J13" i="9"/>
  <c r="K33" i="18" s="1"/>
  <c r="Q7" i="17" s="1"/>
  <c r="M14" i="17"/>
  <c r="I13" i="9"/>
  <c r="D33" i="18" s="1"/>
  <c r="P7" i="17" s="1"/>
  <c r="L17" i="17"/>
  <c r="M13" i="17"/>
  <c r="M16" i="17"/>
  <c r="M7" i="17"/>
  <c r="O7" i="17" s="1"/>
  <c r="M18" i="17"/>
  <c r="M9" i="17"/>
  <c r="CK65" i="16"/>
  <c r="CM65" i="16" s="1"/>
  <c r="AK65" i="16"/>
  <c r="AM65" i="16" s="1"/>
  <c r="DK65" i="16"/>
  <c r="DM65" i="16" s="1"/>
  <c r="BK65" i="16"/>
  <c r="BM65" i="16" s="1"/>
  <c r="CK65" i="14"/>
  <c r="CM65" i="14" s="1"/>
  <c r="DK65" i="14"/>
  <c r="DM65" i="14" s="1"/>
  <c r="BK65" i="14"/>
  <c r="BM65" i="14" s="1"/>
  <c r="AK65" i="14"/>
  <c r="AM65" i="14" s="1"/>
  <c r="DK65" i="13"/>
  <c r="DM65" i="13" s="1"/>
  <c r="CK65" i="13"/>
  <c r="CM65" i="13" s="1"/>
  <c r="BK65" i="13"/>
  <c r="BM65" i="13" s="1"/>
  <c r="AK65" i="13"/>
  <c r="AM65" i="13" s="1"/>
  <c r="DK65" i="15"/>
  <c r="BK65" i="15"/>
  <c r="K65" i="13"/>
  <c r="M65" i="13" s="1"/>
  <c r="CK65" i="15"/>
  <c r="AK65" i="15"/>
  <c r="K65" i="16"/>
  <c r="M65" i="16" s="1"/>
  <c r="K65" i="15"/>
  <c r="M65" i="15" s="1"/>
  <c r="K65" i="14"/>
  <c r="M65" i="14" s="1"/>
  <c r="N8" i="17"/>
  <c r="N9" i="17" s="1"/>
  <c r="DK77" i="16"/>
  <c r="DM77" i="16" s="1"/>
  <c r="CK77" i="16"/>
  <c r="CM77" i="16" s="1"/>
  <c r="BK77" i="16"/>
  <c r="BM77" i="16" s="1"/>
  <c r="AK77" i="16"/>
  <c r="AM77" i="16" s="1"/>
  <c r="K77" i="13"/>
  <c r="M77" i="13" s="1"/>
  <c r="CK77" i="14"/>
  <c r="CM77" i="14" s="1"/>
  <c r="DK77" i="14"/>
  <c r="DM77" i="14" s="1"/>
  <c r="BK77" i="14"/>
  <c r="BM77" i="14" s="1"/>
  <c r="AK77" i="14"/>
  <c r="AM77" i="14" s="1"/>
  <c r="DK77" i="13"/>
  <c r="DM77" i="13" s="1"/>
  <c r="CK77" i="13"/>
  <c r="CM77" i="13" s="1"/>
  <c r="BK77" i="13"/>
  <c r="BM77" i="13" s="1"/>
  <c r="AK77" i="13"/>
  <c r="AM77" i="13" s="1"/>
  <c r="DK77" i="15"/>
  <c r="CK77" i="15"/>
  <c r="BK77" i="15"/>
  <c r="AK77" i="15"/>
  <c r="K77" i="16"/>
  <c r="M77" i="16" s="1"/>
  <c r="K77" i="15"/>
  <c r="M77" i="15" s="1"/>
  <c r="K77" i="14"/>
  <c r="M77" i="14" s="1"/>
  <c r="I155" i="9"/>
  <c r="N155" i="9" s="1"/>
  <c r="O155" i="9" s="1"/>
  <c r="P155" i="9" s="1"/>
  <c r="DK75" i="16"/>
  <c r="DM75" i="16" s="1"/>
  <c r="CK75" i="16"/>
  <c r="CM75" i="16" s="1"/>
  <c r="BK75" i="16"/>
  <c r="BM75" i="16" s="1"/>
  <c r="AK75" i="16"/>
  <c r="AM75" i="16" s="1"/>
  <c r="AK75" i="15"/>
  <c r="DK75" i="15"/>
  <c r="BK75" i="15"/>
  <c r="K75" i="13"/>
  <c r="M75" i="13" s="1"/>
  <c r="CK75" i="14"/>
  <c r="CM75" i="14" s="1"/>
  <c r="DK75" i="14"/>
  <c r="DM75" i="14" s="1"/>
  <c r="BK75" i="14"/>
  <c r="BM75" i="14" s="1"/>
  <c r="AK75" i="14"/>
  <c r="AM75" i="14" s="1"/>
  <c r="DK75" i="13"/>
  <c r="DM75" i="13" s="1"/>
  <c r="CK75" i="13"/>
  <c r="CM75" i="13" s="1"/>
  <c r="BK75" i="13"/>
  <c r="BM75" i="13" s="1"/>
  <c r="AK75" i="13"/>
  <c r="AM75" i="13" s="1"/>
  <c r="CK75" i="15"/>
  <c r="K75" i="16"/>
  <c r="M75" i="16" s="1"/>
  <c r="K75" i="15"/>
  <c r="M75" i="15" s="1"/>
  <c r="K75" i="14"/>
  <c r="M75" i="14" s="1"/>
  <c r="I154" i="9"/>
  <c r="N154" i="9" s="1"/>
  <c r="O154" i="9" s="1"/>
  <c r="P154" i="9" s="1"/>
  <c r="DK74" i="16"/>
  <c r="DM74" i="16" s="1"/>
  <c r="CK74" i="16"/>
  <c r="CM74" i="16" s="1"/>
  <c r="BK74" i="16"/>
  <c r="BM74" i="16" s="1"/>
  <c r="AK74" i="16"/>
  <c r="AM74" i="16" s="1"/>
  <c r="DK74" i="15"/>
  <c r="CK74" i="14"/>
  <c r="CM74" i="14" s="1"/>
  <c r="DK74" i="14"/>
  <c r="DM74" i="14" s="1"/>
  <c r="BK74" i="14"/>
  <c r="BM74" i="14" s="1"/>
  <c r="AK74" i="14"/>
  <c r="AM74" i="14" s="1"/>
  <c r="DK74" i="13"/>
  <c r="DM74" i="13" s="1"/>
  <c r="CK74" i="13"/>
  <c r="CM74" i="13" s="1"/>
  <c r="BK74" i="13"/>
  <c r="BM74" i="13" s="1"/>
  <c r="AK74" i="13"/>
  <c r="AM74" i="13" s="1"/>
  <c r="K74" i="13"/>
  <c r="M74" i="13" s="1"/>
  <c r="CK74" i="15"/>
  <c r="AK74" i="15"/>
  <c r="K74" i="16"/>
  <c r="M74" i="16" s="1"/>
  <c r="K74" i="15"/>
  <c r="M74" i="15" s="1"/>
  <c r="K74" i="14"/>
  <c r="M74" i="14" s="1"/>
  <c r="BK74" i="15"/>
  <c r="CK72" i="16"/>
  <c r="CM72" i="16" s="1"/>
  <c r="DK72" i="16"/>
  <c r="DM72" i="16" s="1"/>
  <c r="BK72" i="16"/>
  <c r="BM72" i="16" s="1"/>
  <c r="AK72" i="16"/>
  <c r="AM72" i="16" s="1"/>
  <c r="BK72" i="15"/>
  <c r="CK72" i="14"/>
  <c r="CM72" i="14" s="1"/>
  <c r="DK72" i="14"/>
  <c r="DM72" i="14" s="1"/>
  <c r="BK72" i="14"/>
  <c r="BM72" i="14" s="1"/>
  <c r="AK72" i="14"/>
  <c r="AM72" i="14" s="1"/>
  <c r="DK72" i="13"/>
  <c r="DM72" i="13" s="1"/>
  <c r="CK72" i="13"/>
  <c r="CM72" i="13" s="1"/>
  <c r="BK72" i="13"/>
  <c r="BM72" i="13" s="1"/>
  <c r="AK72" i="13"/>
  <c r="AM72" i="13" s="1"/>
  <c r="AK72" i="15"/>
  <c r="K72" i="16"/>
  <c r="M72" i="16" s="1"/>
  <c r="K72" i="15"/>
  <c r="M72" i="15" s="1"/>
  <c r="K72" i="14"/>
  <c r="M72" i="14" s="1"/>
  <c r="DK72" i="15"/>
  <c r="K72" i="13"/>
  <c r="M72" i="13" s="1"/>
  <c r="CK72" i="15"/>
  <c r="K150" i="9"/>
  <c r="CM70" i="15"/>
  <c r="BM70" i="15"/>
  <c r="DM70" i="15"/>
  <c r="AM70" i="15"/>
  <c r="CK70" i="16"/>
  <c r="CM70" i="16" s="1"/>
  <c r="DK70" i="16"/>
  <c r="DM70" i="16" s="1"/>
  <c r="BK70" i="16"/>
  <c r="BM70" i="16" s="1"/>
  <c r="AK70" i="16"/>
  <c r="AM70" i="16" s="1"/>
  <c r="DK70" i="15"/>
  <c r="CK70" i="14"/>
  <c r="CM70" i="14" s="1"/>
  <c r="DK70" i="14"/>
  <c r="DM70" i="14" s="1"/>
  <c r="BK70" i="14"/>
  <c r="BM70" i="14" s="1"/>
  <c r="AK70" i="14"/>
  <c r="AM70" i="14" s="1"/>
  <c r="DK70" i="13"/>
  <c r="DM70" i="13" s="1"/>
  <c r="CK70" i="13"/>
  <c r="CM70" i="13" s="1"/>
  <c r="BK70" i="13"/>
  <c r="BM70" i="13" s="1"/>
  <c r="AK70" i="13"/>
  <c r="AM70" i="13" s="1"/>
  <c r="K70" i="13"/>
  <c r="M70" i="13" s="1"/>
  <c r="CK70" i="15"/>
  <c r="AK70" i="15"/>
  <c r="K70" i="16"/>
  <c r="M70" i="16" s="1"/>
  <c r="K70" i="15"/>
  <c r="M70" i="15" s="1"/>
  <c r="K70" i="14"/>
  <c r="M70" i="14" s="1"/>
  <c r="BK70" i="15"/>
  <c r="CK69" i="16"/>
  <c r="CM69" i="16" s="1"/>
  <c r="BK69" i="16"/>
  <c r="BM69" i="16" s="1"/>
  <c r="DK69" i="16"/>
  <c r="DM69" i="16" s="1"/>
  <c r="AK69" i="16"/>
  <c r="AM69" i="16" s="1"/>
  <c r="K69" i="16"/>
  <c r="M69" i="16" s="1"/>
  <c r="K69" i="14"/>
  <c r="M69" i="14" s="1"/>
  <c r="K69" i="13"/>
  <c r="M69" i="13" s="1"/>
  <c r="DK69" i="15"/>
  <c r="CK69" i="15"/>
  <c r="AK69" i="15"/>
  <c r="K69" i="15"/>
  <c r="M69" i="15" s="1"/>
  <c r="CK69" i="14"/>
  <c r="CM69" i="14" s="1"/>
  <c r="DK69" i="14"/>
  <c r="DM69" i="14" s="1"/>
  <c r="BK69" i="14"/>
  <c r="BM69" i="14" s="1"/>
  <c r="AK69" i="14"/>
  <c r="AM69" i="14" s="1"/>
  <c r="DK69" i="13"/>
  <c r="DM69" i="13" s="1"/>
  <c r="CK69" i="13"/>
  <c r="CM69" i="13" s="1"/>
  <c r="BK69" i="13"/>
  <c r="BM69" i="13" s="1"/>
  <c r="AK69" i="13"/>
  <c r="AM69" i="13" s="1"/>
  <c r="BK69" i="15"/>
  <c r="M12" i="17"/>
  <c r="I148" i="9"/>
  <c r="DK68" i="16"/>
  <c r="DM68" i="16" s="1"/>
  <c r="CK68" i="16"/>
  <c r="CM68" i="16" s="1"/>
  <c r="BK68" i="16"/>
  <c r="BM68" i="16" s="1"/>
  <c r="AK68" i="16"/>
  <c r="AM68" i="16" s="1"/>
  <c r="BK68" i="15"/>
  <c r="CK68" i="14"/>
  <c r="CM68" i="14" s="1"/>
  <c r="DK68" i="14"/>
  <c r="DM68" i="14" s="1"/>
  <c r="BK68" i="14"/>
  <c r="BM68" i="14" s="1"/>
  <c r="AK68" i="14"/>
  <c r="AM68" i="14" s="1"/>
  <c r="DK68" i="13"/>
  <c r="DM68" i="13" s="1"/>
  <c r="CK68" i="13"/>
  <c r="CM68" i="13" s="1"/>
  <c r="BK68" i="13"/>
  <c r="BM68" i="13" s="1"/>
  <c r="AK68" i="13"/>
  <c r="AM68" i="13" s="1"/>
  <c r="CK68" i="15"/>
  <c r="AK68" i="15"/>
  <c r="K68" i="16"/>
  <c r="M68" i="16" s="1"/>
  <c r="K68" i="15"/>
  <c r="M68" i="15" s="1"/>
  <c r="K68" i="14"/>
  <c r="M68" i="14" s="1"/>
  <c r="DK68" i="15"/>
  <c r="K68" i="13"/>
  <c r="M68" i="13" s="1"/>
  <c r="DK67" i="16"/>
  <c r="DM67" i="16" s="1"/>
  <c r="CK67" i="16"/>
  <c r="CM67" i="16" s="1"/>
  <c r="BK67" i="16"/>
  <c r="BM67" i="16" s="1"/>
  <c r="AK67" i="16"/>
  <c r="AM67" i="16" s="1"/>
  <c r="DK67" i="15"/>
  <c r="BK67" i="15"/>
  <c r="CK67" i="14"/>
  <c r="CM67" i="14" s="1"/>
  <c r="DK67" i="14"/>
  <c r="DM67" i="14" s="1"/>
  <c r="BK67" i="14"/>
  <c r="BM67" i="14" s="1"/>
  <c r="AK67" i="14"/>
  <c r="AM67" i="14" s="1"/>
  <c r="DK67" i="13"/>
  <c r="DM67" i="13" s="1"/>
  <c r="CK67" i="13"/>
  <c r="CM67" i="13" s="1"/>
  <c r="BK67" i="13"/>
  <c r="BM67" i="13" s="1"/>
  <c r="AK67" i="13"/>
  <c r="AM67" i="13" s="1"/>
  <c r="CK67" i="15"/>
  <c r="AK67" i="15"/>
  <c r="K67" i="16"/>
  <c r="M67" i="16" s="1"/>
  <c r="K67" i="15"/>
  <c r="M67" i="15" s="1"/>
  <c r="K67" i="14"/>
  <c r="M67" i="14" s="1"/>
  <c r="K67" i="13"/>
  <c r="M67" i="13" s="1"/>
  <c r="CK66" i="16"/>
  <c r="CM66" i="16" s="1"/>
  <c r="BK66" i="16"/>
  <c r="BM66" i="16" s="1"/>
  <c r="AK66" i="16"/>
  <c r="AM66" i="16" s="1"/>
  <c r="DK66" i="16"/>
  <c r="DM66" i="16" s="1"/>
  <c r="DK66" i="15"/>
  <c r="CK66" i="14"/>
  <c r="CM66" i="14" s="1"/>
  <c r="DK66" i="14"/>
  <c r="DM66" i="14" s="1"/>
  <c r="BK66" i="14"/>
  <c r="BM66" i="14" s="1"/>
  <c r="AK66" i="14"/>
  <c r="AM66" i="14" s="1"/>
  <c r="DK66" i="13"/>
  <c r="DM66" i="13" s="1"/>
  <c r="CK66" i="13"/>
  <c r="CM66" i="13" s="1"/>
  <c r="BK66" i="13"/>
  <c r="BM66" i="13" s="1"/>
  <c r="AK66" i="13"/>
  <c r="AM66" i="13" s="1"/>
  <c r="K66" i="13"/>
  <c r="M66" i="13" s="1"/>
  <c r="AK66" i="15"/>
  <c r="K66" i="16"/>
  <c r="M66" i="16" s="1"/>
  <c r="K66" i="15"/>
  <c r="M66" i="15" s="1"/>
  <c r="K66" i="14"/>
  <c r="M66" i="14" s="1"/>
  <c r="BK66" i="15"/>
  <c r="CK66" i="15"/>
  <c r="K146" i="9"/>
  <c r="CM66" i="15"/>
  <c r="DM66" i="15"/>
  <c r="AM66" i="15"/>
  <c r="BM66" i="15"/>
  <c r="DK64" i="16"/>
  <c r="DM64" i="16" s="1"/>
  <c r="CK64" i="16"/>
  <c r="CM64" i="16" s="1"/>
  <c r="BK64" i="16"/>
  <c r="BM64" i="16" s="1"/>
  <c r="AK64" i="16"/>
  <c r="AM64" i="16" s="1"/>
  <c r="K64" i="13"/>
  <c r="M64" i="13" s="1"/>
  <c r="DK64" i="15"/>
  <c r="CK64" i="15"/>
  <c r="BK64" i="15"/>
  <c r="AK64" i="15"/>
  <c r="K64" i="16"/>
  <c r="M64" i="16" s="1"/>
  <c r="K64" i="15"/>
  <c r="M64" i="15" s="1"/>
  <c r="K64" i="14"/>
  <c r="M64" i="14" s="1"/>
  <c r="CK64" i="14"/>
  <c r="CM64" i="14" s="1"/>
  <c r="DK64" i="14"/>
  <c r="DM64" i="14" s="1"/>
  <c r="BK64" i="14"/>
  <c r="BM64" i="14" s="1"/>
  <c r="AK64" i="14"/>
  <c r="AM64" i="14" s="1"/>
  <c r="DK64" i="13"/>
  <c r="DM64" i="13" s="1"/>
  <c r="CK64" i="13"/>
  <c r="CM64" i="13" s="1"/>
  <c r="BK64" i="13"/>
  <c r="BM64" i="13" s="1"/>
  <c r="AK64" i="13"/>
  <c r="AM64" i="13" s="1"/>
  <c r="M15" i="17"/>
  <c r="I144" i="9"/>
  <c r="N144" i="9" s="1"/>
  <c r="O144" i="9" s="1"/>
  <c r="P144" i="9" s="1"/>
  <c r="I145" i="9"/>
  <c r="I152" i="9"/>
  <c r="M8" i="17"/>
  <c r="S13" i="8"/>
  <c r="R13" i="8"/>
  <c r="M19" i="17"/>
  <c r="I149" i="9"/>
  <c r="I147" i="9"/>
  <c r="N147" i="9" s="1"/>
  <c r="O147" i="9" s="1"/>
  <c r="P147" i="9" s="1"/>
  <c r="Q13" i="8"/>
  <c r="P13" i="8"/>
  <c r="I157" i="9"/>
  <c r="J146" i="9"/>
  <c r="J150" i="9"/>
  <c r="E36" i="18"/>
  <c r="D36" i="18"/>
  <c r="P10" i="17" s="1"/>
  <c r="E45" i="18"/>
  <c r="E44" i="18"/>
  <c r="N43" i="18"/>
  <c r="M37" i="18"/>
  <c r="N35" i="18"/>
  <c r="E43" i="18"/>
  <c r="L33" i="18"/>
  <c r="F44" i="18"/>
  <c r="G37" i="18"/>
  <c r="G41" i="18"/>
  <c r="L48" i="18"/>
  <c r="E34" i="18"/>
  <c r="E35" i="18"/>
  <c r="E48" i="18"/>
  <c r="E40" i="18"/>
  <c r="M44" i="18"/>
  <c r="E41" i="18"/>
  <c r="N41" i="18"/>
  <c r="L46" i="18"/>
  <c r="G42" i="18"/>
  <c r="G35" i="18"/>
  <c r="L41" i="18"/>
  <c r="E46" i="18"/>
  <c r="E33" i="18"/>
  <c r="E38" i="18"/>
  <c r="E39" i="18"/>
  <c r="L34" i="18"/>
  <c r="F38" i="18"/>
  <c r="R16" i="2"/>
  <c r="S14" i="8" s="1"/>
  <c r="R14" i="8"/>
  <c r="K16" i="2"/>
  <c r="Q14" i="8" s="1"/>
  <c r="P14" i="8"/>
  <c r="R17" i="8"/>
  <c r="AF13" i="2"/>
  <c r="P17" i="8"/>
  <c r="AE16" i="2"/>
  <c r="H38" i="18" l="1"/>
  <c r="F36" i="18"/>
  <c r="F48" i="18"/>
  <c r="D40" i="18"/>
  <c r="P14" i="17" s="1"/>
  <c r="H48" i="18"/>
  <c r="O40" i="18"/>
  <c r="H35" i="18"/>
  <c r="D35" i="18"/>
  <c r="P9" i="17" s="1"/>
  <c r="K34" i="18"/>
  <c r="Q8" i="17" s="1"/>
  <c r="F34" i="18"/>
  <c r="D34" i="18"/>
  <c r="P8" i="17" s="1"/>
  <c r="F43" i="18"/>
  <c r="G39" i="18"/>
  <c r="H42" i="18"/>
  <c r="O45" i="18"/>
  <c r="O47" i="18"/>
  <c r="O42" i="18"/>
  <c r="H40" i="18"/>
  <c r="F46" i="18"/>
  <c r="M46" i="18"/>
  <c r="F40" i="18"/>
  <c r="M36" i="18"/>
  <c r="F35" i="18"/>
  <c r="M34" i="18"/>
  <c r="M33" i="18"/>
  <c r="D47" i="18"/>
  <c r="P21" i="17" s="1"/>
  <c r="D43" i="18"/>
  <c r="P17" i="17" s="1"/>
  <c r="D39" i="18"/>
  <c r="P13" i="17" s="1"/>
  <c r="D42" i="18"/>
  <c r="P16" i="17" s="1"/>
  <c r="D48" i="18"/>
  <c r="P22" i="17" s="1"/>
  <c r="K42" i="18"/>
  <c r="Q16" i="17" s="1"/>
  <c r="O41" i="18"/>
  <c r="CO139" i="16"/>
  <c r="T139" i="15"/>
  <c r="T140" i="15" s="1"/>
  <c r="H37" i="18"/>
  <c r="H41" i="18"/>
  <c r="G44" i="18"/>
  <c r="N44" i="18"/>
  <c r="N39" i="18"/>
  <c r="G34" i="18"/>
  <c r="F39" i="18"/>
  <c r="F45" i="18"/>
  <c r="F47" i="18"/>
  <c r="E42" i="18"/>
  <c r="E47" i="18"/>
  <c r="K149" i="9"/>
  <c r="N149" i="9"/>
  <c r="O149" i="9" s="1"/>
  <c r="P149" i="9" s="1"/>
  <c r="J152" i="9"/>
  <c r="N152" i="9"/>
  <c r="O152" i="9" s="1"/>
  <c r="P152" i="9" s="1"/>
  <c r="CO139" i="14"/>
  <c r="CO140" i="14" s="1"/>
  <c r="CO141" i="14" s="1"/>
  <c r="O38" i="18"/>
  <c r="M39" i="18"/>
  <c r="M47" i="18"/>
  <c r="M45" i="18"/>
  <c r="L47" i="18"/>
  <c r="M42" i="18"/>
  <c r="O35" i="18"/>
  <c r="O48" i="18"/>
  <c r="J145" i="9"/>
  <c r="N145" i="9"/>
  <c r="O145" i="9" s="1"/>
  <c r="P145" i="9" s="1"/>
  <c r="J148" i="9"/>
  <c r="N148" i="9"/>
  <c r="O148" i="9" s="1"/>
  <c r="P148" i="9" s="1"/>
  <c r="O37" i="18"/>
  <c r="M41" i="18"/>
  <c r="K157" i="9"/>
  <c r="N157" i="9"/>
  <c r="O157" i="9" s="1"/>
  <c r="P157" i="9" s="1"/>
  <c r="BQ139" i="14"/>
  <c r="BQ140" i="14" s="1"/>
  <c r="BQ141" i="14" s="1"/>
  <c r="BQ142" i="14" s="1"/>
  <c r="BQ143" i="14" s="1"/>
  <c r="BQ144" i="14" s="1"/>
  <c r="BQ145" i="14" s="1"/>
  <c r="BQ146" i="14" s="1"/>
  <c r="BQ147" i="14" s="1"/>
  <c r="BQ148" i="14" s="1"/>
  <c r="BQ149" i="14" s="1"/>
  <c r="BQ150" i="14" s="1"/>
  <c r="BQ151" i="14" s="1"/>
  <c r="BQ152" i="14" s="1"/>
  <c r="BQ153" i="14" s="1"/>
  <c r="AS139" i="14"/>
  <c r="AS140" i="14" s="1"/>
  <c r="O33" i="18"/>
  <c r="M40" i="18"/>
  <c r="M35" i="18"/>
  <c r="O43" i="18"/>
  <c r="O34" i="18"/>
  <c r="M48" i="18"/>
  <c r="N34" i="18"/>
  <c r="DM139" i="16"/>
  <c r="K73" i="13"/>
  <c r="M73" i="13" s="1"/>
  <c r="DK78" i="16"/>
  <c r="DM78" i="16" s="1"/>
  <c r="DN78" i="16" s="1"/>
  <c r="R118" i="9"/>
  <c r="R119" i="9" s="1"/>
  <c r="R120" i="9" s="1"/>
  <c r="R121" i="9" s="1"/>
  <c r="R122" i="9" s="1"/>
  <c r="R123" i="9" s="1"/>
  <c r="R124" i="9" s="1"/>
  <c r="R125" i="9" s="1"/>
  <c r="R126" i="9" s="1"/>
  <c r="R127" i="9" s="1"/>
  <c r="R128" i="9" s="1"/>
  <c r="R129" i="9" s="1"/>
  <c r="R130" i="9" s="1"/>
  <c r="R131" i="9" s="1"/>
  <c r="R132" i="9" s="1"/>
  <c r="H8" i="11" s="1"/>
  <c r="DN139" i="16"/>
  <c r="DN140" i="16" s="1"/>
  <c r="DN141" i="16" s="1"/>
  <c r="DN142" i="16" s="1"/>
  <c r="DN143" i="16" s="1"/>
  <c r="DN144" i="16" s="1"/>
  <c r="DN145" i="16" s="1"/>
  <c r="DN146" i="16" s="1"/>
  <c r="DN147" i="16" s="1"/>
  <c r="DN148" i="16" s="1"/>
  <c r="DN149" i="16" s="1"/>
  <c r="DN150" i="16" s="1"/>
  <c r="DN151" i="16" s="1"/>
  <c r="DN152" i="16" s="1"/>
  <c r="DN153" i="16" s="1"/>
  <c r="BR139" i="15"/>
  <c r="BR140" i="15" s="1"/>
  <c r="BR141" i="15" s="1"/>
  <c r="BR142" i="15" s="1"/>
  <c r="BR143" i="15" s="1"/>
  <c r="BR144" i="15" s="1"/>
  <c r="BR145" i="15" s="1"/>
  <c r="BR146" i="15" s="1"/>
  <c r="BR147" i="15" s="1"/>
  <c r="BR148" i="15" s="1"/>
  <c r="BR149" i="15" s="1"/>
  <c r="BR150" i="15" s="1"/>
  <c r="BR151" i="15" s="1"/>
  <c r="BR152" i="15" s="1"/>
  <c r="BR153" i="15" s="1"/>
  <c r="CO142" i="14"/>
  <c r="CO143" i="14" s="1"/>
  <c r="CO144" i="14" s="1"/>
  <c r="CO145" i="14" s="1"/>
  <c r="CO146" i="14" s="1"/>
  <c r="CO147" i="14" s="1"/>
  <c r="CO148" i="14" s="1"/>
  <c r="CO149" i="14" s="1"/>
  <c r="CO150" i="14" s="1"/>
  <c r="CO151" i="14" s="1"/>
  <c r="CO152" i="14" s="1"/>
  <c r="CO153" i="14" s="1"/>
  <c r="DL139" i="15"/>
  <c r="DL140" i="15" s="1"/>
  <c r="DL141" i="15" s="1"/>
  <c r="DL142" i="15" s="1"/>
  <c r="DL143" i="15" s="1"/>
  <c r="DL144" i="15" s="1"/>
  <c r="DL145" i="15" s="1"/>
  <c r="DL146" i="15" s="1"/>
  <c r="DL147" i="15" s="1"/>
  <c r="DL148" i="15" s="1"/>
  <c r="DL149" i="15" s="1"/>
  <c r="DL150" i="15" s="1"/>
  <c r="DL151" i="15" s="1"/>
  <c r="DL152" i="15" s="1"/>
  <c r="DL153" i="15" s="1"/>
  <c r="AK162" i="15" s="1"/>
  <c r="BP139" i="13"/>
  <c r="BP140" i="13" s="1"/>
  <c r="BP141" i="13" s="1"/>
  <c r="BP142" i="13" s="1"/>
  <c r="BP143" i="13" s="1"/>
  <c r="BP144" i="13" s="1"/>
  <c r="BP145" i="13" s="1"/>
  <c r="BP146" i="13" s="1"/>
  <c r="BP147" i="13" s="1"/>
  <c r="BP148" i="13" s="1"/>
  <c r="BP149" i="13" s="1"/>
  <c r="BP150" i="13" s="1"/>
  <c r="BP151" i="13" s="1"/>
  <c r="BP152" i="13" s="1"/>
  <c r="BP153" i="13" s="1"/>
  <c r="AI162" i="13" s="1"/>
  <c r="AR139" i="13"/>
  <c r="AR140" i="13" s="1"/>
  <c r="AR141" i="13" s="1"/>
  <c r="AR142" i="13" s="1"/>
  <c r="AR143" i="13" s="1"/>
  <c r="AR144" i="13" s="1"/>
  <c r="AR145" i="13" s="1"/>
  <c r="AR146" i="13" s="1"/>
  <c r="AR147" i="13" s="1"/>
  <c r="AR148" i="13" s="1"/>
  <c r="AR149" i="13" s="1"/>
  <c r="AR150" i="13" s="1"/>
  <c r="AR151" i="13" s="1"/>
  <c r="AR152" i="13" s="1"/>
  <c r="AR153" i="13" s="1"/>
  <c r="AH162" i="13" s="1"/>
  <c r="DL140" i="16"/>
  <c r="DL141" i="16" s="1"/>
  <c r="DL142" i="16" s="1"/>
  <c r="DL143" i="16" s="1"/>
  <c r="DL144" i="16" s="1"/>
  <c r="DL145" i="16" s="1"/>
  <c r="DL146" i="16" s="1"/>
  <c r="DL147" i="16" s="1"/>
  <c r="DL148" i="16" s="1"/>
  <c r="DL149" i="16" s="1"/>
  <c r="DL150" i="16" s="1"/>
  <c r="DL151" i="16" s="1"/>
  <c r="DL152" i="16" s="1"/>
  <c r="DL153" i="16" s="1"/>
  <c r="AK162" i="16" s="1"/>
  <c r="BR139" i="16"/>
  <c r="BR140" i="16" s="1"/>
  <c r="BR141" i="16" s="1"/>
  <c r="BR142" i="16" s="1"/>
  <c r="BR143" i="16" s="1"/>
  <c r="BR144" i="16" s="1"/>
  <c r="BR145" i="16" s="1"/>
  <c r="BR146" i="16" s="1"/>
  <c r="BR147" i="16" s="1"/>
  <c r="BR148" i="16" s="1"/>
  <c r="BR149" i="16" s="1"/>
  <c r="BR150" i="16" s="1"/>
  <c r="BR151" i="16" s="1"/>
  <c r="BR152" i="16" s="1"/>
  <c r="BR153" i="16" s="1"/>
  <c r="DL139" i="14"/>
  <c r="DL140" i="14" s="1"/>
  <c r="DL141" i="14" s="1"/>
  <c r="DL142" i="14" s="1"/>
  <c r="DL143" i="14" s="1"/>
  <c r="DL144" i="14" s="1"/>
  <c r="DL145" i="14" s="1"/>
  <c r="DL146" i="14" s="1"/>
  <c r="DL147" i="14" s="1"/>
  <c r="DL148" i="14" s="1"/>
  <c r="DL149" i="14" s="1"/>
  <c r="DL150" i="14" s="1"/>
  <c r="DL151" i="14" s="1"/>
  <c r="DL152" i="14" s="1"/>
  <c r="DL153" i="14" s="1"/>
  <c r="AK162" i="14" s="1"/>
  <c r="V139" i="15"/>
  <c r="V140" i="15" s="1"/>
  <c r="V141" i="15" s="1"/>
  <c r="V142" i="15" s="1"/>
  <c r="V143" i="15" s="1"/>
  <c r="V144" i="15" s="1"/>
  <c r="V145" i="15" s="1"/>
  <c r="V146" i="15" s="1"/>
  <c r="V147" i="15" s="1"/>
  <c r="V148" i="15" s="1"/>
  <c r="V149" i="15" s="1"/>
  <c r="V150" i="15" s="1"/>
  <c r="V151" i="15" s="1"/>
  <c r="V152" i="15" s="1"/>
  <c r="V153" i="15" s="1"/>
  <c r="BQ139" i="15"/>
  <c r="BQ140" i="15" s="1"/>
  <c r="BQ141" i="15" s="1"/>
  <c r="BQ142" i="15" s="1"/>
  <c r="BQ143" i="15" s="1"/>
  <c r="BQ144" i="15" s="1"/>
  <c r="BQ145" i="15" s="1"/>
  <c r="BQ146" i="15" s="1"/>
  <c r="BQ147" i="15" s="1"/>
  <c r="BQ148" i="15" s="1"/>
  <c r="BQ149" i="15" s="1"/>
  <c r="BQ150" i="15" s="1"/>
  <c r="BQ151" i="15" s="1"/>
  <c r="BQ152" i="15" s="1"/>
  <c r="BQ153" i="15" s="1"/>
  <c r="AT139" i="16"/>
  <c r="AT140" i="16" s="1"/>
  <c r="AT141" i="16" s="1"/>
  <c r="AT142" i="16" s="1"/>
  <c r="AT143" i="16" s="1"/>
  <c r="AT144" i="16" s="1"/>
  <c r="AT145" i="16" s="1"/>
  <c r="AT146" i="16" s="1"/>
  <c r="AT147" i="16" s="1"/>
  <c r="AT148" i="16" s="1"/>
  <c r="AT149" i="16" s="1"/>
  <c r="AT150" i="16" s="1"/>
  <c r="AT151" i="16" s="1"/>
  <c r="AT152" i="16" s="1"/>
  <c r="AT153" i="16" s="1"/>
  <c r="CP139" i="16"/>
  <c r="CP140" i="16" s="1"/>
  <c r="CP141" i="16" s="1"/>
  <c r="CP142" i="16" s="1"/>
  <c r="CP143" i="16" s="1"/>
  <c r="CP144" i="16" s="1"/>
  <c r="CP145" i="16" s="1"/>
  <c r="CP146" i="16" s="1"/>
  <c r="CP147" i="16" s="1"/>
  <c r="CP148" i="16" s="1"/>
  <c r="CP149" i="16" s="1"/>
  <c r="CP150" i="16" s="1"/>
  <c r="CP151" i="16" s="1"/>
  <c r="CP152" i="16" s="1"/>
  <c r="CP153" i="16" s="1"/>
  <c r="CN139" i="14"/>
  <c r="CN140" i="14" s="1"/>
  <c r="CN141" i="14" s="1"/>
  <c r="CN142" i="14" s="1"/>
  <c r="CN143" i="14" s="1"/>
  <c r="CN144" i="14" s="1"/>
  <c r="CN145" i="14" s="1"/>
  <c r="CN146" i="14" s="1"/>
  <c r="CN147" i="14" s="1"/>
  <c r="CN148" i="14" s="1"/>
  <c r="CN149" i="14" s="1"/>
  <c r="CN150" i="14" s="1"/>
  <c r="CN151" i="14" s="1"/>
  <c r="CN152" i="14" s="1"/>
  <c r="CN153" i="14" s="1"/>
  <c r="AJ162" i="14" s="1"/>
  <c r="BP139" i="14"/>
  <c r="BP140" i="14" s="1"/>
  <c r="BP141" i="14" s="1"/>
  <c r="BP142" i="14" s="1"/>
  <c r="BP143" i="14" s="1"/>
  <c r="BP144" i="14" s="1"/>
  <c r="BP145" i="14" s="1"/>
  <c r="BP146" i="14" s="1"/>
  <c r="BP147" i="14" s="1"/>
  <c r="BP148" i="14" s="1"/>
  <c r="BP149" i="14" s="1"/>
  <c r="BP150" i="14" s="1"/>
  <c r="BP151" i="14" s="1"/>
  <c r="BP152" i="14" s="1"/>
  <c r="BP153" i="14" s="1"/>
  <c r="AI162" i="14" s="1"/>
  <c r="AS139" i="15"/>
  <c r="AS140" i="15" s="1"/>
  <c r="AS141" i="15" s="1"/>
  <c r="AS142" i="15" s="1"/>
  <c r="AS143" i="15" s="1"/>
  <c r="AS144" i="15" s="1"/>
  <c r="AS145" i="15" s="1"/>
  <c r="AS146" i="15" s="1"/>
  <c r="AS147" i="15" s="1"/>
  <c r="AS148" i="15" s="1"/>
  <c r="AS149" i="15" s="1"/>
  <c r="AS150" i="15" s="1"/>
  <c r="AS151" i="15" s="1"/>
  <c r="AS152" i="15" s="1"/>
  <c r="AS153" i="15" s="1"/>
  <c r="AR139" i="14"/>
  <c r="AR140" i="14" s="1"/>
  <c r="AR141" i="14" s="1"/>
  <c r="AR142" i="14" s="1"/>
  <c r="AR143" i="14" s="1"/>
  <c r="AR144" i="14" s="1"/>
  <c r="AR145" i="14" s="1"/>
  <c r="AR146" i="14" s="1"/>
  <c r="AR147" i="14" s="1"/>
  <c r="AR148" i="14" s="1"/>
  <c r="AR149" i="14" s="1"/>
  <c r="AR150" i="14" s="1"/>
  <c r="AR151" i="14" s="1"/>
  <c r="AR152" i="14" s="1"/>
  <c r="AR153" i="14" s="1"/>
  <c r="AH162" i="14" s="1"/>
  <c r="CO140" i="16"/>
  <c r="CO141" i="16" s="1"/>
  <c r="CO142" i="16" s="1"/>
  <c r="CO143" i="16" s="1"/>
  <c r="CO144" i="16" s="1"/>
  <c r="CO145" i="16" s="1"/>
  <c r="CO146" i="16" s="1"/>
  <c r="CO147" i="16" s="1"/>
  <c r="CO148" i="16" s="1"/>
  <c r="CO149" i="16" s="1"/>
  <c r="CO150" i="16" s="1"/>
  <c r="CO151" i="16" s="1"/>
  <c r="CO152" i="16" s="1"/>
  <c r="CO153" i="16" s="1"/>
  <c r="DN139" i="15"/>
  <c r="DN140" i="15" s="1"/>
  <c r="DN141" i="15" s="1"/>
  <c r="DN142" i="15" s="1"/>
  <c r="DN143" i="15" s="1"/>
  <c r="DN144" i="15" s="1"/>
  <c r="DN145" i="15" s="1"/>
  <c r="DN146" i="15" s="1"/>
  <c r="DN147" i="15" s="1"/>
  <c r="DN148" i="15" s="1"/>
  <c r="DN149" i="15" s="1"/>
  <c r="DN150" i="15" s="1"/>
  <c r="DN151" i="15" s="1"/>
  <c r="DN152" i="15" s="1"/>
  <c r="DN153" i="15" s="1"/>
  <c r="U139" i="15"/>
  <c r="U140" i="15" s="1"/>
  <c r="U141" i="15" s="1"/>
  <c r="U142" i="15" s="1"/>
  <c r="U143" i="15" s="1"/>
  <c r="U144" i="15" s="1"/>
  <c r="U145" i="15" s="1"/>
  <c r="U146" i="15" s="1"/>
  <c r="U147" i="15" s="1"/>
  <c r="U148" i="15" s="1"/>
  <c r="U149" i="15" s="1"/>
  <c r="U150" i="15" s="1"/>
  <c r="U151" i="15" s="1"/>
  <c r="U152" i="15" s="1"/>
  <c r="U153" i="15" s="1"/>
  <c r="U139" i="13"/>
  <c r="U140" i="13" s="1"/>
  <c r="U141" i="13" s="1"/>
  <c r="U142" i="13" s="1"/>
  <c r="U143" i="13" s="1"/>
  <c r="U144" i="13" s="1"/>
  <c r="U145" i="13" s="1"/>
  <c r="U146" i="13" s="1"/>
  <c r="U147" i="13" s="1"/>
  <c r="U148" i="13" s="1"/>
  <c r="U149" i="13" s="1"/>
  <c r="U150" i="13" s="1"/>
  <c r="U151" i="13" s="1"/>
  <c r="U152" i="13" s="1"/>
  <c r="U153" i="13" s="1"/>
  <c r="CO139" i="13"/>
  <c r="CO140" i="13" s="1"/>
  <c r="CO141" i="13" s="1"/>
  <c r="CO142" i="13" s="1"/>
  <c r="CO143" i="13" s="1"/>
  <c r="CO144" i="13" s="1"/>
  <c r="CO145" i="13" s="1"/>
  <c r="CO146" i="13" s="1"/>
  <c r="CO147" i="13" s="1"/>
  <c r="CO148" i="13" s="1"/>
  <c r="CO149" i="13" s="1"/>
  <c r="CO150" i="13" s="1"/>
  <c r="CO151" i="13" s="1"/>
  <c r="CO152" i="13" s="1"/>
  <c r="CO153" i="13" s="1"/>
  <c r="BP140" i="15"/>
  <c r="BP141" i="15" s="1"/>
  <c r="BP142" i="15" s="1"/>
  <c r="BP143" i="15" s="1"/>
  <c r="BP144" i="15" s="1"/>
  <c r="BP145" i="15" s="1"/>
  <c r="BP146" i="15" s="1"/>
  <c r="BP147" i="15" s="1"/>
  <c r="BP148" i="15" s="1"/>
  <c r="BP149" i="15" s="1"/>
  <c r="BP150" i="15" s="1"/>
  <c r="BP151" i="15" s="1"/>
  <c r="BP152" i="15" s="1"/>
  <c r="BP153" i="15" s="1"/>
  <c r="AI162" i="15" s="1"/>
  <c r="AS139" i="16"/>
  <c r="AS140" i="16" s="1"/>
  <c r="AS141" i="16" s="1"/>
  <c r="AS142" i="16" s="1"/>
  <c r="AS143" i="16" s="1"/>
  <c r="AS144" i="16" s="1"/>
  <c r="AS145" i="16" s="1"/>
  <c r="AS146" i="16" s="1"/>
  <c r="AS147" i="16" s="1"/>
  <c r="AS148" i="16" s="1"/>
  <c r="AS149" i="16" s="1"/>
  <c r="AS150" i="16" s="1"/>
  <c r="AS151" i="16" s="1"/>
  <c r="AS152" i="16" s="1"/>
  <c r="AS153" i="16" s="1"/>
  <c r="CP139" i="15"/>
  <c r="CP140" i="15" s="1"/>
  <c r="CP141" i="15" s="1"/>
  <c r="CP142" i="15" s="1"/>
  <c r="CP143" i="15" s="1"/>
  <c r="CP144" i="15" s="1"/>
  <c r="CP145" i="15" s="1"/>
  <c r="CP146" i="15" s="1"/>
  <c r="CP147" i="15" s="1"/>
  <c r="CP148" i="15" s="1"/>
  <c r="CP149" i="15" s="1"/>
  <c r="CP150" i="15" s="1"/>
  <c r="CP151" i="15" s="1"/>
  <c r="CP152" i="15" s="1"/>
  <c r="CP153" i="15" s="1"/>
  <c r="U139" i="16"/>
  <c r="U140" i="16" s="1"/>
  <c r="U141" i="16" s="1"/>
  <c r="U142" i="16" s="1"/>
  <c r="U143" i="16" s="1"/>
  <c r="U144" i="16" s="1"/>
  <c r="U145" i="16" s="1"/>
  <c r="U146" i="16" s="1"/>
  <c r="U147" i="16" s="1"/>
  <c r="U148" i="16" s="1"/>
  <c r="U149" i="16" s="1"/>
  <c r="U150" i="16" s="1"/>
  <c r="U151" i="16" s="1"/>
  <c r="U152" i="16" s="1"/>
  <c r="U153" i="16" s="1"/>
  <c r="V139" i="14"/>
  <c r="V140" i="14" s="1"/>
  <c r="V141" i="14" s="1"/>
  <c r="V142" i="14" s="1"/>
  <c r="V143" i="14" s="1"/>
  <c r="V144" i="14" s="1"/>
  <c r="V145" i="14" s="1"/>
  <c r="V146" i="14" s="1"/>
  <c r="V147" i="14" s="1"/>
  <c r="V148" i="14" s="1"/>
  <c r="V149" i="14" s="1"/>
  <c r="V150" i="14" s="1"/>
  <c r="V151" i="14" s="1"/>
  <c r="V152" i="14" s="1"/>
  <c r="V153" i="14" s="1"/>
  <c r="BP139" i="16"/>
  <c r="BP140" i="16" s="1"/>
  <c r="BP141" i="16" s="1"/>
  <c r="BP142" i="16" s="1"/>
  <c r="BP143" i="16" s="1"/>
  <c r="BP144" i="16" s="1"/>
  <c r="BP145" i="16" s="1"/>
  <c r="BP146" i="16" s="1"/>
  <c r="BP147" i="16" s="1"/>
  <c r="BP148" i="16" s="1"/>
  <c r="BP149" i="16" s="1"/>
  <c r="BP150" i="16" s="1"/>
  <c r="BP151" i="16" s="1"/>
  <c r="BP152" i="16" s="1"/>
  <c r="BP153" i="16" s="1"/>
  <c r="AI162" i="16" s="1"/>
  <c r="AS141" i="14"/>
  <c r="AS142" i="14" s="1"/>
  <c r="AS143" i="14" s="1"/>
  <c r="AS144" i="14" s="1"/>
  <c r="AS145" i="14" s="1"/>
  <c r="AS146" i="14" s="1"/>
  <c r="AS147" i="14" s="1"/>
  <c r="AS148" i="14" s="1"/>
  <c r="AS149" i="14" s="1"/>
  <c r="AS150" i="14" s="1"/>
  <c r="AS151" i="14" s="1"/>
  <c r="AS152" i="14" s="1"/>
  <c r="AS153" i="14" s="1"/>
  <c r="V139" i="16"/>
  <c r="V140" i="16" s="1"/>
  <c r="V141" i="16" s="1"/>
  <c r="V142" i="16" s="1"/>
  <c r="V143" i="16" s="1"/>
  <c r="V144" i="16" s="1"/>
  <c r="V145" i="16" s="1"/>
  <c r="V146" i="16" s="1"/>
  <c r="V147" i="16" s="1"/>
  <c r="V148" i="16" s="1"/>
  <c r="V149" i="16" s="1"/>
  <c r="V150" i="16" s="1"/>
  <c r="V151" i="16" s="1"/>
  <c r="V152" i="16" s="1"/>
  <c r="V153" i="16" s="1"/>
  <c r="T141" i="15"/>
  <c r="T142" i="15" s="1"/>
  <c r="T143" i="15" s="1"/>
  <c r="T144" i="15" s="1"/>
  <c r="T145" i="15" s="1"/>
  <c r="T146" i="15" s="1"/>
  <c r="T147" i="15" s="1"/>
  <c r="T148" i="15" s="1"/>
  <c r="T149" i="15" s="1"/>
  <c r="T150" i="15" s="1"/>
  <c r="T151" i="15" s="1"/>
  <c r="T152" i="15" s="1"/>
  <c r="T153" i="15" s="1"/>
  <c r="AG162" i="15" s="1"/>
  <c r="V139" i="13"/>
  <c r="V140" i="13" s="1"/>
  <c r="V141" i="13" s="1"/>
  <c r="V142" i="13" s="1"/>
  <c r="V143" i="13" s="1"/>
  <c r="V144" i="13" s="1"/>
  <c r="V145" i="13" s="1"/>
  <c r="V146" i="13" s="1"/>
  <c r="V147" i="13" s="1"/>
  <c r="V148" i="13" s="1"/>
  <c r="V149" i="13" s="1"/>
  <c r="V150" i="13" s="1"/>
  <c r="V151" i="13" s="1"/>
  <c r="V152" i="13" s="1"/>
  <c r="V153" i="13" s="1"/>
  <c r="DM140" i="16"/>
  <c r="DM141" i="16" s="1"/>
  <c r="DM142" i="16" s="1"/>
  <c r="DM143" i="16" s="1"/>
  <c r="DM144" i="16" s="1"/>
  <c r="DM145" i="16" s="1"/>
  <c r="DM146" i="16" s="1"/>
  <c r="DM147" i="16" s="1"/>
  <c r="DM148" i="16" s="1"/>
  <c r="DM149" i="16" s="1"/>
  <c r="DM150" i="16" s="1"/>
  <c r="DM151" i="16" s="1"/>
  <c r="DM152" i="16" s="1"/>
  <c r="DM153" i="16" s="1"/>
  <c r="AT139" i="15"/>
  <c r="AT140" i="15" s="1"/>
  <c r="AT141" i="15" s="1"/>
  <c r="AT142" i="15" s="1"/>
  <c r="AT143" i="15" s="1"/>
  <c r="AT144" i="15" s="1"/>
  <c r="AT145" i="15" s="1"/>
  <c r="AT146" i="15" s="1"/>
  <c r="AT147" i="15" s="1"/>
  <c r="AT148" i="15" s="1"/>
  <c r="AT149" i="15" s="1"/>
  <c r="AT150" i="15" s="1"/>
  <c r="AT151" i="15" s="1"/>
  <c r="AT152" i="15" s="1"/>
  <c r="AT153" i="15" s="1"/>
  <c r="CN139" i="13"/>
  <c r="CN140" i="13" s="1"/>
  <c r="CN141" i="13" s="1"/>
  <c r="CN142" i="13" s="1"/>
  <c r="CN143" i="13" s="1"/>
  <c r="CN144" i="13" s="1"/>
  <c r="CN145" i="13" s="1"/>
  <c r="CN146" i="13" s="1"/>
  <c r="CN147" i="13" s="1"/>
  <c r="CN148" i="13" s="1"/>
  <c r="CN149" i="13" s="1"/>
  <c r="CN150" i="13" s="1"/>
  <c r="CN151" i="13" s="1"/>
  <c r="CN152" i="13" s="1"/>
  <c r="CN153" i="13" s="1"/>
  <c r="AJ162" i="13" s="1"/>
  <c r="BR139" i="13"/>
  <c r="BR140" i="13" s="1"/>
  <c r="BR141" i="13" s="1"/>
  <c r="BR142" i="13" s="1"/>
  <c r="BR143" i="13" s="1"/>
  <c r="BR144" i="13" s="1"/>
  <c r="BR145" i="13" s="1"/>
  <c r="BR146" i="13" s="1"/>
  <c r="BR147" i="13" s="1"/>
  <c r="BR148" i="13" s="1"/>
  <c r="BR149" i="13" s="1"/>
  <c r="BR150" i="13" s="1"/>
  <c r="BR151" i="13" s="1"/>
  <c r="BR152" i="13" s="1"/>
  <c r="BR153" i="13" s="1"/>
  <c r="AR139" i="16"/>
  <c r="AR140" i="16" s="1"/>
  <c r="AR141" i="16" s="1"/>
  <c r="AR142" i="16" s="1"/>
  <c r="AR143" i="16" s="1"/>
  <c r="AR144" i="16" s="1"/>
  <c r="AR145" i="16" s="1"/>
  <c r="AR146" i="16" s="1"/>
  <c r="AR147" i="16" s="1"/>
  <c r="AR148" i="16" s="1"/>
  <c r="AR149" i="16" s="1"/>
  <c r="AR150" i="16" s="1"/>
  <c r="AR151" i="16" s="1"/>
  <c r="AR152" i="16" s="1"/>
  <c r="AR153" i="16" s="1"/>
  <c r="AH162" i="16" s="1"/>
  <c r="AS139" i="13"/>
  <c r="AS140" i="13" s="1"/>
  <c r="AS141" i="13" s="1"/>
  <c r="AS142" i="13" s="1"/>
  <c r="AS143" i="13" s="1"/>
  <c r="AS144" i="13" s="1"/>
  <c r="AS145" i="13" s="1"/>
  <c r="AS146" i="13" s="1"/>
  <c r="AS147" i="13" s="1"/>
  <c r="AS148" i="13" s="1"/>
  <c r="AS149" i="13" s="1"/>
  <c r="AS150" i="13" s="1"/>
  <c r="AS151" i="13" s="1"/>
  <c r="AS152" i="13" s="1"/>
  <c r="AS153" i="13" s="1"/>
  <c r="CO139" i="15"/>
  <c r="CO140" i="15" s="1"/>
  <c r="CO141" i="15" s="1"/>
  <c r="CO142" i="15" s="1"/>
  <c r="CO143" i="15" s="1"/>
  <c r="CO144" i="15" s="1"/>
  <c r="CO145" i="15" s="1"/>
  <c r="CO146" i="15" s="1"/>
  <c r="CO147" i="15" s="1"/>
  <c r="CO148" i="15" s="1"/>
  <c r="CO149" i="15" s="1"/>
  <c r="CO150" i="15" s="1"/>
  <c r="CO151" i="15" s="1"/>
  <c r="CO152" i="15" s="1"/>
  <c r="CO153" i="15" s="1"/>
  <c r="T139" i="16"/>
  <c r="T140" i="16" s="1"/>
  <c r="T141" i="16" s="1"/>
  <c r="T142" i="16" s="1"/>
  <c r="T143" i="16" s="1"/>
  <c r="T144" i="16" s="1"/>
  <c r="T145" i="16" s="1"/>
  <c r="T146" i="16" s="1"/>
  <c r="T147" i="16" s="1"/>
  <c r="T148" i="16" s="1"/>
  <c r="T149" i="16" s="1"/>
  <c r="T150" i="16" s="1"/>
  <c r="T151" i="16" s="1"/>
  <c r="T152" i="16" s="1"/>
  <c r="T153" i="16" s="1"/>
  <c r="AG162" i="16" s="1"/>
  <c r="DN139" i="13"/>
  <c r="DN140" i="13" s="1"/>
  <c r="DN141" i="13" s="1"/>
  <c r="DN142" i="13" s="1"/>
  <c r="DN143" i="13" s="1"/>
  <c r="DN144" i="13" s="1"/>
  <c r="DN145" i="13" s="1"/>
  <c r="DN146" i="13" s="1"/>
  <c r="DN147" i="13" s="1"/>
  <c r="DN148" i="13" s="1"/>
  <c r="DN149" i="13" s="1"/>
  <c r="DN150" i="13" s="1"/>
  <c r="DN151" i="13" s="1"/>
  <c r="DN152" i="13" s="1"/>
  <c r="DN153" i="13" s="1"/>
  <c r="U139" i="14"/>
  <c r="U140" i="14" s="1"/>
  <c r="U141" i="14" s="1"/>
  <c r="U142" i="14" s="1"/>
  <c r="U143" i="14" s="1"/>
  <c r="U144" i="14" s="1"/>
  <c r="U145" i="14" s="1"/>
  <c r="U146" i="14" s="1"/>
  <c r="U147" i="14" s="1"/>
  <c r="U148" i="14" s="1"/>
  <c r="U149" i="14" s="1"/>
  <c r="U150" i="14" s="1"/>
  <c r="U151" i="14" s="1"/>
  <c r="U152" i="14" s="1"/>
  <c r="U153" i="14" s="1"/>
  <c r="DN139" i="14"/>
  <c r="DN140" i="14" s="1"/>
  <c r="DN141" i="14" s="1"/>
  <c r="DN142" i="14" s="1"/>
  <c r="DN143" i="14" s="1"/>
  <c r="DN144" i="14" s="1"/>
  <c r="DN145" i="14" s="1"/>
  <c r="DN146" i="14" s="1"/>
  <c r="DN147" i="14" s="1"/>
  <c r="DN148" i="14" s="1"/>
  <c r="DN149" i="14" s="1"/>
  <c r="DN150" i="14" s="1"/>
  <c r="DN151" i="14" s="1"/>
  <c r="DN152" i="14" s="1"/>
  <c r="DN153" i="14" s="1"/>
  <c r="CP139" i="13"/>
  <c r="CP140" i="13" s="1"/>
  <c r="CP141" i="13" s="1"/>
  <c r="CP142" i="13" s="1"/>
  <c r="CP143" i="13" s="1"/>
  <c r="CP144" i="13" s="1"/>
  <c r="CP145" i="13" s="1"/>
  <c r="CP146" i="13" s="1"/>
  <c r="CP147" i="13" s="1"/>
  <c r="CP148" i="13" s="1"/>
  <c r="CP149" i="13" s="1"/>
  <c r="CP150" i="13" s="1"/>
  <c r="CP151" i="13" s="1"/>
  <c r="CP152" i="13" s="1"/>
  <c r="CP153" i="13" s="1"/>
  <c r="DL139" i="13"/>
  <c r="DL140" i="13" s="1"/>
  <c r="DL141" i="13" s="1"/>
  <c r="DL142" i="13" s="1"/>
  <c r="DL143" i="13" s="1"/>
  <c r="DL144" i="13" s="1"/>
  <c r="DL145" i="13" s="1"/>
  <c r="DL146" i="13" s="1"/>
  <c r="DL147" i="13" s="1"/>
  <c r="DL148" i="13" s="1"/>
  <c r="DL149" i="13" s="1"/>
  <c r="DL150" i="13" s="1"/>
  <c r="DL151" i="13" s="1"/>
  <c r="DL152" i="13" s="1"/>
  <c r="DL153" i="13" s="1"/>
  <c r="AK162" i="13" s="1"/>
  <c r="CN139" i="16"/>
  <c r="CN140" i="16" s="1"/>
  <c r="CN141" i="16" s="1"/>
  <c r="CN142" i="16" s="1"/>
  <c r="CN143" i="16" s="1"/>
  <c r="CN144" i="16" s="1"/>
  <c r="CN145" i="16" s="1"/>
  <c r="CN146" i="16" s="1"/>
  <c r="CN147" i="16" s="1"/>
  <c r="CN148" i="16" s="1"/>
  <c r="CN149" i="16" s="1"/>
  <c r="CN150" i="16" s="1"/>
  <c r="CN151" i="16" s="1"/>
  <c r="CN152" i="16" s="1"/>
  <c r="CN153" i="16" s="1"/>
  <c r="AJ162" i="16" s="1"/>
  <c r="CP139" i="14"/>
  <c r="CP140" i="14" s="1"/>
  <c r="CP141" i="14" s="1"/>
  <c r="CP142" i="14" s="1"/>
  <c r="CP143" i="14" s="1"/>
  <c r="CP144" i="14" s="1"/>
  <c r="CP145" i="14" s="1"/>
  <c r="CP146" i="14" s="1"/>
  <c r="CP147" i="14" s="1"/>
  <c r="CP148" i="14" s="1"/>
  <c r="CP149" i="14" s="1"/>
  <c r="CP150" i="14" s="1"/>
  <c r="CP151" i="14" s="1"/>
  <c r="CP152" i="14" s="1"/>
  <c r="CP153" i="14" s="1"/>
  <c r="DM139" i="15"/>
  <c r="DM140" i="15" s="1"/>
  <c r="DM141" i="15" s="1"/>
  <c r="DM142" i="15" s="1"/>
  <c r="DM143" i="15" s="1"/>
  <c r="DM144" i="15" s="1"/>
  <c r="DM145" i="15" s="1"/>
  <c r="DM146" i="15" s="1"/>
  <c r="DM147" i="15" s="1"/>
  <c r="DM148" i="15" s="1"/>
  <c r="DM149" i="15" s="1"/>
  <c r="DM150" i="15" s="1"/>
  <c r="DM151" i="15" s="1"/>
  <c r="DM152" i="15" s="1"/>
  <c r="DM153" i="15" s="1"/>
  <c r="T139" i="13"/>
  <c r="T140" i="13" s="1"/>
  <c r="T141" i="13" s="1"/>
  <c r="T142" i="13" s="1"/>
  <c r="T143" i="13" s="1"/>
  <c r="T144" i="13" s="1"/>
  <c r="T145" i="13" s="1"/>
  <c r="T146" i="13" s="1"/>
  <c r="T147" i="13" s="1"/>
  <c r="T148" i="13" s="1"/>
  <c r="T149" i="13" s="1"/>
  <c r="T150" i="13" s="1"/>
  <c r="T151" i="13" s="1"/>
  <c r="T152" i="13" s="1"/>
  <c r="T153" i="13" s="1"/>
  <c r="AG162" i="13" s="1"/>
  <c r="BR139" i="14"/>
  <c r="BR140" i="14" s="1"/>
  <c r="BR141" i="14" s="1"/>
  <c r="BR142" i="14" s="1"/>
  <c r="BR143" i="14" s="1"/>
  <c r="BR144" i="14" s="1"/>
  <c r="BR145" i="14" s="1"/>
  <c r="BR146" i="14" s="1"/>
  <c r="BR147" i="14" s="1"/>
  <c r="BR148" i="14" s="1"/>
  <c r="BR149" i="14" s="1"/>
  <c r="BR150" i="14" s="1"/>
  <c r="BR151" i="14" s="1"/>
  <c r="BR152" i="14" s="1"/>
  <c r="BR153" i="14" s="1"/>
  <c r="AR139" i="15"/>
  <c r="AR140" i="15" s="1"/>
  <c r="AR141" i="15" s="1"/>
  <c r="AR142" i="15" s="1"/>
  <c r="AR143" i="15" s="1"/>
  <c r="AR144" i="15" s="1"/>
  <c r="AR145" i="15" s="1"/>
  <c r="AR146" i="15" s="1"/>
  <c r="AR147" i="15" s="1"/>
  <c r="AR148" i="15" s="1"/>
  <c r="AR149" i="15" s="1"/>
  <c r="AR150" i="15" s="1"/>
  <c r="AR151" i="15" s="1"/>
  <c r="AR152" i="15" s="1"/>
  <c r="AR153" i="15" s="1"/>
  <c r="AH162" i="15" s="1"/>
  <c r="BQ140" i="13"/>
  <c r="BQ141" i="13" s="1"/>
  <c r="BQ142" i="13" s="1"/>
  <c r="BQ143" i="13" s="1"/>
  <c r="BQ144" i="13" s="1"/>
  <c r="BQ145" i="13" s="1"/>
  <c r="BQ146" i="13" s="1"/>
  <c r="BQ147" i="13" s="1"/>
  <c r="BQ148" i="13" s="1"/>
  <c r="BQ149" i="13" s="1"/>
  <c r="BQ150" i="13" s="1"/>
  <c r="BQ151" i="13" s="1"/>
  <c r="BQ152" i="13" s="1"/>
  <c r="BQ153" i="13" s="1"/>
  <c r="AT139" i="14"/>
  <c r="AT140" i="14" s="1"/>
  <c r="AT141" i="14" s="1"/>
  <c r="AT142" i="14" s="1"/>
  <c r="AT143" i="14" s="1"/>
  <c r="AT144" i="14" s="1"/>
  <c r="AT145" i="14" s="1"/>
  <c r="AT146" i="14" s="1"/>
  <c r="AT147" i="14" s="1"/>
  <c r="AT148" i="14" s="1"/>
  <c r="AT149" i="14" s="1"/>
  <c r="AT150" i="14" s="1"/>
  <c r="AT151" i="14" s="1"/>
  <c r="AT152" i="14" s="1"/>
  <c r="AT153" i="14" s="1"/>
  <c r="AT140" i="13"/>
  <c r="AT141" i="13" s="1"/>
  <c r="AT142" i="13" s="1"/>
  <c r="AT143" i="13" s="1"/>
  <c r="AT144" i="13" s="1"/>
  <c r="AT145" i="13" s="1"/>
  <c r="AT146" i="13" s="1"/>
  <c r="AT147" i="13" s="1"/>
  <c r="AT148" i="13" s="1"/>
  <c r="AT149" i="13" s="1"/>
  <c r="AT150" i="13" s="1"/>
  <c r="AT151" i="13" s="1"/>
  <c r="AT152" i="13" s="1"/>
  <c r="AT153" i="13" s="1"/>
  <c r="CN139" i="15"/>
  <c r="CN140" i="15" s="1"/>
  <c r="CN141" i="15" s="1"/>
  <c r="CN142" i="15" s="1"/>
  <c r="CN143" i="15" s="1"/>
  <c r="CN144" i="15" s="1"/>
  <c r="CN145" i="15" s="1"/>
  <c r="CN146" i="15" s="1"/>
  <c r="CN147" i="15" s="1"/>
  <c r="CN148" i="15" s="1"/>
  <c r="CN149" i="15" s="1"/>
  <c r="CN150" i="15" s="1"/>
  <c r="CN151" i="15" s="1"/>
  <c r="CN152" i="15" s="1"/>
  <c r="CN153" i="15" s="1"/>
  <c r="AJ162" i="15" s="1"/>
  <c r="DM139" i="13"/>
  <c r="DM140" i="13" s="1"/>
  <c r="DM141" i="13" s="1"/>
  <c r="DM142" i="13" s="1"/>
  <c r="DM143" i="13" s="1"/>
  <c r="DM144" i="13" s="1"/>
  <c r="DM145" i="13" s="1"/>
  <c r="DM146" i="13" s="1"/>
  <c r="DM147" i="13" s="1"/>
  <c r="DM148" i="13" s="1"/>
  <c r="DM149" i="13" s="1"/>
  <c r="DM150" i="13" s="1"/>
  <c r="DM151" i="13" s="1"/>
  <c r="DM152" i="13" s="1"/>
  <c r="DM153" i="13" s="1"/>
  <c r="T139" i="14"/>
  <c r="T140" i="14" s="1"/>
  <c r="T141" i="14" s="1"/>
  <c r="T142" i="14" s="1"/>
  <c r="T143" i="14" s="1"/>
  <c r="T144" i="14" s="1"/>
  <c r="T145" i="14" s="1"/>
  <c r="T146" i="14" s="1"/>
  <c r="T147" i="14" s="1"/>
  <c r="T148" i="14" s="1"/>
  <c r="T149" i="14" s="1"/>
  <c r="T150" i="14" s="1"/>
  <c r="T151" i="14" s="1"/>
  <c r="T152" i="14" s="1"/>
  <c r="T153" i="14" s="1"/>
  <c r="AG162" i="14" s="1"/>
  <c r="BQ139" i="16"/>
  <c r="BQ140" i="16" s="1"/>
  <c r="BQ141" i="16" s="1"/>
  <c r="BQ142" i="16" s="1"/>
  <c r="BQ143" i="16" s="1"/>
  <c r="BQ144" i="16" s="1"/>
  <c r="BQ145" i="16" s="1"/>
  <c r="BQ146" i="16" s="1"/>
  <c r="BQ147" i="16" s="1"/>
  <c r="BQ148" i="16" s="1"/>
  <c r="BQ149" i="16" s="1"/>
  <c r="BQ150" i="16" s="1"/>
  <c r="BQ151" i="16" s="1"/>
  <c r="BQ152" i="16" s="1"/>
  <c r="BQ153" i="16" s="1"/>
  <c r="DM139" i="14"/>
  <c r="DM140" i="14" s="1"/>
  <c r="DM141" i="14" s="1"/>
  <c r="DM142" i="14" s="1"/>
  <c r="DM143" i="14" s="1"/>
  <c r="DM144" i="14" s="1"/>
  <c r="DM145" i="14" s="1"/>
  <c r="DM146" i="14" s="1"/>
  <c r="DM147" i="14" s="1"/>
  <c r="DM148" i="14" s="1"/>
  <c r="DM149" i="14" s="1"/>
  <c r="DM150" i="14" s="1"/>
  <c r="DM151" i="14" s="1"/>
  <c r="DM152" i="14" s="1"/>
  <c r="DM153" i="14" s="1"/>
  <c r="DK76" i="15"/>
  <c r="CK76" i="16"/>
  <c r="CM76" i="16" s="1"/>
  <c r="CN76" i="16" s="1"/>
  <c r="K71" i="14"/>
  <c r="M71" i="14" s="1"/>
  <c r="CK71" i="15"/>
  <c r="AK71" i="16"/>
  <c r="AM71" i="16" s="1"/>
  <c r="AO71" i="16" s="1"/>
  <c r="CK63" i="14"/>
  <c r="CM63" i="14" s="1"/>
  <c r="K63" i="16"/>
  <c r="M63" i="16" s="1"/>
  <c r="AK63" i="15"/>
  <c r="CK63" i="13"/>
  <c r="CM63" i="13" s="1"/>
  <c r="CO63" i="13" s="1"/>
  <c r="CT63" i="13" s="1"/>
  <c r="BK63" i="16"/>
  <c r="BM63" i="16" s="1"/>
  <c r="I143" i="9"/>
  <c r="K63" i="13"/>
  <c r="M63" i="13" s="1"/>
  <c r="DK63" i="13"/>
  <c r="DM63" i="13" s="1"/>
  <c r="CK63" i="16"/>
  <c r="CM63" i="16" s="1"/>
  <c r="K63" i="15"/>
  <c r="M63" i="15" s="1"/>
  <c r="DK63" i="14"/>
  <c r="DM63" i="14" s="1"/>
  <c r="AK76" i="15"/>
  <c r="DK76" i="13"/>
  <c r="DM76" i="13" s="1"/>
  <c r="CK76" i="14"/>
  <c r="CM76" i="14" s="1"/>
  <c r="CO76" i="14" s="1"/>
  <c r="K76" i="14"/>
  <c r="M76" i="14" s="1"/>
  <c r="N76" i="14" s="1"/>
  <c r="AK76" i="14"/>
  <c r="AM76" i="14" s="1"/>
  <c r="I156" i="9"/>
  <c r="CK76" i="15"/>
  <c r="K76" i="15"/>
  <c r="M76" i="15" s="1"/>
  <c r="N76" i="15" s="1"/>
  <c r="BK76" i="13"/>
  <c r="BM76" i="13" s="1"/>
  <c r="BK76" i="14"/>
  <c r="BM76" i="14" s="1"/>
  <c r="BO76" i="14" s="1"/>
  <c r="AK76" i="16"/>
  <c r="AM76" i="16" s="1"/>
  <c r="AN76" i="16" s="1"/>
  <c r="CK63" i="15"/>
  <c r="AK63" i="13"/>
  <c r="AM63" i="13" s="1"/>
  <c r="AK63" i="14"/>
  <c r="AM63" i="14" s="1"/>
  <c r="BK63" i="15"/>
  <c r="DK63" i="16"/>
  <c r="DM63" i="16" s="1"/>
  <c r="AK76" i="13"/>
  <c r="AM76" i="13" s="1"/>
  <c r="AO76" i="13" s="1"/>
  <c r="AT76" i="13" s="1"/>
  <c r="BK76" i="15"/>
  <c r="DK76" i="16"/>
  <c r="DM76" i="16" s="1"/>
  <c r="K76" i="13"/>
  <c r="M76" i="13" s="1"/>
  <c r="N76" i="13" s="1"/>
  <c r="S76" i="13" s="1"/>
  <c r="K76" i="16"/>
  <c r="M76" i="16" s="1"/>
  <c r="N76" i="16" s="1"/>
  <c r="CK76" i="13"/>
  <c r="CM76" i="13" s="1"/>
  <c r="DK76" i="14"/>
  <c r="DM76" i="14" s="1"/>
  <c r="DN76" i="14" s="1"/>
  <c r="DK63" i="15"/>
  <c r="K63" i="14"/>
  <c r="M63" i="14" s="1"/>
  <c r="BK63" i="13"/>
  <c r="BM63" i="13" s="1"/>
  <c r="BK63" i="14"/>
  <c r="BM63" i="14" s="1"/>
  <c r="K78" i="14"/>
  <c r="M78" i="14" s="1"/>
  <c r="N78" i="14" s="1"/>
  <c r="DK71" i="13"/>
  <c r="DM71" i="13" s="1"/>
  <c r="DK73" i="16"/>
  <c r="DM73" i="16" s="1"/>
  <c r="DN73" i="16" s="1"/>
  <c r="CK71" i="14"/>
  <c r="CM71" i="14" s="1"/>
  <c r="CK78" i="13"/>
  <c r="CM78" i="13" s="1"/>
  <c r="K71" i="15"/>
  <c r="M71" i="15" s="1"/>
  <c r="BK71" i="15"/>
  <c r="K71" i="13"/>
  <c r="M71" i="13" s="1"/>
  <c r="N71" i="13" s="1"/>
  <c r="S71" i="13" s="1"/>
  <c r="AK71" i="15"/>
  <c r="CK71" i="13"/>
  <c r="CM71" i="13" s="1"/>
  <c r="DK71" i="14"/>
  <c r="DM71" i="14" s="1"/>
  <c r="DO71" i="14" s="1"/>
  <c r="DK71" i="16"/>
  <c r="DM71" i="16" s="1"/>
  <c r="DN71" i="16" s="1"/>
  <c r="AK73" i="14"/>
  <c r="AM73" i="14" s="1"/>
  <c r="CK73" i="16"/>
  <c r="CM73" i="16" s="1"/>
  <c r="AK71" i="13"/>
  <c r="AM71" i="13" s="1"/>
  <c r="AK71" i="14"/>
  <c r="AM71" i="14" s="1"/>
  <c r="BK71" i="16"/>
  <c r="BM71" i="16" s="1"/>
  <c r="BN71" i="16" s="1"/>
  <c r="BK73" i="13"/>
  <c r="BM73" i="13" s="1"/>
  <c r="I151" i="9"/>
  <c r="K71" i="16"/>
  <c r="M71" i="16" s="1"/>
  <c r="N71" i="16" s="1"/>
  <c r="BK71" i="13"/>
  <c r="BM71" i="13" s="1"/>
  <c r="BN71" i="13" s="1"/>
  <c r="BS71" i="13" s="1"/>
  <c r="BK71" i="14"/>
  <c r="BM71" i="14" s="1"/>
  <c r="BN71" i="14" s="1"/>
  <c r="DK71" i="15"/>
  <c r="CK73" i="13"/>
  <c r="CM73" i="13" s="1"/>
  <c r="I153" i="9"/>
  <c r="K73" i="16"/>
  <c r="M73" i="16" s="1"/>
  <c r="DK73" i="14"/>
  <c r="DM73" i="14" s="1"/>
  <c r="DO73" i="14" s="1"/>
  <c r="AK73" i="15"/>
  <c r="CK73" i="14"/>
  <c r="CM73" i="14" s="1"/>
  <c r="CN73" i="14" s="1"/>
  <c r="CK73" i="15"/>
  <c r="K73" i="14"/>
  <c r="M73" i="14" s="1"/>
  <c r="N73" i="14" s="1"/>
  <c r="BK73" i="15"/>
  <c r="DK73" i="13"/>
  <c r="DM73" i="13" s="1"/>
  <c r="AK73" i="16"/>
  <c r="AM73" i="16" s="1"/>
  <c r="AN73" i="16" s="1"/>
  <c r="DK73" i="15"/>
  <c r="K73" i="15"/>
  <c r="M73" i="15" s="1"/>
  <c r="N73" i="15" s="1"/>
  <c r="AK73" i="13"/>
  <c r="AM73" i="13" s="1"/>
  <c r="AN73" i="13" s="1"/>
  <c r="AS73" i="13" s="1"/>
  <c r="BK73" i="14"/>
  <c r="BM73" i="14" s="1"/>
  <c r="BN73" i="14" s="1"/>
  <c r="DK78" i="13"/>
  <c r="DM78" i="13" s="1"/>
  <c r="K78" i="15"/>
  <c r="M78" i="15" s="1"/>
  <c r="N78" i="15" s="1"/>
  <c r="I158" i="9"/>
  <c r="DK78" i="14"/>
  <c r="DM78" i="14" s="1"/>
  <c r="BK78" i="15"/>
  <c r="CK78" i="15"/>
  <c r="CK78" i="14"/>
  <c r="CM78" i="14" s="1"/>
  <c r="AK78" i="16"/>
  <c r="AM78" i="16" s="1"/>
  <c r="AO78" i="16" s="1"/>
  <c r="AK78" i="13"/>
  <c r="AM78" i="13" s="1"/>
  <c r="AK78" i="14"/>
  <c r="AM78" i="14" s="1"/>
  <c r="AN78" i="14" s="1"/>
  <c r="DK78" i="15"/>
  <c r="K78" i="16"/>
  <c r="M78" i="16" s="1"/>
  <c r="N78" i="16" s="1"/>
  <c r="BK78" i="16"/>
  <c r="BM78" i="16" s="1"/>
  <c r="BO78" i="16" s="1"/>
  <c r="BK78" i="13"/>
  <c r="BM78" i="13" s="1"/>
  <c r="BK78" i="14"/>
  <c r="BM78" i="14" s="1"/>
  <c r="BN78" i="14" s="1"/>
  <c r="K78" i="13"/>
  <c r="M78" i="13" s="1"/>
  <c r="AK78" i="15"/>
  <c r="N10" i="17"/>
  <c r="N11" i="17" s="1"/>
  <c r="N12" i="17" s="1"/>
  <c r="N13" i="17" s="1"/>
  <c r="N14" i="17" s="1"/>
  <c r="N15" i="17" s="1"/>
  <c r="N16" i="17" s="1"/>
  <c r="N17" i="17" s="1"/>
  <c r="N18" i="17" s="1"/>
  <c r="N19" i="17" s="1"/>
  <c r="N20" i="17" s="1"/>
  <c r="N21" i="17" s="1"/>
  <c r="N22" i="17" s="1"/>
  <c r="C29" i="17" s="1"/>
  <c r="J155" i="9"/>
  <c r="J154" i="9"/>
  <c r="O8" i="17"/>
  <c r="O9" i="17" s="1"/>
  <c r="O10" i="17" s="1"/>
  <c r="O11" i="17" s="1"/>
  <c r="O12" i="17" s="1"/>
  <c r="O13" i="17" s="1"/>
  <c r="O14" i="17" s="1"/>
  <c r="O15" i="17" s="1"/>
  <c r="O16" i="17" s="1"/>
  <c r="O17" i="17" s="1"/>
  <c r="O18" i="17" s="1"/>
  <c r="O19" i="17" s="1"/>
  <c r="O20" i="17" s="1"/>
  <c r="O21" i="17" s="1"/>
  <c r="O22" i="17" s="1"/>
  <c r="C30" i="17" s="1"/>
  <c r="CN78" i="16"/>
  <c r="CO78" i="16"/>
  <c r="N65" i="14"/>
  <c r="O65" i="14"/>
  <c r="AN65" i="13"/>
  <c r="AS65" i="13" s="1"/>
  <c r="AO65" i="13"/>
  <c r="AT65" i="13" s="1"/>
  <c r="AN65" i="14"/>
  <c r="AO65" i="14"/>
  <c r="BN65" i="16"/>
  <c r="BO65" i="16"/>
  <c r="N65" i="15"/>
  <c r="O65" i="15"/>
  <c r="N65" i="13"/>
  <c r="O65" i="13"/>
  <c r="BN65" i="13"/>
  <c r="BS65" i="13" s="1"/>
  <c r="BO65" i="13"/>
  <c r="BT65" i="13" s="1"/>
  <c r="BN65" i="14"/>
  <c r="BO65" i="14"/>
  <c r="DN65" i="16"/>
  <c r="DO65" i="16"/>
  <c r="K145" i="9"/>
  <c r="DM65" i="15"/>
  <c r="BM65" i="15"/>
  <c r="CM65" i="15"/>
  <c r="AM65" i="15"/>
  <c r="N65" i="16"/>
  <c r="O65" i="16"/>
  <c r="CN65" i="13"/>
  <c r="CS65" i="13" s="1"/>
  <c r="CO65" i="13"/>
  <c r="CT65" i="13" s="1"/>
  <c r="DN65" i="14"/>
  <c r="DO65" i="14"/>
  <c r="AN65" i="16"/>
  <c r="AO65" i="16"/>
  <c r="DN65" i="13"/>
  <c r="DS65" i="13" s="1"/>
  <c r="DO65" i="13"/>
  <c r="DT65" i="13" s="1"/>
  <c r="CN65" i="14"/>
  <c r="CO65" i="14"/>
  <c r="CN65" i="16"/>
  <c r="CO65" i="16"/>
  <c r="AN63" i="16"/>
  <c r="AO63" i="16"/>
  <c r="BN77" i="13"/>
  <c r="BS77" i="13" s="1"/>
  <c r="BO77" i="13"/>
  <c r="BT77" i="13" s="1"/>
  <c r="N77" i="15"/>
  <c r="O77" i="15"/>
  <c r="CN77" i="13"/>
  <c r="CS77" i="13" s="1"/>
  <c r="CO77" i="13"/>
  <c r="CT77" i="13" s="1"/>
  <c r="DN77" i="14"/>
  <c r="DO77" i="14"/>
  <c r="BN77" i="16"/>
  <c r="BO77" i="16"/>
  <c r="N77" i="14"/>
  <c r="O77" i="14"/>
  <c r="AN77" i="16"/>
  <c r="AO77" i="16"/>
  <c r="N77" i="16"/>
  <c r="O77" i="16"/>
  <c r="DN77" i="13"/>
  <c r="DS77" i="13" s="1"/>
  <c r="DO77" i="13"/>
  <c r="DT77" i="13" s="1"/>
  <c r="CN77" i="14"/>
  <c r="CO77" i="14"/>
  <c r="CN77" i="16"/>
  <c r="CO77" i="16"/>
  <c r="BN77" i="14"/>
  <c r="BO77" i="14"/>
  <c r="J157" i="9"/>
  <c r="DM77" i="15"/>
  <c r="CM77" i="15"/>
  <c r="BM77" i="15"/>
  <c r="AM77" i="15"/>
  <c r="AN77" i="13"/>
  <c r="AS77" i="13" s="1"/>
  <c r="AO77" i="13"/>
  <c r="AT77" i="13" s="1"/>
  <c r="AN77" i="14"/>
  <c r="AO77" i="14"/>
  <c r="N77" i="13"/>
  <c r="S77" i="13" s="1"/>
  <c r="O77" i="13"/>
  <c r="T77" i="13" s="1"/>
  <c r="DN77" i="16"/>
  <c r="DO77" i="16"/>
  <c r="BN76" i="16"/>
  <c r="BO76" i="16"/>
  <c r="N75" i="14"/>
  <c r="O75" i="14"/>
  <c r="AN75" i="13"/>
  <c r="AS75" i="13" s="1"/>
  <c r="AO75" i="13"/>
  <c r="AT75" i="13" s="1"/>
  <c r="AN75" i="14"/>
  <c r="AO75" i="14"/>
  <c r="N75" i="13"/>
  <c r="O75" i="13"/>
  <c r="AN75" i="16"/>
  <c r="AO75" i="16"/>
  <c r="K155" i="9"/>
  <c r="CM75" i="15"/>
  <c r="DM75" i="15"/>
  <c r="BM75" i="15"/>
  <c r="AM75" i="15"/>
  <c r="N75" i="15"/>
  <c r="O75" i="15"/>
  <c r="BN75" i="13"/>
  <c r="BS75" i="13" s="1"/>
  <c r="BO75" i="13"/>
  <c r="BT75" i="13" s="1"/>
  <c r="BN75" i="14"/>
  <c r="BO75" i="14"/>
  <c r="BN75" i="16"/>
  <c r="BO75" i="16"/>
  <c r="N75" i="16"/>
  <c r="O75" i="16"/>
  <c r="CN75" i="13"/>
  <c r="CS75" i="13" s="1"/>
  <c r="CO75" i="13"/>
  <c r="CT75" i="13" s="1"/>
  <c r="DN75" i="14"/>
  <c r="DO75" i="14"/>
  <c r="CN75" i="16"/>
  <c r="CO75" i="16"/>
  <c r="DN75" i="13"/>
  <c r="DS75" i="13" s="1"/>
  <c r="DO75" i="13"/>
  <c r="DT75" i="13" s="1"/>
  <c r="CN75" i="14"/>
  <c r="CO75" i="14"/>
  <c r="DN75" i="16"/>
  <c r="DO75" i="16"/>
  <c r="N74" i="14"/>
  <c r="O74" i="14"/>
  <c r="CN74" i="13"/>
  <c r="CS74" i="13" s="1"/>
  <c r="CO74" i="13"/>
  <c r="CT74" i="13" s="1"/>
  <c r="DN74" i="14"/>
  <c r="DO74" i="14"/>
  <c r="BN74" i="16"/>
  <c r="BO74" i="16"/>
  <c r="N74" i="15"/>
  <c r="O74" i="15"/>
  <c r="N74" i="13"/>
  <c r="O74" i="13"/>
  <c r="DN74" i="13"/>
  <c r="DS74" i="13" s="1"/>
  <c r="DO74" i="13"/>
  <c r="DT74" i="13" s="1"/>
  <c r="CN74" i="14"/>
  <c r="CO74" i="14"/>
  <c r="CN74" i="16"/>
  <c r="CO74" i="16"/>
  <c r="N74" i="16"/>
  <c r="O74" i="16"/>
  <c r="AN74" i="13"/>
  <c r="AS74" i="13" s="1"/>
  <c r="AO74" i="13"/>
  <c r="AT74" i="13" s="1"/>
  <c r="AN74" i="14"/>
  <c r="AO74" i="14"/>
  <c r="DN74" i="16"/>
  <c r="DO74" i="16"/>
  <c r="BN74" i="13"/>
  <c r="BS74" i="13" s="1"/>
  <c r="BO74" i="13"/>
  <c r="BT74" i="13" s="1"/>
  <c r="BN74" i="14"/>
  <c r="BO74" i="14"/>
  <c r="AN74" i="16"/>
  <c r="AO74" i="16"/>
  <c r="K154" i="9"/>
  <c r="CM74" i="15"/>
  <c r="BM74" i="15"/>
  <c r="DM74" i="15"/>
  <c r="AM74" i="15"/>
  <c r="BN73" i="16"/>
  <c r="BO73" i="16"/>
  <c r="N72" i="15"/>
  <c r="O72" i="15"/>
  <c r="BN72" i="13"/>
  <c r="BS72" i="13" s="1"/>
  <c r="BO72" i="13"/>
  <c r="BT72" i="13" s="1"/>
  <c r="BN72" i="14"/>
  <c r="BO72" i="14"/>
  <c r="AN72" i="16"/>
  <c r="AO72" i="16"/>
  <c r="N72" i="13"/>
  <c r="S72" i="13" s="1"/>
  <c r="O72" i="13"/>
  <c r="T72" i="13" s="1"/>
  <c r="N72" i="16"/>
  <c r="O72" i="16"/>
  <c r="CN72" i="13"/>
  <c r="CS72" i="13" s="1"/>
  <c r="CO72" i="13"/>
  <c r="CT72" i="13" s="1"/>
  <c r="DN72" i="14"/>
  <c r="DO72" i="14"/>
  <c r="BN72" i="16"/>
  <c r="BO72" i="16"/>
  <c r="DN72" i="13"/>
  <c r="DS72" i="13" s="1"/>
  <c r="DO72" i="13"/>
  <c r="DT72" i="13" s="1"/>
  <c r="CN72" i="14"/>
  <c r="CO72" i="14"/>
  <c r="DN72" i="16"/>
  <c r="DO72" i="16"/>
  <c r="AM72" i="15"/>
  <c r="DM72" i="15"/>
  <c r="CM72" i="15"/>
  <c r="BM72" i="15"/>
  <c r="N72" i="14"/>
  <c r="O72" i="14"/>
  <c r="AN72" i="13"/>
  <c r="AS72" i="13" s="1"/>
  <c r="AO72" i="13"/>
  <c r="AT72" i="13" s="1"/>
  <c r="AN72" i="14"/>
  <c r="AO72" i="14"/>
  <c r="CN72" i="16"/>
  <c r="CO72" i="16"/>
  <c r="CN71" i="16"/>
  <c r="CO71" i="16"/>
  <c r="N70" i="14"/>
  <c r="O70" i="14"/>
  <c r="CN70" i="13"/>
  <c r="CS70" i="13" s="1"/>
  <c r="CO70" i="13"/>
  <c r="CT70" i="13" s="1"/>
  <c r="DN70" i="14"/>
  <c r="DO70" i="14"/>
  <c r="BN70" i="16"/>
  <c r="BO70" i="16"/>
  <c r="DN70" i="15"/>
  <c r="DO70" i="15"/>
  <c r="N70" i="15"/>
  <c r="O70" i="15"/>
  <c r="N70" i="13"/>
  <c r="O70" i="13"/>
  <c r="DN70" i="13"/>
  <c r="DS70" i="13" s="1"/>
  <c r="DO70" i="13"/>
  <c r="DT70" i="13" s="1"/>
  <c r="CN70" i="14"/>
  <c r="CO70" i="14"/>
  <c r="DN70" i="16"/>
  <c r="DO70" i="16"/>
  <c r="BN70" i="15"/>
  <c r="BO70" i="15"/>
  <c r="N70" i="16"/>
  <c r="O70" i="16"/>
  <c r="AN70" i="13"/>
  <c r="AS70" i="13" s="1"/>
  <c r="AO70" i="13"/>
  <c r="AT70" i="13" s="1"/>
  <c r="AN70" i="14"/>
  <c r="AO70" i="14"/>
  <c r="CN70" i="16"/>
  <c r="CO70" i="16"/>
  <c r="CN70" i="15"/>
  <c r="CO70" i="15"/>
  <c r="BN70" i="13"/>
  <c r="BS70" i="13" s="1"/>
  <c r="BO70" i="13"/>
  <c r="BT70" i="13" s="1"/>
  <c r="BN70" i="14"/>
  <c r="BO70" i="14"/>
  <c r="AN70" i="16"/>
  <c r="AO70" i="16"/>
  <c r="AN70" i="15"/>
  <c r="AO70" i="15"/>
  <c r="DN69" i="13"/>
  <c r="DS69" i="13" s="1"/>
  <c r="DO69" i="13"/>
  <c r="DT69" i="13" s="1"/>
  <c r="CN69" i="14"/>
  <c r="CO69" i="14"/>
  <c r="AN69" i="16"/>
  <c r="AO69" i="16"/>
  <c r="CN69" i="13"/>
  <c r="CS69" i="13" s="1"/>
  <c r="CO69" i="13"/>
  <c r="CT69" i="13" s="1"/>
  <c r="DN69" i="14"/>
  <c r="DO69" i="14"/>
  <c r="CN69" i="16"/>
  <c r="CO69" i="16"/>
  <c r="AN69" i="13"/>
  <c r="AS69" i="13" s="1"/>
  <c r="AO69" i="13"/>
  <c r="AT69" i="13" s="1"/>
  <c r="AN69" i="14"/>
  <c r="AO69" i="14"/>
  <c r="N69" i="15"/>
  <c r="O69" i="15"/>
  <c r="N69" i="13"/>
  <c r="O69" i="13"/>
  <c r="DN69" i="16"/>
  <c r="DO69" i="16"/>
  <c r="J149" i="9"/>
  <c r="DM69" i="15"/>
  <c r="CM69" i="15"/>
  <c r="BM69" i="15"/>
  <c r="AM69" i="15"/>
  <c r="BN69" i="13"/>
  <c r="BS69" i="13" s="1"/>
  <c r="BO69" i="13"/>
  <c r="BT69" i="13" s="1"/>
  <c r="BN69" i="14"/>
  <c r="BO69" i="14"/>
  <c r="N69" i="14"/>
  <c r="O69" i="14"/>
  <c r="BN69" i="16"/>
  <c r="BO69" i="16"/>
  <c r="N69" i="16"/>
  <c r="O69" i="16"/>
  <c r="N68" i="14"/>
  <c r="O68" i="14"/>
  <c r="DN68" i="13"/>
  <c r="DS68" i="13" s="1"/>
  <c r="DO68" i="13"/>
  <c r="DT68" i="13" s="1"/>
  <c r="CN68" i="14"/>
  <c r="CO68" i="14"/>
  <c r="CN68" i="16"/>
  <c r="CO68" i="16"/>
  <c r="N68" i="15"/>
  <c r="O68" i="15"/>
  <c r="AN68" i="13"/>
  <c r="AS68" i="13" s="1"/>
  <c r="AO68" i="13"/>
  <c r="AT68" i="13" s="1"/>
  <c r="AN68" i="14"/>
  <c r="AO68" i="14"/>
  <c r="DN68" i="16"/>
  <c r="DO68" i="16"/>
  <c r="N68" i="13"/>
  <c r="S68" i="13" s="1"/>
  <c r="O68" i="13"/>
  <c r="T68" i="13" s="1"/>
  <c r="N68" i="16"/>
  <c r="O68" i="16"/>
  <c r="BN68" i="13"/>
  <c r="BS68" i="13" s="1"/>
  <c r="BO68" i="13"/>
  <c r="BT68" i="13" s="1"/>
  <c r="BN68" i="14"/>
  <c r="BO68" i="14"/>
  <c r="AN68" i="16"/>
  <c r="AO68" i="16"/>
  <c r="K148" i="9"/>
  <c r="AM68" i="15"/>
  <c r="DM68" i="15"/>
  <c r="CM68" i="15"/>
  <c r="BM68" i="15"/>
  <c r="CN68" i="13"/>
  <c r="CS68" i="13" s="1"/>
  <c r="CO68" i="13"/>
  <c r="CT68" i="13" s="1"/>
  <c r="DN68" i="14"/>
  <c r="DO68" i="14"/>
  <c r="BN68" i="16"/>
  <c r="BO68" i="16"/>
  <c r="DM67" i="15"/>
  <c r="BM67" i="15"/>
  <c r="CM67" i="15"/>
  <c r="AM67" i="15"/>
  <c r="N67" i="13"/>
  <c r="S67" i="13" s="1"/>
  <c r="O67" i="13"/>
  <c r="T67" i="13" s="1"/>
  <c r="CN67" i="13"/>
  <c r="CS67" i="13" s="1"/>
  <c r="CO67" i="13"/>
  <c r="CT67" i="13" s="1"/>
  <c r="DN67" i="14"/>
  <c r="DO67" i="14"/>
  <c r="AN67" i="16"/>
  <c r="AO67" i="16"/>
  <c r="N67" i="14"/>
  <c r="O67" i="14"/>
  <c r="DN67" i="13"/>
  <c r="DS67" i="13" s="1"/>
  <c r="DO67" i="13"/>
  <c r="DT67" i="13" s="1"/>
  <c r="CN67" i="14"/>
  <c r="CO67" i="14"/>
  <c r="BN67" i="16"/>
  <c r="BO67" i="16"/>
  <c r="N67" i="15"/>
  <c r="O67" i="15"/>
  <c r="AN67" i="13"/>
  <c r="AS67" i="13" s="1"/>
  <c r="AO67" i="13"/>
  <c r="AT67" i="13" s="1"/>
  <c r="AN67" i="14"/>
  <c r="AO67" i="14"/>
  <c r="CN67" i="16"/>
  <c r="CO67" i="16"/>
  <c r="N67" i="16"/>
  <c r="O67" i="16"/>
  <c r="BN67" i="13"/>
  <c r="BS67" i="13" s="1"/>
  <c r="BO67" i="13"/>
  <c r="BT67" i="13" s="1"/>
  <c r="BN67" i="14"/>
  <c r="BO67" i="14"/>
  <c r="DN67" i="16"/>
  <c r="DO67" i="16"/>
  <c r="AN66" i="15"/>
  <c r="AO66" i="15"/>
  <c r="N66" i="16"/>
  <c r="O66" i="16"/>
  <c r="BN66" i="13"/>
  <c r="BS66" i="13" s="1"/>
  <c r="BO66" i="13"/>
  <c r="BT66" i="13" s="1"/>
  <c r="BN66" i="14"/>
  <c r="BO66" i="14"/>
  <c r="DN66" i="16"/>
  <c r="DO66" i="16"/>
  <c r="DN66" i="15"/>
  <c r="DO66" i="15"/>
  <c r="CN66" i="13"/>
  <c r="CS66" i="13" s="1"/>
  <c r="CO66" i="13"/>
  <c r="CT66" i="13" s="1"/>
  <c r="DN66" i="14"/>
  <c r="DO66" i="14"/>
  <c r="AN66" i="16"/>
  <c r="AO66" i="16"/>
  <c r="CN66" i="15"/>
  <c r="CO66" i="15"/>
  <c r="N66" i="14"/>
  <c r="O66" i="14"/>
  <c r="N66" i="13"/>
  <c r="S66" i="13" s="1"/>
  <c r="O66" i="13"/>
  <c r="T66" i="13" s="1"/>
  <c r="DN66" i="13"/>
  <c r="DS66" i="13" s="1"/>
  <c r="DO66" i="13"/>
  <c r="DT66" i="13" s="1"/>
  <c r="CN66" i="14"/>
  <c r="CO66" i="14"/>
  <c r="BN66" i="16"/>
  <c r="BO66" i="16"/>
  <c r="BN66" i="15"/>
  <c r="BO66" i="15"/>
  <c r="N66" i="15"/>
  <c r="O66" i="15"/>
  <c r="AN66" i="13"/>
  <c r="AS66" i="13" s="1"/>
  <c r="AO66" i="13"/>
  <c r="AT66" i="13" s="1"/>
  <c r="AN66" i="14"/>
  <c r="AO66" i="14"/>
  <c r="CN66" i="16"/>
  <c r="CO66" i="16"/>
  <c r="CN64" i="13"/>
  <c r="CS64" i="13" s="1"/>
  <c r="CO64" i="13"/>
  <c r="CT64" i="13" s="1"/>
  <c r="N64" i="16"/>
  <c r="O64" i="16"/>
  <c r="CN64" i="16"/>
  <c r="CO64" i="16"/>
  <c r="CN64" i="14"/>
  <c r="CO64" i="14"/>
  <c r="DN64" i="16"/>
  <c r="DO64" i="16"/>
  <c r="K144" i="9"/>
  <c r="DM64" i="15"/>
  <c r="CM64" i="15"/>
  <c r="BM64" i="15"/>
  <c r="AM64" i="15"/>
  <c r="AN64" i="13"/>
  <c r="AS64" i="13" s="1"/>
  <c r="AO64" i="13"/>
  <c r="AT64" i="13" s="1"/>
  <c r="AN64" i="14"/>
  <c r="AO64" i="14"/>
  <c r="N64" i="14"/>
  <c r="O64" i="14"/>
  <c r="AN64" i="16"/>
  <c r="AO64" i="16"/>
  <c r="DN64" i="14"/>
  <c r="DO64" i="14"/>
  <c r="DN64" i="13"/>
  <c r="DS64" i="13" s="1"/>
  <c r="DO64" i="13"/>
  <c r="DT64" i="13" s="1"/>
  <c r="N64" i="13"/>
  <c r="O64" i="13"/>
  <c r="BN64" i="13"/>
  <c r="BS64" i="13" s="1"/>
  <c r="BO64" i="13"/>
  <c r="BT64" i="13" s="1"/>
  <c r="BN64" i="14"/>
  <c r="BO64" i="14"/>
  <c r="N64" i="15"/>
  <c r="O64" i="15"/>
  <c r="BN64" i="16"/>
  <c r="BO64" i="16"/>
  <c r="J144" i="9"/>
  <c r="K152" i="9"/>
  <c r="T13" i="8"/>
  <c r="U13" i="8"/>
  <c r="K147" i="9"/>
  <c r="J147" i="9"/>
  <c r="CX102" i="16"/>
  <c r="CX98" i="16"/>
  <c r="CX94" i="16"/>
  <c r="CX90" i="16"/>
  <c r="BZ102" i="16"/>
  <c r="BZ98" i="16"/>
  <c r="BZ94" i="16"/>
  <c r="BZ90" i="16"/>
  <c r="BB102" i="16"/>
  <c r="BB98" i="16"/>
  <c r="BB94" i="16"/>
  <c r="BB90" i="16"/>
  <c r="AD102" i="16"/>
  <c r="AD98" i="16"/>
  <c r="AD94" i="16"/>
  <c r="AD90" i="16"/>
  <c r="F102" i="16"/>
  <c r="F98" i="16"/>
  <c r="F94" i="16"/>
  <c r="F90" i="16"/>
  <c r="CX102" i="15"/>
  <c r="CX98" i="15"/>
  <c r="CX94" i="15"/>
  <c r="CX90" i="15"/>
  <c r="BZ102" i="15"/>
  <c r="BZ98" i="15"/>
  <c r="BZ94" i="15"/>
  <c r="BZ90" i="15"/>
  <c r="BB102" i="15"/>
  <c r="BB98" i="15"/>
  <c r="BB94" i="15"/>
  <c r="BB90" i="15"/>
  <c r="AD102" i="15"/>
  <c r="AD98" i="15"/>
  <c r="AD94" i="15"/>
  <c r="AD90" i="15"/>
  <c r="F102" i="15"/>
  <c r="F98" i="15"/>
  <c r="F94" i="15"/>
  <c r="F90" i="15"/>
  <c r="CX102" i="14"/>
  <c r="CX98" i="14"/>
  <c r="CX94" i="14"/>
  <c r="CX90" i="14"/>
  <c r="BZ102" i="14"/>
  <c r="BZ98" i="14"/>
  <c r="BZ94" i="14"/>
  <c r="BZ90" i="14"/>
  <c r="BB102" i="14"/>
  <c r="BB98" i="14"/>
  <c r="BB94" i="14"/>
  <c r="BB90" i="14"/>
  <c r="AD102" i="14"/>
  <c r="AD98" i="14"/>
  <c r="AD94" i="14"/>
  <c r="AD90" i="14"/>
  <c r="F102" i="14"/>
  <c r="F98" i="14"/>
  <c r="F94" i="14"/>
  <c r="F90" i="14"/>
  <c r="CX102" i="13"/>
  <c r="CX98" i="13"/>
  <c r="CX94" i="13"/>
  <c r="CX90" i="13"/>
  <c r="BZ102" i="13"/>
  <c r="BZ98" i="13"/>
  <c r="BZ94" i="13"/>
  <c r="BZ90" i="13"/>
  <c r="BB102" i="13"/>
  <c r="BB98" i="13"/>
  <c r="BB94" i="13"/>
  <c r="BB90" i="13"/>
  <c r="AD102" i="13"/>
  <c r="AD98" i="13"/>
  <c r="AD94" i="13"/>
  <c r="AD90" i="13"/>
  <c r="F89" i="13"/>
  <c r="F93" i="13"/>
  <c r="F97" i="13"/>
  <c r="F101" i="13"/>
  <c r="CX100" i="16"/>
  <c r="CX96" i="16"/>
  <c r="CX92" i="16"/>
  <c r="CX88" i="16"/>
  <c r="BZ100" i="16"/>
  <c r="BZ96" i="16"/>
  <c r="BZ92" i="16"/>
  <c r="BZ88" i="16"/>
  <c r="BB100" i="16"/>
  <c r="BB96" i="16"/>
  <c r="BB92" i="16"/>
  <c r="BB88" i="16"/>
  <c r="AD100" i="16"/>
  <c r="AD96" i="16"/>
  <c r="AD92" i="16"/>
  <c r="AD88" i="16"/>
  <c r="F100" i="16"/>
  <c r="F96" i="16"/>
  <c r="F92" i="16"/>
  <c r="F88" i="16"/>
  <c r="CX100" i="15"/>
  <c r="CX96" i="15"/>
  <c r="CX92" i="15"/>
  <c r="CX88" i="15"/>
  <c r="BZ100" i="15"/>
  <c r="BZ96" i="15"/>
  <c r="BZ92" i="15"/>
  <c r="BZ88" i="15"/>
  <c r="BB100" i="15"/>
  <c r="BB96" i="15"/>
  <c r="BB92" i="15"/>
  <c r="BB88" i="15"/>
  <c r="AD100" i="15"/>
  <c r="AD96" i="15"/>
  <c r="AD92" i="15"/>
  <c r="AD88" i="15"/>
  <c r="F100" i="15"/>
  <c r="F96" i="15"/>
  <c r="F92" i="15"/>
  <c r="F88" i="15"/>
  <c r="CX100" i="14"/>
  <c r="CX96" i="14"/>
  <c r="CX92" i="14"/>
  <c r="CX88" i="14"/>
  <c r="BZ100" i="14"/>
  <c r="BZ96" i="14"/>
  <c r="BZ92" i="14"/>
  <c r="BZ88" i="14"/>
  <c r="BB100" i="14"/>
  <c r="BB96" i="14"/>
  <c r="BB92" i="14"/>
  <c r="BB88" i="14"/>
  <c r="AD100" i="14"/>
  <c r="AD96" i="14"/>
  <c r="AD92" i="14"/>
  <c r="AD88" i="14"/>
  <c r="F100" i="14"/>
  <c r="F96" i="14"/>
  <c r="F92" i="14"/>
  <c r="F88" i="14"/>
  <c r="CX100" i="13"/>
  <c r="CX96" i="13"/>
  <c r="CX92" i="13"/>
  <c r="CX88" i="13"/>
  <c r="BZ100" i="13"/>
  <c r="BZ96" i="13"/>
  <c r="BZ92" i="13"/>
  <c r="BZ88" i="13"/>
  <c r="BB100" i="13"/>
  <c r="BB96" i="13"/>
  <c r="BB92" i="13"/>
  <c r="BB88" i="13"/>
  <c r="AD100" i="13"/>
  <c r="AD96" i="13"/>
  <c r="AD92" i="13"/>
  <c r="AD88" i="13"/>
  <c r="F91" i="13"/>
  <c r="F95" i="13"/>
  <c r="F99" i="13"/>
  <c r="F103" i="13"/>
  <c r="CX97" i="16"/>
  <c r="CX89" i="16"/>
  <c r="BZ97" i="16"/>
  <c r="BZ89" i="16"/>
  <c r="BB97" i="16"/>
  <c r="BB89" i="16"/>
  <c r="AD97" i="16"/>
  <c r="AD89" i="16"/>
  <c r="F97" i="16"/>
  <c r="F89" i="16"/>
  <c r="CX97" i="15"/>
  <c r="CX89" i="15"/>
  <c r="BZ97" i="15"/>
  <c r="BZ89" i="15"/>
  <c r="BB97" i="15"/>
  <c r="BB89" i="15"/>
  <c r="AD97" i="15"/>
  <c r="AD89" i="15"/>
  <c r="F97" i="15"/>
  <c r="F89" i="15"/>
  <c r="CX97" i="14"/>
  <c r="CX89" i="14"/>
  <c r="BZ97" i="14"/>
  <c r="BZ89" i="14"/>
  <c r="BB97" i="14"/>
  <c r="BB89" i="14"/>
  <c r="AD97" i="14"/>
  <c r="AD89" i="14"/>
  <c r="F97" i="14"/>
  <c r="F89" i="14"/>
  <c r="CX97" i="13"/>
  <c r="CX89" i="13"/>
  <c r="BZ97" i="13"/>
  <c r="BZ89" i="13"/>
  <c r="BB97" i="13"/>
  <c r="BB89" i="13"/>
  <c r="AD97" i="13"/>
  <c r="AD89" i="13"/>
  <c r="F96" i="13"/>
  <c r="F88" i="13"/>
  <c r="CX101" i="16"/>
  <c r="CX93" i="16"/>
  <c r="BZ101" i="16"/>
  <c r="BZ93" i="16"/>
  <c r="BB101" i="16"/>
  <c r="BB93" i="16"/>
  <c r="AD101" i="16"/>
  <c r="AD93" i="16"/>
  <c r="F101" i="16"/>
  <c r="F93" i="16"/>
  <c r="CX101" i="15"/>
  <c r="CX93" i="15"/>
  <c r="BZ101" i="15"/>
  <c r="BZ93" i="15"/>
  <c r="BB101" i="15"/>
  <c r="BB93" i="15"/>
  <c r="AD101" i="15"/>
  <c r="AD93" i="15"/>
  <c r="F101" i="15"/>
  <c r="F93" i="15"/>
  <c r="CX101" i="14"/>
  <c r="CX93" i="14"/>
  <c r="BZ101" i="14"/>
  <c r="BZ93" i="14"/>
  <c r="BB101" i="14"/>
  <c r="BB93" i="14"/>
  <c r="AD101" i="14"/>
  <c r="AD93" i="14"/>
  <c r="F101" i="14"/>
  <c r="F93" i="14"/>
  <c r="CX101" i="13"/>
  <c r="CX93" i="13"/>
  <c r="BZ101" i="13"/>
  <c r="BZ93" i="13"/>
  <c r="BB101" i="13"/>
  <c r="BB93" i="13"/>
  <c r="AD101" i="13"/>
  <c r="AD93" i="13"/>
  <c r="F92" i="13"/>
  <c r="F100" i="13"/>
  <c r="CX103" i="16"/>
  <c r="BZ103" i="16"/>
  <c r="BB103" i="16"/>
  <c r="AD103" i="16"/>
  <c r="F103" i="16"/>
  <c r="CX103" i="15"/>
  <c r="BZ103" i="15"/>
  <c r="BB103" i="15"/>
  <c r="AD103" i="15"/>
  <c r="F103" i="15"/>
  <c r="CX103" i="14"/>
  <c r="BZ103" i="14"/>
  <c r="BB103" i="14"/>
  <c r="AD103" i="14"/>
  <c r="F103" i="14"/>
  <c r="CX103" i="13"/>
  <c r="BZ103" i="13"/>
  <c r="BB103" i="13"/>
  <c r="AD103" i="13"/>
  <c r="F90" i="13"/>
  <c r="CX95" i="16"/>
  <c r="BZ95" i="16"/>
  <c r="BB95" i="16"/>
  <c r="AD95" i="16"/>
  <c r="F95" i="16"/>
  <c r="CX95" i="15"/>
  <c r="BZ95" i="15"/>
  <c r="BB95" i="15"/>
  <c r="AD95" i="15"/>
  <c r="F95" i="15"/>
  <c r="CX95" i="14"/>
  <c r="BZ95" i="14"/>
  <c r="BB95" i="14"/>
  <c r="AD95" i="14"/>
  <c r="F95" i="14"/>
  <c r="CX95" i="13"/>
  <c r="BZ95" i="13"/>
  <c r="BB95" i="13"/>
  <c r="AD95" i="13"/>
  <c r="F98" i="13"/>
  <c r="CX91" i="16"/>
  <c r="BZ91" i="16"/>
  <c r="BB91" i="16"/>
  <c r="AD91" i="16"/>
  <c r="F91" i="16"/>
  <c r="CX91" i="15"/>
  <c r="BZ91" i="15"/>
  <c r="BB91" i="15"/>
  <c r="AD91" i="15"/>
  <c r="F91" i="15"/>
  <c r="CX91" i="14"/>
  <c r="BZ91" i="14"/>
  <c r="BB91" i="14"/>
  <c r="AD91" i="14"/>
  <c r="F91" i="14"/>
  <c r="CX91" i="13"/>
  <c r="BZ91" i="13"/>
  <c r="BB91" i="13"/>
  <c r="AD91" i="13"/>
  <c r="F102" i="13"/>
  <c r="CX99" i="16"/>
  <c r="F99" i="16"/>
  <c r="AD99" i="15"/>
  <c r="BB99" i="14"/>
  <c r="BZ99" i="13"/>
  <c r="F94" i="13"/>
  <c r="BZ99" i="16"/>
  <c r="CX99" i="15"/>
  <c r="F99" i="15"/>
  <c r="AD99" i="14"/>
  <c r="BB99" i="13"/>
  <c r="BB99" i="16"/>
  <c r="BZ99" i="15"/>
  <c r="CX99" i="14"/>
  <c r="F99" i="14"/>
  <c r="AD99" i="13"/>
  <c r="AD99" i="16"/>
  <c r="BB99" i="15"/>
  <c r="BZ99" i="14"/>
  <c r="CX99" i="13"/>
  <c r="CX128" i="16"/>
  <c r="CX124" i="16"/>
  <c r="CX120" i="16"/>
  <c r="CX116" i="16"/>
  <c r="BZ128" i="16"/>
  <c r="BZ124" i="16"/>
  <c r="BZ120" i="16"/>
  <c r="BZ116" i="16"/>
  <c r="BB128" i="16"/>
  <c r="BB124" i="16"/>
  <c r="BB120" i="16"/>
  <c r="BB116" i="16"/>
  <c r="AD128" i="16"/>
  <c r="AD124" i="16"/>
  <c r="AD120" i="16"/>
  <c r="AD116" i="16"/>
  <c r="F128" i="16"/>
  <c r="F124" i="16"/>
  <c r="F120" i="16"/>
  <c r="F116" i="16"/>
  <c r="CX128" i="15"/>
  <c r="CX124" i="15"/>
  <c r="CX120" i="15"/>
  <c r="CX116" i="15"/>
  <c r="BZ128" i="15"/>
  <c r="BZ124" i="15"/>
  <c r="BZ120" i="15"/>
  <c r="BZ116" i="15"/>
  <c r="BB128" i="15"/>
  <c r="BB124" i="15"/>
  <c r="BB120" i="15"/>
  <c r="BB116" i="15"/>
  <c r="AD128" i="15"/>
  <c r="AD124" i="15"/>
  <c r="AD120" i="15"/>
  <c r="AD116" i="15"/>
  <c r="F128" i="15"/>
  <c r="F124" i="15"/>
  <c r="F120" i="15"/>
  <c r="F116" i="15"/>
  <c r="CX128" i="14"/>
  <c r="CX124" i="14"/>
  <c r="CX120" i="14"/>
  <c r="CX116" i="14"/>
  <c r="BZ128" i="14"/>
  <c r="BZ124" i="14"/>
  <c r="BZ120" i="14"/>
  <c r="BZ116" i="14"/>
  <c r="BB114" i="14"/>
  <c r="BB118" i="14"/>
  <c r="BB122" i="14"/>
  <c r="BB126" i="14"/>
  <c r="AD114" i="14"/>
  <c r="AD118" i="14"/>
  <c r="AD122" i="14"/>
  <c r="AD126" i="14"/>
  <c r="F114" i="14"/>
  <c r="F118" i="14"/>
  <c r="F122" i="14"/>
  <c r="F126" i="14"/>
  <c r="BB115" i="13"/>
  <c r="BB119" i="13"/>
  <c r="BB123" i="13"/>
  <c r="BB127" i="13"/>
  <c r="BZ115" i="13"/>
  <c r="BZ119" i="13"/>
  <c r="BZ123" i="13"/>
  <c r="BZ127" i="13"/>
  <c r="CX115" i="13"/>
  <c r="CX119" i="13"/>
  <c r="CX123" i="13"/>
  <c r="CX127" i="13"/>
  <c r="AD114" i="13"/>
  <c r="AD118" i="13"/>
  <c r="AD122" i="13"/>
  <c r="AD126" i="13"/>
  <c r="F114" i="13"/>
  <c r="F118" i="13"/>
  <c r="F122" i="13"/>
  <c r="F126" i="13"/>
  <c r="CX127" i="16"/>
  <c r="CX126" i="16"/>
  <c r="CX122" i="16"/>
  <c r="CX118" i="16"/>
  <c r="CX114" i="16"/>
  <c r="BZ126" i="16"/>
  <c r="BZ122" i="16"/>
  <c r="BZ118" i="16"/>
  <c r="BZ114" i="16"/>
  <c r="BB126" i="16"/>
  <c r="BB122" i="16"/>
  <c r="BB118" i="16"/>
  <c r="BB114" i="16"/>
  <c r="AD126" i="16"/>
  <c r="AD122" i="16"/>
  <c r="AD118" i="16"/>
  <c r="AD114" i="16"/>
  <c r="F126" i="16"/>
  <c r="F122" i="16"/>
  <c r="F118" i="16"/>
  <c r="F114" i="16"/>
  <c r="CX126" i="15"/>
  <c r="CX122" i="15"/>
  <c r="CX118" i="15"/>
  <c r="CX114" i="15"/>
  <c r="BZ126" i="15"/>
  <c r="BZ122" i="15"/>
  <c r="BZ118" i="15"/>
  <c r="BZ114" i="15"/>
  <c r="BB126" i="15"/>
  <c r="BB122" i="15"/>
  <c r="BB118" i="15"/>
  <c r="BB114" i="15"/>
  <c r="AD126" i="15"/>
  <c r="AD122" i="15"/>
  <c r="AD118" i="15"/>
  <c r="AD114" i="15"/>
  <c r="F126" i="15"/>
  <c r="F122" i="15"/>
  <c r="F118" i="15"/>
  <c r="F114" i="15"/>
  <c r="CX126" i="14"/>
  <c r="CX122" i="14"/>
  <c r="CX118" i="14"/>
  <c r="CX114" i="14"/>
  <c r="BZ126" i="14"/>
  <c r="BZ122" i="14"/>
  <c r="BZ118" i="14"/>
  <c r="BZ114" i="14"/>
  <c r="BB116" i="14"/>
  <c r="BB120" i="14"/>
  <c r="BB124" i="14"/>
  <c r="BB128" i="14"/>
  <c r="AD116" i="14"/>
  <c r="AD120" i="14"/>
  <c r="AD124" i="14"/>
  <c r="AD128" i="14"/>
  <c r="F116" i="14"/>
  <c r="F120" i="14"/>
  <c r="F124" i="14"/>
  <c r="F128" i="14"/>
  <c r="BB117" i="13"/>
  <c r="BB121" i="13"/>
  <c r="BB125" i="13"/>
  <c r="BB113" i="13"/>
  <c r="BZ117" i="13"/>
  <c r="BZ121" i="13"/>
  <c r="BZ125" i="13"/>
  <c r="BZ113" i="13"/>
  <c r="CX117" i="13"/>
  <c r="CX121" i="13"/>
  <c r="CX125" i="13"/>
  <c r="CX113" i="13"/>
  <c r="AD116" i="13"/>
  <c r="AD120" i="13"/>
  <c r="AD124" i="13"/>
  <c r="AD128" i="13"/>
  <c r="F116" i="13"/>
  <c r="F120" i="13"/>
  <c r="F124" i="13"/>
  <c r="F128" i="13"/>
  <c r="CX125" i="16"/>
  <c r="CX123" i="16"/>
  <c r="CX115" i="16"/>
  <c r="BZ123" i="16"/>
  <c r="BZ115" i="16"/>
  <c r="BB123" i="16"/>
  <c r="BB115" i="16"/>
  <c r="AD123" i="16"/>
  <c r="AD115" i="16"/>
  <c r="F123" i="16"/>
  <c r="F115" i="16"/>
  <c r="CX123" i="15"/>
  <c r="CX115" i="15"/>
  <c r="BZ123" i="15"/>
  <c r="BZ115" i="15"/>
  <c r="BB123" i="15"/>
  <c r="BB115" i="15"/>
  <c r="AD123" i="15"/>
  <c r="AD115" i="15"/>
  <c r="F123" i="15"/>
  <c r="F115" i="15"/>
  <c r="CX123" i="14"/>
  <c r="CX115" i="14"/>
  <c r="BZ123" i="14"/>
  <c r="BZ115" i="14"/>
  <c r="BB119" i="14"/>
  <c r="BB127" i="14"/>
  <c r="AD119" i="14"/>
  <c r="AD127" i="14"/>
  <c r="F119" i="14"/>
  <c r="F127" i="14"/>
  <c r="BB120" i="13"/>
  <c r="BB128" i="13"/>
  <c r="BZ120" i="13"/>
  <c r="BZ128" i="13"/>
  <c r="CX120" i="13"/>
  <c r="CX128" i="13"/>
  <c r="AD115" i="13"/>
  <c r="AD123" i="13"/>
  <c r="F115" i="13"/>
  <c r="F123" i="13"/>
  <c r="CX119" i="16"/>
  <c r="BZ127" i="16"/>
  <c r="BZ119" i="16"/>
  <c r="BB127" i="16"/>
  <c r="BB119" i="16"/>
  <c r="AD127" i="16"/>
  <c r="AD119" i="16"/>
  <c r="F127" i="16"/>
  <c r="F119" i="16"/>
  <c r="CX127" i="15"/>
  <c r="CX119" i="15"/>
  <c r="BZ127" i="15"/>
  <c r="BZ119" i="15"/>
  <c r="BB127" i="15"/>
  <c r="BB119" i="15"/>
  <c r="AD127" i="15"/>
  <c r="AD119" i="15"/>
  <c r="F127" i="15"/>
  <c r="F119" i="15"/>
  <c r="CX127" i="14"/>
  <c r="CX119" i="14"/>
  <c r="BZ127" i="14"/>
  <c r="BZ119" i="14"/>
  <c r="BB115" i="14"/>
  <c r="BB123" i="14"/>
  <c r="AD115" i="14"/>
  <c r="AD123" i="14"/>
  <c r="F115" i="14"/>
  <c r="F123" i="14"/>
  <c r="BB116" i="13"/>
  <c r="BB124" i="13"/>
  <c r="BZ116" i="13"/>
  <c r="BZ124" i="13"/>
  <c r="CX116" i="13"/>
  <c r="CX124" i="13"/>
  <c r="AD119" i="13"/>
  <c r="AD127" i="13"/>
  <c r="F119" i="13"/>
  <c r="F127" i="13"/>
  <c r="CX121" i="16"/>
  <c r="BZ121" i="16"/>
  <c r="BB121" i="16"/>
  <c r="AD121" i="16"/>
  <c r="F121" i="16"/>
  <c r="CX121" i="15"/>
  <c r="BZ121" i="15"/>
  <c r="BB121" i="15"/>
  <c r="AD121" i="15"/>
  <c r="F121" i="15"/>
  <c r="CX121" i="14"/>
  <c r="BZ121" i="14"/>
  <c r="BB121" i="14"/>
  <c r="AD121" i="14"/>
  <c r="F121" i="14"/>
  <c r="BB122" i="13"/>
  <c r="BZ122" i="13"/>
  <c r="CX122" i="13"/>
  <c r="AD117" i="13"/>
  <c r="F117" i="13"/>
  <c r="CX117" i="16"/>
  <c r="BZ117" i="16"/>
  <c r="BB117" i="16"/>
  <c r="AD117" i="16"/>
  <c r="F117" i="16"/>
  <c r="CX117" i="15"/>
  <c r="BZ117" i="15"/>
  <c r="BB117" i="15"/>
  <c r="AD117" i="15"/>
  <c r="F117" i="15"/>
  <c r="CX113" i="16"/>
  <c r="BZ113" i="16"/>
  <c r="BB113" i="16"/>
  <c r="AD113" i="16"/>
  <c r="F113" i="16"/>
  <c r="CX113" i="15"/>
  <c r="BZ113" i="15"/>
  <c r="BB113" i="15"/>
  <c r="AD113" i="15"/>
  <c r="F113" i="15"/>
  <c r="CX113" i="14"/>
  <c r="BZ113" i="14"/>
  <c r="BB113" i="14"/>
  <c r="AD113" i="14"/>
  <c r="F113" i="14"/>
  <c r="BB114" i="13"/>
  <c r="BZ114" i="13"/>
  <c r="CX114" i="13"/>
  <c r="AD125" i="13"/>
  <c r="F125" i="13"/>
  <c r="BZ125" i="16"/>
  <c r="BB125" i="16"/>
  <c r="AD125" i="16"/>
  <c r="F125" i="16"/>
  <c r="CX125" i="15"/>
  <c r="F125" i="15"/>
  <c r="BZ117" i="14"/>
  <c r="AD125" i="14"/>
  <c r="BZ126" i="13"/>
  <c r="AD121" i="13"/>
  <c r="BZ125" i="15"/>
  <c r="CX125" i="14"/>
  <c r="BB117" i="14"/>
  <c r="F117" i="14"/>
  <c r="BB118" i="13"/>
  <c r="CX118" i="13"/>
  <c r="AD113" i="13"/>
  <c r="BB125" i="15"/>
  <c r="CX117" i="14"/>
  <c r="BB125" i="14"/>
  <c r="F125" i="14"/>
  <c r="BB126" i="13"/>
  <c r="CX126" i="13"/>
  <c r="F121" i="13"/>
  <c r="AD125" i="15"/>
  <c r="BZ125" i="14"/>
  <c r="AD117" i="14"/>
  <c r="BZ118" i="13"/>
  <c r="F113" i="13"/>
  <c r="AW63" i="16"/>
  <c r="V14" i="8"/>
  <c r="AF16" i="2"/>
  <c r="W14" i="8" s="1"/>
  <c r="K18" i="2"/>
  <c r="Q17" i="8" s="1"/>
  <c r="R18" i="2"/>
  <c r="S17" i="8" s="1"/>
  <c r="Q20" i="2"/>
  <c r="Q22" i="2" s="1"/>
  <c r="Q26" i="2"/>
  <c r="R26" i="2" s="1"/>
  <c r="Q29" i="2"/>
  <c r="X16" i="2"/>
  <c r="AE20" i="2"/>
  <c r="X20" i="2"/>
  <c r="J23" i="2"/>
  <c r="J42" i="2" s="1"/>
  <c r="Q23" i="2"/>
  <c r="R23" i="2" s="1"/>
  <c r="Q24" i="2"/>
  <c r="O63" i="15" l="1"/>
  <c r="W63" i="15"/>
  <c r="W64" i="15" s="1"/>
  <c r="W65" i="15" s="1"/>
  <c r="W66" i="15" s="1"/>
  <c r="W67" i="15" s="1"/>
  <c r="W68" i="15" s="1"/>
  <c r="W69" i="15" s="1"/>
  <c r="W70" i="15" s="1"/>
  <c r="W71" i="15" s="1"/>
  <c r="W72" i="15" s="1"/>
  <c r="CN78" i="13"/>
  <c r="CS78" i="13" s="1"/>
  <c r="CN76" i="14"/>
  <c r="DO78" i="16"/>
  <c r="O71" i="14"/>
  <c r="N71" i="14"/>
  <c r="O73" i="13"/>
  <c r="T73" i="13" s="1"/>
  <c r="N73" i="13"/>
  <c r="S73" i="13" s="1"/>
  <c r="BM71" i="15"/>
  <c r="N151" i="9"/>
  <c r="O151" i="9" s="1"/>
  <c r="P151" i="9" s="1"/>
  <c r="K156" i="9"/>
  <c r="N156" i="9"/>
  <c r="O156" i="9" s="1"/>
  <c r="P156" i="9" s="1"/>
  <c r="CM76" i="15"/>
  <c r="CO76" i="15" s="1"/>
  <c r="J158" i="9"/>
  <c r="N158" i="9"/>
  <c r="O158" i="9" s="1"/>
  <c r="P158" i="9" s="1"/>
  <c r="K153" i="9"/>
  <c r="N153" i="9"/>
  <c r="O153" i="9" s="1"/>
  <c r="P153" i="9" s="1"/>
  <c r="CM63" i="15"/>
  <c r="CN63" i="15" s="1"/>
  <c r="N143" i="9"/>
  <c r="O143" i="9" s="1"/>
  <c r="P143" i="9" s="1"/>
  <c r="AK163" i="15"/>
  <c r="AK165" i="15" s="1"/>
  <c r="AK167" i="15" s="1"/>
  <c r="AK164" i="15"/>
  <c r="D33" i="12" s="1"/>
  <c r="AK164" i="16"/>
  <c r="D40" i="12" s="1"/>
  <c r="AK163" i="16"/>
  <c r="CN63" i="14"/>
  <c r="BW63" i="13"/>
  <c r="BW64" i="13" s="1"/>
  <c r="BW65" i="13" s="1"/>
  <c r="BW66" i="13" s="1"/>
  <c r="BW67" i="13" s="1"/>
  <c r="BW68" i="13" s="1"/>
  <c r="BW69" i="13" s="1"/>
  <c r="BW70" i="13" s="1"/>
  <c r="CN63" i="16"/>
  <c r="CW63" i="16"/>
  <c r="CW64" i="16" s="1"/>
  <c r="CW65" i="16" s="1"/>
  <c r="CW66" i="16" s="1"/>
  <c r="CW67" i="16" s="1"/>
  <c r="CW68" i="16" s="1"/>
  <c r="CW69" i="16" s="1"/>
  <c r="CW70" i="16" s="1"/>
  <c r="CW71" i="16" s="1"/>
  <c r="CW72" i="16" s="1"/>
  <c r="CW73" i="16" s="1"/>
  <c r="CW74" i="16" s="1"/>
  <c r="CW75" i="16" s="1"/>
  <c r="CO76" i="16"/>
  <c r="W63" i="14"/>
  <c r="W64" i="14" s="1"/>
  <c r="W65" i="14" s="1"/>
  <c r="W66" i="14" s="1"/>
  <c r="W67" i="14" s="1"/>
  <c r="W68" i="14" s="1"/>
  <c r="W69" i="14" s="1"/>
  <c r="W70" i="14" s="1"/>
  <c r="W71" i="14" s="1"/>
  <c r="W72" i="14" s="1"/>
  <c r="AW63" i="13"/>
  <c r="AW64" i="13" s="1"/>
  <c r="AW65" i="13" s="1"/>
  <c r="AW66" i="13" s="1"/>
  <c r="AW67" i="13" s="1"/>
  <c r="AW68" i="13" s="1"/>
  <c r="AW69" i="13" s="1"/>
  <c r="AW70" i="13" s="1"/>
  <c r="AW71" i="13" s="1"/>
  <c r="AW72" i="13" s="1"/>
  <c r="DW63" i="13"/>
  <c r="DW64" i="13" s="1"/>
  <c r="DW65" i="13" s="1"/>
  <c r="DW66" i="13" s="1"/>
  <c r="DW67" i="13" s="1"/>
  <c r="DW68" i="13" s="1"/>
  <c r="DW69" i="13" s="1"/>
  <c r="DW70" i="13" s="1"/>
  <c r="DW71" i="13" s="1"/>
  <c r="DW72" i="13" s="1"/>
  <c r="DW73" i="13" s="1"/>
  <c r="DW74" i="13" s="1"/>
  <c r="DW75" i="13" s="1"/>
  <c r="DW76" i="13" s="1"/>
  <c r="DW77" i="13" s="1"/>
  <c r="DW78" i="13" s="1"/>
  <c r="V162" i="13" s="1"/>
  <c r="V163" i="13" s="1"/>
  <c r="V165" i="13" s="1"/>
  <c r="V167" i="13" s="1"/>
  <c r="CW63" i="13"/>
  <c r="CW64" i="13" s="1"/>
  <c r="CW65" i="13" s="1"/>
  <c r="CW66" i="13" s="1"/>
  <c r="CW67" i="13" s="1"/>
  <c r="CW68" i="13" s="1"/>
  <c r="CW69" i="13" s="1"/>
  <c r="CW70" i="13" s="1"/>
  <c r="CW71" i="13" s="1"/>
  <c r="CW72" i="13" s="1"/>
  <c r="CW73" i="13" s="1"/>
  <c r="CW74" i="13" s="1"/>
  <c r="CW75" i="13" s="1"/>
  <c r="CW76" i="13" s="1"/>
  <c r="CW77" i="13" s="1"/>
  <c r="CW78" i="13" s="1"/>
  <c r="U162" i="13" s="1"/>
  <c r="U163" i="13" s="1"/>
  <c r="U165" i="13" s="1"/>
  <c r="U167" i="13" s="1"/>
  <c r="AW63" i="14"/>
  <c r="AW64" i="14" s="1"/>
  <c r="AW65" i="14" s="1"/>
  <c r="AW66" i="14" s="1"/>
  <c r="AW67" i="14" s="1"/>
  <c r="AW68" i="14" s="1"/>
  <c r="AW69" i="14" s="1"/>
  <c r="AW70" i="14" s="1"/>
  <c r="AW71" i="14" s="1"/>
  <c r="AW72" i="14" s="1"/>
  <c r="AW73" i="14" s="1"/>
  <c r="AW74" i="14" s="1"/>
  <c r="AW75" i="14" s="1"/>
  <c r="AW76" i="14" s="1"/>
  <c r="AW77" i="14" s="1"/>
  <c r="BN63" i="16"/>
  <c r="BW63" i="16"/>
  <c r="BW64" i="16" s="1"/>
  <c r="BW65" i="16" s="1"/>
  <c r="BW66" i="16" s="1"/>
  <c r="BW67" i="16" s="1"/>
  <c r="BW68" i="16" s="1"/>
  <c r="BW69" i="16" s="1"/>
  <c r="BW70" i="16" s="1"/>
  <c r="AX63" i="16"/>
  <c r="AX64" i="16" s="1"/>
  <c r="AX65" i="16" s="1"/>
  <c r="AX66" i="16" s="1"/>
  <c r="AX67" i="16" s="1"/>
  <c r="AX68" i="16" s="1"/>
  <c r="AX69" i="16" s="1"/>
  <c r="AX70" i="16" s="1"/>
  <c r="DO63" i="16"/>
  <c r="DW63" i="16"/>
  <c r="DW64" i="16" s="1"/>
  <c r="DW65" i="16" s="1"/>
  <c r="DW66" i="16" s="1"/>
  <c r="DW67" i="16" s="1"/>
  <c r="DW68" i="16" s="1"/>
  <c r="DW69" i="16" s="1"/>
  <c r="DW70" i="16" s="1"/>
  <c r="DN63" i="14"/>
  <c r="DW63" i="14"/>
  <c r="DW64" i="14" s="1"/>
  <c r="DW65" i="14" s="1"/>
  <c r="DW66" i="14" s="1"/>
  <c r="DW67" i="14" s="1"/>
  <c r="DW68" i="14" s="1"/>
  <c r="DW69" i="14" s="1"/>
  <c r="DW70" i="14" s="1"/>
  <c r="W63" i="13"/>
  <c r="W64" i="13" s="1"/>
  <c r="W65" i="13" s="1"/>
  <c r="W66" i="13" s="1"/>
  <c r="W67" i="13" s="1"/>
  <c r="W68" i="13" s="1"/>
  <c r="W69" i="13" s="1"/>
  <c r="W70" i="13" s="1"/>
  <c r="CO63" i="14"/>
  <c r="BN63" i="14"/>
  <c r="BW63" i="14"/>
  <c r="BW64" i="14" s="1"/>
  <c r="BW65" i="14" s="1"/>
  <c r="BW66" i="14" s="1"/>
  <c r="BW67" i="14" s="1"/>
  <c r="BW68" i="14" s="1"/>
  <c r="BW69" i="14" s="1"/>
  <c r="BW70" i="14" s="1"/>
  <c r="CW63" i="15"/>
  <c r="CW64" i="15" s="1"/>
  <c r="CW65" i="15" s="1"/>
  <c r="CW66" i="15" s="1"/>
  <c r="CW67" i="15" s="1"/>
  <c r="CW68" i="15" s="1"/>
  <c r="CW69" i="15" s="1"/>
  <c r="CW70" i="15" s="1"/>
  <c r="N63" i="16"/>
  <c r="W63" i="16"/>
  <c r="W64" i="16" s="1"/>
  <c r="W65" i="16" s="1"/>
  <c r="W66" i="16" s="1"/>
  <c r="W67" i="16" s="1"/>
  <c r="W68" i="16" s="1"/>
  <c r="W69" i="16" s="1"/>
  <c r="W70" i="16" s="1"/>
  <c r="AJ164" i="16"/>
  <c r="H40" i="12" s="1"/>
  <c r="AJ163" i="16"/>
  <c r="AG164" i="15"/>
  <c r="AG163" i="15"/>
  <c r="AG165" i="15" s="1"/>
  <c r="AG167" i="15" s="1"/>
  <c r="AI163" i="14"/>
  <c r="AI165" i="14" s="1"/>
  <c r="AI167" i="14" s="1"/>
  <c r="AI164" i="14"/>
  <c r="AJ163" i="15"/>
  <c r="AJ165" i="15" s="1"/>
  <c r="AJ167" i="15" s="1"/>
  <c r="AJ164" i="15"/>
  <c r="AG164" i="13"/>
  <c r="AG163" i="13"/>
  <c r="AG165" i="13" s="1"/>
  <c r="AG167" i="13" s="1"/>
  <c r="AI163" i="13"/>
  <c r="AI165" i="13" s="1"/>
  <c r="AI167" i="13" s="1"/>
  <c r="AI164" i="13"/>
  <c r="AH163" i="16"/>
  <c r="AH164" i="16"/>
  <c r="G40" i="12" s="1"/>
  <c r="AI164" i="15"/>
  <c r="AI163" i="15"/>
  <c r="AI165" i="15" s="1"/>
  <c r="AI167" i="15" s="1"/>
  <c r="AH164" i="15"/>
  <c r="AH163" i="15"/>
  <c r="AH165" i="15" s="1"/>
  <c r="AH167" i="15" s="1"/>
  <c r="AK163" i="13"/>
  <c r="AK165" i="13" s="1"/>
  <c r="AK167" i="13" s="1"/>
  <c r="AK164" i="13"/>
  <c r="AK166" i="15"/>
  <c r="AK168" i="15" s="1"/>
  <c r="AG163" i="16"/>
  <c r="AG164" i="16"/>
  <c r="F40" i="12" s="1"/>
  <c r="AK164" i="14"/>
  <c r="AK163" i="14"/>
  <c r="AK165" i="14" s="1"/>
  <c r="AK167" i="14" s="1"/>
  <c r="AJ164" i="14"/>
  <c r="AJ163" i="14"/>
  <c r="AJ165" i="14" s="1"/>
  <c r="AJ167" i="14" s="1"/>
  <c r="AG164" i="14"/>
  <c r="AG163" i="14"/>
  <c r="AG165" i="14" s="1"/>
  <c r="AG167" i="14" s="1"/>
  <c r="AH164" i="13"/>
  <c r="AH163" i="13"/>
  <c r="AH165" i="13" s="1"/>
  <c r="AH167" i="13" s="1"/>
  <c r="AJ163" i="13"/>
  <c r="AJ165" i="13" s="1"/>
  <c r="AJ167" i="13" s="1"/>
  <c r="AJ164" i="13"/>
  <c r="AI164" i="16"/>
  <c r="E40" i="12" s="1"/>
  <c r="AI163" i="16"/>
  <c r="AH163" i="14"/>
  <c r="AH165" i="14" s="1"/>
  <c r="AH167" i="14" s="1"/>
  <c r="AH164" i="14"/>
  <c r="BM63" i="15"/>
  <c r="BO63" i="15" s="1"/>
  <c r="BM73" i="15"/>
  <c r="DN63" i="16"/>
  <c r="CO78" i="13"/>
  <c r="CT78" i="13" s="1"/>
  <c r="CW63" i="14"/>
  <c r="CW64" i="14" s="1"/>
  <c r="CW65" i="14" s="1"/>
  <c r="CW66" i="14" s="1"/>
  <c r="CW67" i="14" s="1"/>
  <c r="CW68" i="14" s="1"/>
  <c r="CW69" i="14" s="1"/>
  <c r="CW70" i="14" s="1"/>
  <c r="CW71" i="14" s="1"/>
  <c r="CW72" i="14" s="1"/>
  <c r="O63" i="16"/>
  <c r="O76" i="13"/>
  <c r="T76" i="13" s="1"/>
  <c r="N63" i="15"/>
  <c r="AN71" i="16"/>
  <c r="AN76" i="13"/>
  <c r="AS76" i="13" s="1"/>
  <c r="O76" i="14"/>
  <c r="O76" i="15"/>
  <c r="BN76" i="13"/>
  <c r="BS76" i="13" s="1"/>
  <c r="BO71" i="14"/>
  <c r="BN63" i="13"/>
  <c r="BS63" i="13" s="1"/>
  <c r="AO63" i="14"/>
  <c r="BO63" i="16"/>
  <c r="O73" i="14"/>
  <c r="DO76" i="13"/>
  <c r="DT76" i="13" s="1"/>
  <c r="CN76" i="13"/>
  <c r="CS76" i="13" s="1"/>
  <c r="AN63" i="14"/>
  <c r="AN71" i="13"/>
  <c r="AS71" i="13" s="1"/>
  <c r="DN76" i="13"/>
  <c r="DS76" i="13" s="1"/>
  <c r="CO63" i="16"/>
  <c r="DN78" i="13"/>
  <c r="DS78" i="13" s="1"/>
  <c r="BM76" i="15"/>
  <c r="BN76" i="14"/>
  <c r="BO63" i="13"/>
  <c r="BT63" i="13" s="1"/>
  <c r="N71" i="15"/>
  <c r="CO73" i="16"/>
  <c r="N73" i="16"/>
  <c r="AO73" i="16"/>
  <c r="AO63" i="13"/>
  <c r="AT63" i="13" s="1"/>
  <c r="O63" i="14"/>
  <c r="AO76" i="14"/>
  <c r="AN63" i="13"/>
  <c r="AS63" i="13" s="1"/>
  <c r="CN63" i="13"/>
  <c r="CS63" i="13" s="1"/>
  <c r="N63" i="14"/>
  <c r="CN73" i="16"/>
  <c r="CO71" i="13"/>
  <c r="CT71" i="13" s="1"/>
  <c r="BN73" i="13"/>
  <c r="BS73" i="13" s="1"/>
  <c r="AN76" i="14"/>
  <c r="O76" i="16"/>
  <c r="DO63" i="13"/>
  <c r="DT63" i="13" s="1"/>
  <c r="O63" i="13"/>
  <c r="T63" i="13" s="1"/>
  <c r="DO63" i="14"/>
  <c r="O78" i="14"/>
  <c r="O71" i="15"/>
  <c r="DN71" i="13"/>
  <c r="DS71" i="13" s="1"/>
  <c r="CN71" i="13"/>
  <c r="CS71" i="13" s="1"/>
  <c r="BO73" i="14"/>
  <c r="O73" i="16"/>
  <c r="BO76" i="13"/>
  <c r="BT76" i="13" s="1"/>
  <c r="DN63" i="13"/>
  <c r="DS63" i="13" s="1"/>
  <c r="N63" i="13"/>
  <c r="S63" i="13" s="1"/>
  <c r="K143" i="9"/>
  <c r="AM63" i="15"/>
  <c r="J143" i="9"/>
  <c r="DM63" i="15"/>
  <c r="DO76" i="16"/>
  <c r="DN76" i="16"/>
  <c r="DO76" i="14"/>
  <c r="AO76" i="16"/>
  <c r="DM71" i="15"/>
  <c r="DM76" i="15"/>
  <c r="BO63" i="14"/>
  <c r="J151" i="9"/>
  <c r="J156" i="9"/>
  <c r="AM76" i="15"/>
  <c r="CO76" i="13"/>
  <c r="CT76" i="13" s="1"/>
  <c r="CO71" i="14"/>
  <c r="K151" i="9"/>
  <c r="CN71" i="14"/>
  <c r="AM71" i="15"/>
  <c r="DO73" i="16"/>
  <c r="DN73" i="14"/>
  <c r="AO71" i="14"/>
  <c r="DO71" i="13"/>
  <c r="DT71" i="13" s="1"/>
  <c r="DN71" i="14"/>
  <c r="CM71" i="15"/>
  <c r="BO73" i="13"/>
  <c r="BT73" i="13" s="1"/>
  <c r="AN71" i="14"/>
  <c r="AN78" i="13"/>
  <c r="AS78" i="13" s="1"/>
  <c r="O71" i="16"/>
  <c r="AO71" i="13"/>
  <c r="AT71" i="13" s="1"/>
  <c r="O71" i="13"/>
  <c r="T71" i="13" s="1"/>
  <c r="CN73" i="13"/>
  <c r="CS73" i="13" s="1"/>
  <c r="DO78" i="13"/>
  <c r="DT78" i="13" s="1"/>
  <c r="CO73" i="14"/>
  <c r="AO73" i="14"/>
  <c r="CM73" i="15"/>
  <c r="BO71" i="13"/>
  <c r="BT71" i="13" s="1"/>
  <c r="BO71" i="16"/>
  <c r="DO71" i="16"/>
  <c r="AN73" i="14"/>
  <c r="DM73" i="15"/>
  <c r="BM78" i="15"/>
  <c r="CO73" i="13"/>
  <c r="CT73" i="13" s="1"/>
  <c r="AM73" i="15"/>
  <c r="AN73" i="15" s="1"/>
  <c r="J153" i="9"/>
  <c r="AO78" i="13"/>
  <c r="AT78" i="13" s="1"/>
  <c r="DO73" i="13"/>
  <c r="DT73" i="13" s="1"/>
  <c r="AO73" i="13"/>
  <c r="AT73" i="13" s="1"/>
  <c r="O78" i="13"/>
  <c r="T78" i="13" s="1"/>
  <c r="DN73" i="13"/>
  <c r="DS73" i="13" s="1"/>
  <c r="CM78" i="15"/>
  <c r="O73" i="15"/>
  <c r="O78" i="15"/>
  <c r="BN78" i="16"/>
  <c r="R24" i="2"/>
  <c r="Q42" i="2"/>
  <c r="R20" i="8" s="1"/>
  <c r="N78" i="13"/>
  <c r="S78" i="13" s="1"/>
  <c r="J69" i="2"/>
  <c r="Y20" i="2"/>
  <c r="X22" i="2"/>
  <c r="AF20" i="2"/>
  <c r="AE22" i="2"/>
  <c r="AE42" i="2" s="1"/>
  <c r="R29" i="2"/>
  <c r="AM78" i="15"/>
  <c r="AN78" i="16"/>
  <c r="CN78" i="14"/>
  <c r="DN78" i="14"/>
  <c r="K158" i="9"/>
  <c r="CO78" i="14"/>
  <c r="DO78" i="14"/>
  <c r="DM78" i="15"/>
  <c r="AO78" i="14"/>
  <c r="BO78" i="13"/>
  <c r="BT78" i="13" s="1"/>
  <c r="BN78" i="13"/>
  <c r="BS78" i="13" s="1"/>
  <c r="O78" i="16"/>
  <c r="BO78" i="14"/>
  <c r="DN65" i="15"/>
  <c r="DO65" i="15"/>
  <c r="AN65" i="15"/>
  <c r="AO65" i="15"/>
  <c r="CN65" i="15"/>
  <c r="CO65" i="15"/>
  <c r="BN65" i="15"/>
  <c r="BO65" i="15"/>
  <c r="BN77" i="15"/>
  <c r="BO77" i="15"/>
  <c r="CN77" i="15"/>
  <c r="CO77" i="15"/>
  <c r="DN77" i="15"/>
  <c r="DO77" i="15"/>
  <c r="AN77" i="15"/>
  <c r="AO77" i="15"/>
  <c r="CN75" i="15"/>
  <c r="CO75" i="15"/>
  <c r="AN75" i="15"/>
  <c r="AO75" i="15"/>
  <c r="BN75" i="15"/>
  <c r="BO75" i="15"/>
  <c r="DN75" i="15"/>
  <c r="DO75" i="15"/>
  <c r="DN74" i="15"/>
  <c r="DO74" i="15"/>
  <c r="BN74" i="15"/>
  <c r="BO74" i="15"/>
  <c r="CN74" i="15"/>
  <c r="CO74" i="15"/>
  <c r="AN74" i="15"/>
  <c r="AO74" i="15"/>
  <c r="CN72" i="15"/>
  <c r="CO72" i="15"/>
  <c r="DN72" i="15"/>
  <c r="DO72" i="15"/>
  <c r="AN72" i="15"/>
  <c r="AO72" i="15"/>
  <c r="BN72" i="15"/>
  <c r="BO72" i="15"/>
  <c r="BN71" i="15"/>
  <c r="AN69" i="15"/>
  <c r="AO69" i="15"/>
  <c r="BN69" i="15"/>
  <c r="BO69" i="15"/>
  <c r="DN69" i="15"/>
  <c r="DO69" i="15"/>
  <c r="CN69" i="15"/>
  <c r="CO69" i="15"/>
  <c r="AN68" i="15"/>
  <c r="AO68" i="15"/>
  <c r="BN68" i="15"/>
  <c r="BO68" i="15"/>
  <c r="CN68" i="15"/>
  <c r="CO68" i="15"/>
  <c r="DN68" i="15"/>
  <c r="DO68" i="15"/>
  <c r="AN67" i="15"/>
  <c r="AO67" i="15"/>
  <c r="CN67" i="15"/>
  <c r="CO67" i="15"/>
  <c r="BN67" i="15"/>
  <c r="BO67" i="15"/>
  <c r="DN67" i="15"/>
  <c r="DO67" i="15"/>
  <c r="DN64" i="15"/>
  <c r="DO64" i="15"/>
  <c r="AN64" i="15"/>
  <c r="AO64" i="15"/>
  <c r="BN64" i="15"/>
  <c r="BO64" i="15"/>
  <c r="CN64" i="15"/>
  <c r="CO64" i="15"/>
  <c r="AW64" i="16"/>
  <c r="AW65" i="16" s="1"/>
  <c r="AW66" i="16" s="1"/>
  <c r="AW67" i="16" s="1"/>
  <c r="AW68" i="16" s="1"/>
  <c r="AW69" i="16" s="1"/>
  <c r="AW70" i="16" s="1"/>
  <c r="BC126" i="13"/>
  <c r="BI126" i="13" s="1"/>
  <c r="AE121" i="13"/>
  <c r="AK121" i="13" s="1"/>
  <c r="BC125" i="16"/>
  <c r="BI125" i="16" s="1"/>
  <c r="AR113" i="14"/>
  <c r="AE113" i="14"/>
  <c r="DL113" i="15"/>
  <c r="CY113" i="15"/>
  <c r="BC117" i="15"/>
  <c r="BI117" i="15" s="1"/>
  <c r="BC122" i="13"/>
  <c r="BI122" i="13" s="1"/>
  <c r="BC121" i="15"/>
  <c r="BI121" i="15" s="1"/>
  <c r="CY124" i="13"/>
  <c r="DE124" i="13" s="1"/>
  <c r="AE123" i="14"/>
  <c r="AK123" i="14" s="1"/>
  <c r="G119" i="15"/>
  <c r="M119" i="15" s="1"/>
  <c r="AE119" i="16"/>
  <c r="AK119" i="16" s="1"/>
  <c r="CY120" i="13"/>
  <c r="DE120" i="13" s="1"/>
  <c r="BC120" i="13"/>
  <c r="BI120" i="13" s="1"/>
  <c r="G123" i="15"/>
  <c r="M123" i="15" s="1"/>
  <c r="BC123" i="15"/>
  <c r="BI123" i="15" s="1"/>
  <c r="CA123" i="16"/>
  <c r="CG123" i="16" s="1"/>
  <c r="G128" i="13"/>
  <c r="M128" i="13" s="1"/>
  <c r="CN113" i="13"/>
  <c r="CA113" i="13"/>
  <c r="BP113" i="13"/>
  <c r="BC113" i="13"/>
  <c r="BC128" i="14"/>
  <c r="BI128" i="14" s="1"/>
  <c r="G114" i="15"/>
  <c r="M114" i="15" s="1"/>
  <c r="AE114" i="15"/>
  <c r="AK114" i="15" s="1"/>
  <c r="CY114" i="15"/>
  <c r="DE114" i="15" s="1"/>
  <c r="G114" i="16"/>
  <c r="M114" i="16" s="1"/>
  <c r="AE114" i="16"/>
  <c r="AK114" i="16" s="1"/>
  <c r="CY114" i="16"/>
  <c r="DE114" i="16" s="1"/>
  <c r="CY127" i="16"/>
  <c r="DE127" i="16" s="1"/>
  <c r="CY115" i="13"/>
  <c r="DE115" i="13" s="1"/>
  <c r="CA115" i="13"/>
  <c r="CG115" i="13" s="1"/>
  <c r="AE114" i="14"/>
  <c r="AK114" i="14" s="1"/>
  <c r="BC114" i="14"/>
  <c r="BI114" i="14" s="1"/>
  <c r="G128" i="15"/>
  <c r="M128" i="15" s="1"/>
  <c r="AE128" i="15"/>
  <c r="AK128" i="15" s="1"/>
  <c r="CY128" i="15"/>
  <c r="DE128" i="15" s="1"/>
  <c r="G128" i="16"/>
  <c r="M128" i="16" s="1"/>
  <c r="CA128" i="16"/>
  <c r="CG128" i="16" s="1"/>
  <c r="CA99" i="14"/>
  <c r="CG99" i="14" s="1"/>
  <c r="BC99" i="13"/>
  <c r="BI99" i="13" s="1"/>
  <c r="AE99" i="15"/>
  <c r="AK99" i="15" s="1"/>
  <c r="G91" i="14"/>
  <c r="M91" i="14" s="1"/>
  <c r="CA91" i="15"/>
  <c r="CG91" i="15" s="1"/>
  <c r="G95" i="14"/>
  <c r="M95" i="14" s="1"/>
  <c r="CA95" i="15"/>
  <c r="CG95" i="15" s="1"/>
  <c r="BC95" i="16"/>
  <c r="BI95" i="16" s="1"/>
  <c r="CY103" i="14"/>
  <c r="DE103" i="14" s="1"/>
  <c r="CA103" i="15"/>
  <c r="CG103" i="15" s="1"/>
  <c r="BC101" i="13"/>
  <c r="BI101" i="13" s="1"/>
  <c r="AE101" i="14"/>
  <c r="AK101" i="14" s="1"/>
  <c r="CA101" i="14"/>
  <c r="CG101" i="14" s="1"/>
  <c r="BC101" i="15"/>
  <c r="BI101" i="15" s="1"/>
  <c r="AE101" i="16"/>
  <c r="AK101" i="16" s="1"/>
  <c r="CA101" i="16"/>
  <c r="CG101" i="16" s="1"/>
  <c r="BC97" i="13"/>
  <c r="BI97" i="13" s="1"/>
  <c r="CY97" i="13"/>
  <c r="DE97" i="13" s="1"/>
  <c r="AE97" i="14"/>
  <c r="AK97" i="14" s="1"/>
  <c r="CA97" i="14"/>
  <c r="CG97" i="14" s="1"/>
  <c r="G97" i="15"/>
  <c r="M97" i="15" s="1"/>
  <c r="CY97" i="15"/>
  <c r="DE97" i="15" s="1"/>
  <c r="AE97" i="16"/>
  <c r="AK97" i="16" s="1"/>
  <c r="CA97" i="16"/>
  <c r="CG97" i="16" s="1"/>
  <c r="G99" i="13"/>
  <c r="M99" i="13" s="1"/>
  <c r="AE92" i="13"/>
  <c r="AK92" i="13" s="1"/>
  <c r="BC92" i="13"/>
  <c r="BI92" i="13" s="1"/>
  <c r="CA92" i="13"/>
  <c r="CG92" i="13" s="1"/>
  <c r="CY92" i="13"/>
  <c r="DE92" i="13" s="1"/>
  <c r="G92" i="14"/>
  <c r="M92" i="14" s="1"/>
  <c r="AE92" i="14"/>
  <c r="AK92" i="14" s="1"/>
  <c r="BC92" i="14"/>
  <c r="BI92" i="14" s="1"/>
  <c r="CA92" i="14"/>
  <c r="CG92" i="14" s="1"/>
  <c r="CY92" i="14"/>
  <c r="DE92" i="14" s="1"/>
  <c r="G92" i="15"/>
  <c r="M92" i="15" s="1"/>
  <c r="AE92" i="15"/>
  <c r="AK92" i="15" s="1"/>
  <c r="BC92" i="15"/>
  <c r="BI92" i="15" s="1"/>
  <c r="CA92" i="15"/>
  <c r="CG92" i="15" s="1"/>
  <c r="CY92" i="15"/>
  <c r="DE92" i="15" s="1"/>
  <c r="G92" i="16"/>
  <c r="M92" i="16" s="1"/>
  <c r="AE92" i="16"/>
  <c r="AK92" i="16" s="1"/>
  <c r="BC92" i="16"/>
  <c r="BI92" i="16" s="1"/>
  <c r="CA92" i="16"/>
  <c r="CG92" i="16" s="1"/>
  <c r="CY92" i="16"/>
  <c r="DE92" i="16" s="1"/>
  <c r="G97" i="13"/>
  <c r="M97" i="13" s="1"/>
  <c r="AE94" i="13"/>
  <c r="AK94" i="13" s="1"/>
  <c r="BC94" i="13"/>
  <c r="BI94" i="13" s="1"/>
  <c r="CA94" i="13"/>
  <c r="CG94" i="13" s="1"/>
  <c r="CY94" i="13"/>
  <c r="DE94" i="13" s="1"/>
  <c r="G94" i="14"/>
  <c r="M94" i="14" s="1"/>
  <c r="AE94" i="14"/>
  <c r="AK94" i="14" s="1"/>
  <c r="BC94" i="14"/>
  <c r="BI94" i="14" s="1"/>
  <c r="CA94" i="14"/>
  <c r="CG94" i="14" s="1"/>
  <c r="CY94" i="14"/>
  <c r="DE94" i="14" s="1"/>
  <c r="AE94" i="15"/>
  <c r="AK94" i="15" s="1"/>
  <c r="BC94" i="15"/>
  <c r="BI94" i="15" s="1"/>
  <c r="CA94" i="15"/>
  <c r="CG94" i="15" s="1"/>
  <c r="CY94" i="15"/>
  <c r="DE94" i="15" s="1"/>
  <c r="G94" i="16"/>
  <c r="M94" i="16" s="1"/>
  <c r="AE94" i="16"/>
  <c r="AK94" i="16" s="1"/>
  <c r="BC94" i="16"/>
  <c r="BI94" i="16" s="1"/>
  <c r="CA94" i="16"/>
  <c r="CG94" i="16" s="1"/>
  <c r="CY94" i="16"/>
  <c r="DE94" i="16" s="1"/>
  <c r="T113" i="13"/>
  <c r="G113" i="13"/>
  <c r="AE125" i="15"/>
  <c r="AK125" i="15" s="1"/>
  <c r="G125" i="14"/>
  <c r="M125" i="14" s="1"/>
  <c r="AR113" i="13"/>
  <c r="AE113" i="13"/>
  <c r="BC117" i="14"/>
  <c r="BI117" i="14" s="1"/>
  <c r="CA126" i="13"/>
  <c r="CG126" i="13" s="1"/>
  <c r="CY125" i="15"/>
  <c r="DE125" i="15" s="1"/>
  <c r="CA125" i="16"/>
  <c r="CG125" i="16" s="1"/>
  <c r="CA114" i="13"/>
  <c r="CG114" i="13" s="1"/>
  <c r="BP113" i="14"/>
  <c r="BC113" i="14"/>
  <c r="AR113" i="15"/>
  <c r="AE113" i="15"/>
  <c r="T113" i="16"/>
  <c r="G113" i="16"/>
  <c r="DL113" i="16"/>
  <c r="CY113" i="16"/>
  <c r="CA117" i="15"/>
  <c r="CG117" i="15" s="1"/>
  <c r="BC117" i="16"/>
  <c r="BI117" i="16" s="1"/>
  <c r="AE117" i="13"/>
  <c r="AK117" i="13" s="1"/>
  <c r="G121" i="14"/>
  <c r="M121" i="14" s="1"/>
  <c r="CY121" i="14"/>
  <c r="DE121" i="14" s="1"/>
  <c r="CA121" i="15"/>
  <c r="CG121" i="15" s="1"/>
  <c r="BC121" i="16"/>
  <c r="BI121" i="16" s="1"/>
  <c r="G119" i="13"/>
  <c r="M119" i="13" s="1"/>
  <c r="CY116" i="13"/>
  <c r="DE116" i="13" s="1"/>
  <c r="BC116" i="13"/>
  <c r="BI116" i="13" s="1"/>
  <c r="AE115" i="14"/>
  <c r="AK115" i="14" s="1"/>
  <c r="CA127" i="14"/>
  <c r="CG127" i="14" s="1"/>
  <c r="G127" i="15"/>
  <c r="M127" i="15" s="1"/>
  <c r="BC127" i="15"/>
  <c r="BI127" i="15" s="1"/>
  <c r="CY127" i="15"/>
  <c r="DE127" i="15" s="1"/>
  <c r="AE127" i="16"/>
  <c r="AK127" i="16" s="1"/>
  <c r="CA127" i="16"/>
  <c r="CG127" i="16" s="1"/>
  <c r="AE123" i="13"/>
  <c r="AK123" i="13" s="1"/>
  <c r="CA128" i="13"/>
  <c r="CG128" i="13" s="1"/>
  <c r="G127" i="14"/>
  <c r="M127" i="14" s="1"/>
  <c r="BC127" i="14"/>
  <c r="BI127" i="14" s="1"/>
  <c r="CY115" i="14"/>
  <c r="DE115" i="14" s="1"/>
  <c r="AE115" i="15"/>
  <c r="AK115" i="15" s="1"/>
  <c r="CA115" i="15"/>
  <c r="CG115" i="15" s="1"/>
  <c r="G115" i="16"/>
  <c r="M115" i="16" s="1"/>
  <c r="BC115" i="16"/>
  <c r="BI115" i="16" s="1"/>
  <c r="CY115" i="16"/>
  <c r="DE115" i="16" s="1"/>
  <c r="G124" i="13"/>
  <c r="M124" i="13" s="1"/>
  <c r="AE124" i="13"/>
  <c r="AK124" i="13" s="1"/>
  <c r="CY125" i="13"/>
  <c r="DE125" i="13" s="1"/>
  <c r="CA125" i="13"/>
  <c r="CG125" i="13" s="1"/>
  <c r="BC125" i="13"/>
  <c r="BI125" i="13" s="1"/>
  <c r="G124" i="14"/>
  <c r="M124" i="14" s="1"/>
  <c r="AE124" i="14"/>
  <c r="AK124" i="14" s="1"/>
  <c r="BC124" i="14"/>
  <c r="BI124" i="14" s="1"/>
  <c r="CA118" i="14"/>
  <c r="CG118" i="14" s="1"/>
  <c r="CY118" i="14"/>
  <c r="DE118" i="14" s="1"/>
  <c r="G118" i="15"/>
  <c r="M118" i="15" s="1"/>
  <c r="AE118" i="15"/>
  <c r="AK118" i="15" s="1"/>
  <c r="BC118" i="15"/>
  <c r="BI118" i="15" s="1"/>
  <c r="CA118" i="15"/>
  <c r="CG118" i="15" s="1"/>
  <c r="CY118" i="15"/>
  <c r="DE118" i="15" s="1"/>
  <c r="G118" i="16"/>
  <c r="M118" i="16" s="1"/>
  <c r="AE118" i="16"/>
  <c r="AK118" i="16" s="1"/>
  <c r="BC118" i="16"/>
  <c r="BI118" i="16" s="1"/>
  <c r="CA118" i="16"/>
  <c r="CG118" i="16" s="1"/>
  <c r="CY118" i="16"/>
  <c r="DE118" i="16" s="1"/>
  <c r="G126" i="13"/>
  <c r="M126" i="13" s="1"/>
  <c r="AE126" i="13"/>
  <c r="AK126" i="13" s="1"/>
  <c r="CY127" i="13"/>
  <c r="DE127" i="13" s="1"/>
  <c r="CA127" i="13"/>
  <c r="CG127" i="13" s="1"/>
  <c r="BC127" i="13"/>
  <c r="BI127" i="13" s="1"/>
  <c r="G126" i="14"/>
  <c r="M126" i="14" s="1"/>
  <c r="AE126" i="14"/>
  <c r="AK126" i="14" s="1"/>
  <c r="BC126" i="14"/>
  <c r="BI126" i="14" s="1"/>
  <c r="CA116" i="14"/>
  <c r="CG116" i="14" s="1"/>
  <c r="CY116" i="14"/>
  <c r="DE116" i="14" s="1"/>
  <c r="G116" i="15"/>
  <c r="M116" i="15" s="1"/>
  <c r="AE116" i="15"/>
  <c r="AK116" i="15" s="1"/>
  <c r="BC116" i="15"/>
  <c r="BI116" i="15" s="1"/>
  <c r="CA116" i="15"/>
  <c r="CG116" i="15" s="1"/>
  <c r="CY116" i="15"/>
  <c r="DE116" i="15" s="1"/>
  <c r="G116" i="16"/>
  <c r="M116" i="16" s="1"/>
  <c r="AE116" i="16"/>
  <c r="AK116" i="16" s="1"/>
  <c r="BC116" i="16"/>
  <c r="BI116" i="16" s="1"/>
  <c r="CA116" i="16"/>
  <c r="CG116" i="16" s="1"/>
  <c r="CY116" i="16"/>
  <c r="DE116" i="16" s="1"/>
  <c r="BC99" i="15"/>
  <c r="BI99" i="15" s="1"/>
  <c r="CY99" i="14"/>
  <c r="DE99" i="14" s="1"/>
  <c r="AE99" i="14"/>
  <c r="AK99" i="14" s="1"/>
  <c r="G94" i="13"/>
  <c r="M94" i="13" s="1"/>
  <c r="G99" i="16"/>
  <c r="M99" i="16" s="1"/>
  <c r="BC91" i="13"/>
  <c r="BI91" i="13" s="1"/>
  <c r="AE91" i="14"/>
  <c r="AK91" i="14" s="1"/>
  <c r="G91" i="15"/>
  <c r="M91" i="15" s="1"/>
  <c r="CY91" i="15"/>
  <c r="DE91" i="15" s="1"/>
  <c r="CA91" i="16"/>
  <c r="CG91" i="16" s="1"/>
  <c r="BC95" i="13"/>
  <c r="BI95" i="13" s="1"/>
  <c r="AE95" i="14"/>
  <c r="AK95" i="14" s="1"/>
  <c r="G95" i="15"/>
  <c r="M95" i="15" s="1"/>
  <c r="CY95" i="15"/>
  <c r="DE95" i="15" s="1"/>
  <c r="CA95" i="16"/>
  <c r="CG95" i="16" s="1"/>
  <c r="BC103" i="13"/>
  <c r="BI103" i="13" s="1"/>
  <c r="AE103" i="14"/>
  <c r="AK103" i="14" s="1"/>
  <c r="G103" i="15"/>
  <c r="M103" i="15" s="1"/>
  <c r="CY103" i="15"/>
  <c r="DE103" i="15" s="1"/>
  <c r="CA103" i="16"/>
  <c r="CG103" i="16" s="1"/>
  <c r="AE93" i="13"/>
  <c r="AK93" i="13" s="1"/>
  <c r="CA93" i="13"/>
  <c r="CG93" i="13" s="1"/>
  <c r="G93" i="14"/>
  <c r="M93" i="14" s="1"/>
  <c r="BC93" i="14"/>
  <c r="BI93" i="14" s="1"/>
  <c r="CY93" i="14"/>
  <c r="DE93" i="14" s="1"/>
  <c r="AE93" i="15"/>
  <c r="AK93" i="15" s="1"/>
  <c r="CA93" i="15"/>
  <c r="CG93" i="15" s="1"/>
  <c r="G93" i="16"/>
  <c r="M93" i="16" s="1"/>
  <c r="BC93" i="16"/>
  <c r="BI93" i="16" s="1"/>
  <c r="CY93" i="16"/>
  <c r="DE93" i="16" s="1"/>
  <c r="AE89" i="13"/>
  <c r="AK89" i="13" s="1"/>
  <c r="CA89" i="13"/>
  <c r="CG89" i="13" s="1"/>
  <c r="G89" i="14"/>
  <c r="M89" i="14" s="1"/>
  <c r="BC89" i="14"/>
  <c r="BI89" i="14" s="1"/>
  <c r="CY89" i="14"/>
  <c r="DE89" i="14" s="1"/>
  <c r="AE89" i="15"/>
  <c r="AK89" i="15" s="1"/>
  <c r="CA89" i="15"/>
  <c r="CG89" i="15" s="1"/>
  <c r="G89" i="16"/>
  <c r="M89" i="16" s="1"/>
  <c r="BC89" i="16"/>
  <c r="BI89" i="16" s="1"/>
  <c r="CY89" i="16"/>
  <c r="DE89" i="16" s="1"/>
  <c r="G95" i="13"/>
  <c r="M95" i="13" s="1"/>
  <c r="AE96" i="13"/>
  <c r="AK96" i="13" s="1"/>
  <c r="BC96" i="13"/>
  <c r="BI96" i="13" s="1"/>
  <c r="CA96" i="13"/>
  <c r="CG96" i="13" s="1"/>
  <c r="CY96" i="13"/>
  <c r="DE96" i="13" s="1"/>
  <c r="G96" i="14"/>
  <c r="M96" i="14" s="1"/>
  <c r="AE96" i="14"/>
  <c r="AK96" i="14" s="1"/>
  <c r="BC96" i="14"/>
  <c r="BI96" i="14" s="1"/>
  <c r="CA96" i="14"/>
  <c r="CG96" i="14" s="1"/>
  <c r="CY96" i="14"/>
  <c r="DE96" i="14" s="1"/>
  <c r="G96" i="15"/>
  <c r="M96" i="15" s="1"/>
  <c r="AE96" i="15"/>
  <c r="AK96" i="15" s="1"/>
  <c r="BC96" i="15"/>
  <c r="BI96" i="15" s="1"/>
  <c r="CA96" i="15"/>
  <c r="CG96" i="15" s="1"/>
  <c r="CY96" i="15"/>
  <c r="DE96" i="15" s="1"/>
  <c r="G96" i="16"/>
  <c r="M96" i="16" s="1"/>
  <c r="AE96" i="16"/>
  <c r="AK96" i="16" s="1"/>
  <c r="BC96" i="16"/>
  <c r="BI96" i="16" s="1"/>
  <c r="CA96" i="16"/>
  <c r="CG96" i="16" s="1"/>
  <c r="CY96" i="16"/>
  <c r="DE96" i="16" s="1"/>
  <c r="G93" i="13"/>
  <c r="M93" i="13" s="1"/>
  <c r="AE98" i="13"/>
  <c r="AK98" i="13" s="1"/>
  <c r="BC98" i="13"/>
  <c r="BI98" i="13" s="1"/>
  <c r="CA98" i="13"/>
  <c r="CG98" i="13" s="1"/>
  <c r="CY98" i="13"/>
  <c r="DE98" i="13" s="1"/>
  <c r="G98" i="14"/>
  <c r="M98" i="14" s="1"/>
  <c r="AE98" i="14"/>
  <c r="AK98" i="14" s="1"/>
  <c r="BC98" i="14"/>
  <c r="BI98" i="14" s="1"/>
  <c r="CA98" i="14"/>
  <c r="CG98" i="14" s="1"/>
  <c r="CY98" i="14"/>
  <c r="DE98" i="14" s="1"/>
  <c r="G98" i="15"/>
  <c r="M98" i="15" s="1"/>
  <c r="AE98" i="15"/>
  <c r="AK98" i="15" s="1"/>
  <c r="BC98" i="15"/>
  <c r="BI98" i="15" s="1"/>
  <c r="CA98" i="15"/>
  <c r="CG98" i="15" s="1"/>
  <c r="CY98" i="15"/>
  <c r="DE98" i="15" s="1"/>
  <c r="G98" i="16"/>
  <c r="M98" i="16" s="1"/>
  <c r="AE98" i="16"/>
  <c r="AK98" i="16" s="1"/>
  <c r="BC98" i="16"/>
  <c r="BI98" i="16" s="1"/>
  <c r="CA98" i="16"/>
  <c r="CG98" i="16" s="1"/>
  <c r="CY98" i="16"/>
  <c r="DE98" i="16" s="1"/>
  <c r="G117" i="14"/>
  <c r="M117" i="14" s="1"/>
  <c r="CY114" i="13"/>
  <c r="DE114" i="13" s="1"/>
  <c r="CN113" i="16"/>
  <c r="CN114" i="16" s="1"/>
  <c r="CN115" i="16" s="1"/>
  <c r="CA113" i="16"/>
  <c r="G117" i="13"/>
  <c r="M117" i="13" s="1"/>
  <c r="AE121" i="16"/>
  <c r="AK121" i="16" s="1"/>
  <c r="BC124" i="13"/>
  <c r="BI124" i="13" s="1"/>
  <c r="BC119" i="15"/>
  <c r="BI119" i="15" s="1"/>
  <c r="G115" i="13"/>
  <c r="M115" i="13" s="1"/>
  <c r="AE119" i="14"/>
  <c r="AK119" i="14" s="1"/>
  <c r="CY123" i="15"/>
  <c r="DE123" i="15" s="1"/>
  <c r="AE128" i="13"/>
  <c r="AK128" i="13" s="1"/>
  <c r="G128" i="14"/>
  <c r="M128" i="14" s="1"/>
  <c r="CY114" i="14"/>
  <c r="DE114" i="14" s="1"/>
  <c r="BC114" i="15"/>
  <c r="BI114" i="15" s="1"/>
  <c r="CA114" i="16"/>
  <c r="CG114" i="16" s="1"/>
  <c r="AE114" i="13"/>
  <c r="AK114" i="13" s="1"/>
  <c r="G114" i="14"/>
  <c r="M114" i="14" s="1"/>
  <c r="CY128" i="14"/>
  <c r="DE128" i="14" s="1"/>
  <c r="BC128" i="15"/>
  <c r="BI128" i="15" s="1"/>
  <c r="BC128" i="16"/>
  <c r="BI128" i="16" s="1"/>
  <c r="CA99" i="16"/>
  <c r="CG99" i="16" s="1"/>
  <c r="CY91" i="14"/>
  <c r="DE91" i="14" s="1"/>
  <c r="AE95" i="13"/>
  <c r="AK95" i="13" s="1"/>
  <c r="AE103" i="13"/>
  <c r="AK103" i="13" s="1"/>
  <c r="G92" i="13"/>
  <c r="M92" i="13" s="1"/>
  <c r="CY101" i="15"/>
  <c r="DE101" i="15" s="1"/>
  <c r="W13" i="8"/>
  <c r="V13" i="8"/>
  <c r="CA118" i="13"/>
  <c r="CG118" i="13" s="1"/>
  <c r="G121" i="13"/>
  <c r="M121" i="13" s="1"/>
  <c r="BC125" i="14"/>
  <c r="BI125" i="14" s="1"/>
  <c r="CY118" i="13"/>
  <c r="DE118" i="13" s="1"/>
  <c r="CY125" i="14"/>
  <c r="DE125" i="14" s="1"/>
  <c r="AE125" i="14"/>
  <c r="AK125" i="14" s="1"/>
  <c r="G125" i="16"/>
  <c r="M125" i="16" s="1"/>
  <c r="G125" i="13"/>
  <c r="M125" i="13" s="1"/>
  <c r="BC114" i="13"/>
  <c r="BI114" i="13" s="1"/>
  <c r="CN113" i="14"/>
  <c r="CA113" i="14"/>
  <c r="BP113" i="15"/>
  <c r="BC113" i="15"/>
  <c r="AR113" i="16"/>
  <c r="AR114" i="16" s="1"/>
  <c r="AE113" i="16"/>
  <c r="G117" i="15"/>
  <c r="M117" i="15" s="1"/>
  <c r="CY117" i="15"/>
  <c r="DE117" i="15" s="1"/>
  <c r="CA117" i="16"/>
  <c r="CG117" i="16" s="1"/>
  <c r="CY122" i="13"/>
  <c r="DE122" i="13" s="1"/>
  <c r="AE121" i="14"/>
  <c r="AK121" i="14" s="1"/>
  <c r="G121" i="15"/>
  <c r="M121" i="15" s="1"/>
  <c r="CY121" i="15"/>
  <c r="DE121" i="15" s="1"/>
  <c r="CA121" i="16"/>
  <c r="CG121" i="16" s="1"/>
  <c r="AE127" i="13"/>
  <c r="AK127" i="13" s="1"/>
  <c r="CA124" i="13"/>
  <c r="CG124" i="13" s="1"/>
  <c r="G123" i="14"/>
  <c r="M123" i="14" s="1"/>
  <c r="BC123" i="14"/>
  <c r="BI123" i="14" s="1"/>
  <c r="CY119" i="14"/>
  <c r="DE119" i="14" s="1"/>
  <c r="AE119" i="15"/>
  <c r="AK119" i="15" s="1"/>
  <c r="CA119" i="15"/>
  <c r="CG119" i="15" s="1"/>
  <c r="G119" i="16"/>
  <c r="M119" i="16" s="1"/>
  <c r="BC119" i="16"/>
  <c r="BI119" i="16" s="1"/>
  <c r="CY119" i="16"/>
  <c r="DE119" i="16" s="1"/>
  <c r="AE115" i="13"/>
  <c r="AK115" i="13" s="1"/>
  <c r="CA120" i="13"/>
  <c r="CG120" i="13" s="1"/>
  <c r="G119" i="14"/>
  <c r="M119" i="14" s="1"/>
  <c r="BC119" i="14"/>
  <c r="BI119" i="14" s="1"/>
  <c r="CY123" i="14"/>
  <c r="DE123" i="14" s="1"/>
  <c r="AE123" i="15"/>
  <c r="AK123" i="15" s="1"/>
  <c r="CA123" i="15"/>
  <c r="CG123" i="15" s="1"/>
  <c r="G123" i="16"/>
  <c r="M123" i="16" s="1"/>
  <c r="BC123" i="16"/>
  <c r="BI123" i="16" s="1"/>
  <c r="CY123" i="16"/>
  <c r="DE123" i="16" s="1"/>
  <c r="G120" i="13"/>
  <c r="M120" i="13" s="1"/>
  <c r="AE120" i="13"/>
  <c r="AK120" i="13" s="1"/>
  <c r="CY121" i="13"/>
  <c r="DE121" i="13" s="1"/>
  <c r="CA121" i="13"/>
  <c r="CG121" i="13" s="1"/>
  <c r="BC121" i="13"/>
  <c r="BI121" i="13" s="1"/>
  <c r="G120" i="14"/>
  <c r="M120" i="14" s="1"/>
  <c r="AE120" i="14"/>
  <c r="AK120" i="14" s="1"/>
  <c r="BC120" i="14"/>
  <c r="BI120" i="14" s="1"/>
  <c r="CA122" i="14"/>
  <c r="CG122" i="14" s="1"/>
  <c r="CY122" i="14"/>
  <c r="DE122" i="14" s="1"/>
  <c r="G122" i="15"/>
  <c r="M122" i="15" s="1"/>
  <c r="AE122" i="15"/>
  <c r="AK122" i="15" s="1"/>
  <c r="BC122" i="15"/>
  <c r="BI122" i="15" s="1"/>
  <c r="CA122" i="15"/>
  <c r="CG122" i="15" s="1"/>
  <c r="CY122" i="15"/>
  <c r="DE122" i="15" s="1"/>
  <c r="G122" i="16"/>
  <c r="M122" i="16" s="1"/>
  <c r="AE122" i="16"/>
  <c r="AK122" i="16" s="1"/>
  <c r="BC122" i="16"/>
  <c r="BI122" i="16" s="1"/>
  <c r="CA122" i="16"/>
  <c r="CG122" i="16" s="1"/>
  <c r="CY122" i="16"/>
  <c r="DE122" i="16" s="1"/>
  <c r="G122" i="13"/>
  <c r="M122" i="13" s="1"/>
  <c r="AE122" i="13"/>
  <c r="AK122" i="13" s="1"/>
  <c r="CY123" i="13"/>
  <c r="DE123" i="13" s="1"/>
  <c r="CA123" i="13"/>
  <c r="CG123" i="13" s="1"/>
  <c r="BC123" i="13"/>
  <c r="BI123" i="13" s="1"/>
  <c r="G122" i="14"/>
  <c r="M122" i="14" s="1"/>
  <c r="AE122" i="14"/>
  <c r="AK122" i="14" s="1"/>
  <c r="BC122" i="14"/>
  <c r="BI122" i="14" s="1"/>
  <c r="CA120" i="14"/>
  <c r="CG120" i="14" s="1"/>
  <c r="CY120" i="14"/>
  <c r="DE120" i="14" s="1"/>
  <c r="G120" i="15"/>
  <c r="M120" i="15" s="1"/>
  <c r="AE120" i="15"/>
  <c r="AK120" i="15" s="1"/>
  <c r="BC120" i="15"/>
  <c r="BI120" i="15" s="1"/>
  <c r="CA120" i="15"/>
  <c r="CG120" i="15" s="1"/>
  <c r="CY120" i="15"/>
  <c r="DE120" i="15" s="1"/>
  <c r="G120" i="16"/>
  <c r="M120" i="16" s="1"/>
  <c r="AE120" i="16"/>
  <c r="AK120" i="16" s="1"/>
  <c r="BC120" i="16"/>
  <c r="BI120" i="16" s="1"/>
  <c r="CA120" i="16"/>
  <c r="CG120" i="16" s="1"/>
  <c r="CY120" i="16"/>
  <c r="DE120" i="16" s="1"/>
  <c r="AE99" i="16"/>
  <c r="AK99" i="16" s="1"/>
  <c r="CA99" i="15"/>
  <c r="CG99" i="15" s="1"/>
  <c r="G99" i="15"/>
  <c r="M99" i="15" s="1"/>
  <c r="CA99" i="13"/>
  <c r="CG99" i="13" s="1"/>
  <c r="CY99" i="16"/>
  <c r="DE99" i="16" s="1"/>
  <c r="CA91" i="13"/>
  <c r="CG91" i="13" s="1"/>
  <c r="BC91" i="14"/>
  <c r="BI91" i="14" s="1"/>
  <c r="AE91" i="15"/>
  <c r="AK91" i="15" s="1"/>
  <c r="G91" i="16"/>
  <c r="M91" i="16" s="1"/>
  <c r="CY91" i="16"/>
  <c r="DE91" i="16" s="1"/>
  <c r="CA95" i="13"/>
  <c r="CG95" i="13" s="1"/>
  <c r="BC95" i="14"/>
  <c r="BI95" i="14" s="1"/>
  <c r="AE95" i="15"/>
  <c r="AK95" i="15" s="1"/>
  <c r="G95" i="16"/>
  <c r="M95" i="16" s="1"/>
  <c r="CY95" i="16"/>
  <c r="DE95" i="16" s="1"/>
  <c r="CA103" i="13"/>
  <c r="CG103" i="13" s="1"/>
  <c r="BC103" i="14"/>
  <c r="BI103" i="14" s="1"/>
  <c r="AE103" i="15"/>
  <c r="AK103" i="15" s="1"/>
  <c r="G103" i="16"/>
  <c r="M103" i="16" s="1"/>
  <c r="CY103" i="16"/>
  <c r="DE103" i="16" s="1"/>
  <c r="AE101" i="13"/>
  <c r="AK101" i="13" s="1"/>
  <c r="CA101" i="13"/>
  <c r="CG101" i="13" s="1"/>
  <c r="G101" i="14"/>
  <c r="M101" i="14" s="1"/>
  <c r="BC101" i="14"/>
  <c r="BI101" i="14" s="1"/>
  <c r="CY101" i="14"/>
  <c r="DE101" i="14" s="1"/>
  <c r="AE101" i="15"/>
  <c r="AK101" i="15" s="1"/>
  <c r="CA101" i="15"/>
  <c r="CG101" i="15" s="1"/>
  <c r="G101" i="16"/>
  <c r="M101" i="16" s="1"/>
  <c r="BC101" i="16"/>
  <c r="BI101" i="16" s="1"/>
  <c r="CY101" i="16"/>
  <c r="DE101" i="16" s="1"/>
  <c r="AE97" i="13"/>
  <c r="AK97" i="13" s="1"/>
  <c r="CA97" i="13"/>
  <c r="CG97" i="13" s="1"/>
  <c r="G97" i="14"/>
  <c r="M97" i="14" s="1"/>
  <c r="BC97" i="14"/>
  <c r="BI97" i="14" s="1"/>
  <c r="CY97" i="14"/>
  <c r="DE97" i="14" s="1"/>
  <c r="AE97" i="15"/>
  <c r="AK97" i="15" s="1"/>
  <c r="CA97" i="15"/>
  <c r="CG97" i="15" s="1"/>
  <c r="G97" i="16"/>
  <c r="M97" i="16" s="1"/>
  <c r="BC97" i="16"/>
  <c r="BI97" i="16" s="1"/>
  <c r="CY97" i="16"/>
  <c r="DE97" i="16" s="1"/>
  <c r="G91" i="13"/>
  <c r="M91" i="13" s="1"/>
  <c r="AE100" i="13"/>
  <c r="AK100" i="13" s="1"/>
  <c r="BC100" i="13"/>
  <c r="BI100" i="13" s="1"/>
  <c r="CA100" i="13"/>
  <c r="CG100" i="13" s="1"/>
  <c r="CY100" i="13"/>
  <c r="DE100" i="13" s="1"/>
  <c r="G100" i="14"/>
  <c r="M100" i="14" s="1"/>
  <c r="AE100" i="14"/>
  <c r="AK100" i="14" s="1"/>
  <c r="BC100" i="14"/>
  <c r="BI100" i="14" s="1"/>
  <c r="CA100" i="14"/>
  <c r="CG100" i="14" s="1"/>
  <c r="CY100" i="14"/>
  <c r="DE100" i="14" s="1"/>
  <c r="G100" i="15"/>
  <c r="M100" i="15" s="1"/>
  <c r="AE100" i="15"/>
  <c r="AK100" i="15" s="1"/>
  <c r="BC100" i="15"/>
  <c r="BI100" i="15" s="1"/>
  <c r="CA100" i="15"/>
  <c r="CG100" i="15" s="1"/>
  <c r="CY100" i="15"/>
  <c r="DE100" i="15" s="1"/>
  <c r="G100" i="16"/>
  <c r="M100" i="16" s="1"/>
  <c r="AE100" i="16"/>
  <c r="AK100" i="16" s="1"/>
  <c r="BC100" i="16"/>
  <c r="BI100" i="16" s="1"/>
  <c r="CA100" i="16"/>
  <c r="CG100" i="16" s="1"/>
  <c r="CY100" i="16"/>
  <c r="DE100" i="16" s="1"/>
  <c r="G89" i="13"/>
  <c r="M89" i="13" s="1"/>
  <c r="AE102" i="13"/>
  <c r="AK102" i="13" s="1"/>
  <c r="BC102" i="13"/>
  <c r="BI102" i="13" s="1"/>
  <c r="CA102" i="13"/>
  <c r="CG102" i="13" s="1"/>
  <c r="CY102" i="13"/>
  <c r="DE102" i="13" s="1"/>
  <c r="G102" i="14"/>
  <c r="M102" i="14" s="1"/>
  <c r="AE102" i="14"/>
  <c r="AK102" i="14" s="1"/>
  <c r="BC102" i="14"/>
  <c r="BI102" i="14" s="1"/>
  <c r="CA102" i="14"/>
  <c r="CG102" i="14" s="1"/>
  <c r="CY102" i="14"/>
  <c r="DE102" i="14" s="1"/>
  <c r="G102" i="15"/>
  <c r="M102" i="15" s="1"/>
  <c r="AE102" i="15"/>
  <c r="AK102" i="15" s="1"/>
  <c r="BC102" i="15"/>
  <c r="BI102" i="15" s="1"/>
  <c r="CA102" i="15"/>
  <c r="CG102" i="15" s="1"/>
  <c r="CY102" i="15"/>
  <c r="DE102" i="15" s="1"/>
  <c r="G102" i="16"/>
  <c r="M102" i="16" s="1"/>
  <c r="AE102" i="16"/>
  <c r="AK102" i="16" s="1"/>
  <c r="BC102" i="16"/>
  <c r="BI102" i="16" s="1"/>
  <c r="CA102" i="16"/>
  <c r="CG102" i="16" s="1"/>
  <c r="CY102" i="16"/>
  <c r="DE102" i="16" s="1"/>
  <c r="CA125" i="14"/>
  <c r="CG125" i="14" s="1"/>
  <c r="BC125" i="15"/>
  <c r="BI125" i="15" s="1"/>
  <c r="G125" i="15"/>
  <c r="M125" i="15" s="1"/>
  <c r="T113" i="15"/>
  <c r="G113" i="15"/>
  <c r="AE117" i="16"/>
  <c r="AK117" i="16" s="1"/>
  <c r="CA121" i="14"/>
  <c r="CG121" i="14" s="1"/>
  <c r="G127" i="13"/>
  <c r="M127" i="13" s="1"/>
  <c r="CA119" i="14"/>
  <c r="CG119" i="14" s="1"/>
  <c r="CY119" i="15"/>
  <c r="DE119" i="15" s="1"/>
  <c r="CA119" i="16"/>
  <c r="CG119" i="16" s="1"/>
  <c r="CA123" i="14"/>
  <c r="CG123" i="14" s="1"/>
  <c r="AE123" i="16"/>
  <c r="AK123" i="16" s="1"/>
  <c r="DL113" i="13"/>
  <c r="CY113" i="13"/>
  <c r="AE128" i="14"/>
  <c r="AK128" i="14" s="1"/>
  <c r="CA114" i="14"/>
  <c r="CG114" i="14" s="1"/>
  <c r="CA114" i="15"/>
  <c r="CG114" i="15" s="1"/>
  <c r="BC114" i="16"/>
  <c r="BI114" i="16" s="1"/>
  <c r="G114" i="13"/>
  <c r="M114" i="13" s="1"/>
  <c r="BC115" i="13"/>
  <c r="BI115" i="13" s="1"/>
  <c r="CA128" i="14"/>
  <c r="CG128" i="14" s="1"/>
  <c r="CA128" i="15"/>
  <c r="CG128" i="15" s="1"/>
  <c r="AE128" i="16"/>
  <c r="AK128" i="16" s="1"/>
  <c r="CY128" i="16"/>
  <c r="DE128" i="16" s="1"/>
  <c r="G99" i="14"/>
  <c r="M99" i="14" s="1"/>
  <c r="AE91" i="13"/>
  <c r="AK91" i="13" s="1"/>
  <c r="BC91" i="16"/>
  <c r="BI91" i="16" s="1"/>
  <c r="CY95" i="14"/>
  <c r="DE95" i="14" s="1"/>
  <c r="G103" i="14"/>
  <c r="M103" i="14" s="1"/>
  <c r="BC103" i="16"/>
  <c r="BI103" i="16" s="1"/>
  <c r="CY101" i="13"/>
  <c r="DE101" i="13" s="1"/>
  <c r="G101" i="15"/>
  <c r="M101" i="15" s="1"/>
  <c r="G96" i="13"/>
  <c r="M96" i="13" s="1"/>
  <c r="BC97" i="15"/>
  <c r="BI97" i="15" s="1"/>
  <c r="G94" i="15"/>
  <c r="M94" i="15" s="1"/>
  <c r="AE117" i="14"/>
  <c r="AK117" i="14" s="1"/>
  <c r="CY126" i="13"/>
  <c r="DE126" i="13" s="1"/>
  <c r="CY117" i="14"/>
  <c r="DE117" i="14" s="1"/>
  <c r="BC118" i="13"/>
  <c r="BI118" i="13" s="1"/>
  <c r="CA125" i="15"/>
  <c r="CG125" i="15" s="1"/>
  <c r="CA117" i="14"/>
  <c r="CG117" i="14" s="1"/>
  <c r="AE125" i="16"/>
  <c r="AK125" i="16" s="1"/>
  <c r="AE125" i="13"/>
  <c r="AK125" i="13" s="1"/>
  <c r="T113" i="14"/>
  <c r="G113" i="14"/>
  <c r="DL113" i="14"/>
  <c r="CY113" i="14"/>
  <c r="CN113" i="15"/>
  <c r="CA113" i="15"/>
  <c r="BP113" i="16"/>
  <c r="BC113" i="16"/>
  <c r="AE117" i="15"/>
  <c r="AK117" i="15" s="1"/>
  <c r="G117" i="16"/>
  <c r="M117" i="16" s="1"/>
  <c r="CY117" i="16"/>
  <c r="DE117" i="16" s="1"/>
  <c r="CA122" i="13"/>
  <c r="CG122" i="13" s="1"/>
  <c r="BC121" i="14"/>
  <c r="BI121" i="14" s="1"/>
  <c r="AE121" i="15"/>
  <c r="AK121" i="15" s="1"/>
  <c r="G121" i="16"/>
  <c r="M121" i="16" s="1"/>
  <c r="CY121" i="16"/>
  <c r="DE121" i="16" s="1"/>
  <c r="AE119" i="13"/>
  <c r="AK119" i="13" s="1"/>
  <c r="CA116" i="13"/>
  <c r="CG116" i="13" s="1"/>
  <c r="G115" i="14"/>
  <c r="M115" i="14" s="1"/>
  <c r="BC115" i="14"/>
  <c r="BI115" i="14" s="1"/>
  <c r="CY127" i="14"/>
  <c r="DE127" i="14" s="1"/>
  <c r="AE127" i="15"/>
  <c r="AK127" i="15" s="1"/>
  <c r="CA127" i="15"/>
  <c r="CG127" i="15" s="1"/>
  <c r="G127" i="16"/>
  <c r="M127" i="16" s="1"/>
  <c r="BC127" i="16"/>
  <c r="BI127" i="16" s="1"/>
  <c r="G123" i="13"/>
  <c r="M123" i="13" s="1"/>
  <c r="CY128" i="13"/>
  <c r="DE128" i="13" s="1"/>
  <c r="BC128" i="13"/>
  <c r="BI128" i="13" s="1"/>
  <c r="AE127" i="14"/>
  <c r="AK127" i="14" s="1"/>
  <c r="CA115" i="14"/>
  <c r="CG115" i="14" s="1"/>
  <c r="G115" i="15"/>
  <c r="M115" i="15" s="1"/>
  <c r="BC115" i="15"/>
  <c r="BI115" i="15" s="1"/>
  <c r="CY115" i="15"/>
  <c r="DE115" i="15" s="1"/>
  <c r="AE115" i="16"/>
  <c r="AK115" i="16" s="1"/>
  <c r="CA115" i="16"/>
  <c r="CG115" i="16" s="1"/>
  <c r="CY125" i="16"/>
  <c r="DE125" i="16" s="1"/>
  <c r="G116" i="13"/>
  <c r="M116" i="13" s="1"/>
  <c r="AE116" i="13"/>
  <c r="AK116" i="13" s="1"/>
  <c r="CY117" i="13"/>
  <c r="DE117" i="13" s="1"/>
  <c r="CA117" i="13"/>
  <c r="CG117" i="13" s="1"/>
  <c r="BC117" i="13"/>
  <c r="BI117" i="13" s="1"/>
  <c r="G116" i="14"/>
  <c r="M116" i="14" s="1"/>
  <c r="AE116" i="14"/>
  <c r="AK116" i="14" s="1"/>
  <c r="BC116" i="14"/>
  <c r="BI116" i="14" s="1"/>
  <c r="CA126" i="14"/>
  <c r="CG126" i="14" s="1"/>
  <c r="CY126" i="14"/>
  <c r="DE126" i="14" s="1"/>
  <c r="G126" i="15"/>
  <c r="M126" i="15" s="1"/>
  <c r="AE126" i="15"/>
  <c r="AK126" i="15" s="1"/>
  <c r="BC126" i="15"/>
  <c r="BI126" i="15" s="1"/>
  <c r="CA126" i="15"/>
  <c r="CG126" i="15" s="1"/>
  <c r="CY126" i="15"/>
  <c r="DE126" i="15" s="1"/>
  <c r="G126" i="16"/>
  <c r="M126" i="16" s="1"/>
  <c r="AE126" i="16"/>
  <c r="AK126" i="16" s="1"/>
  <c r="BC126" i="16"/>
  <c r="BI126" i="16" s="1"/>
  <c r="CA126" i="16"/>
  <c r="CG126" i="16" s="1"/>
  <c r="CY126" i="16"/>
  <c r="DE126" i="16" s="1"/>
  <c r="G118" i="13"/>
  <c r="M118" i="13" s="1"/>
  <c r="AE118" i="13"/>
  <c r="AK118" i="13" s="1"/>
  <c r="CY119" i="13"/>
  <c r="DE119" i="13" s="1"/>
  <c r="CA119" i="13"/>
  <c r="CG119" i="13" s="1"/>
  <c r="BC119" i="13"/>
  <c r="BI119" i="13" s="1"/>
  <c r="G118" i="14"/>
  <c r="M118" i="14" s="1"/>
  <c r="AE118" i="14"/>
  <c r="AK118" i="14" s="1"/>
  <c r="BC118" i="14"/>
  <c r="BI118" i="14" s="1"/>
  <c r="CA124" i="14"/>
  <c r="CG124" i="14" s="1"/>
  <c r="CY124" i="14"/>
  <c r="DE124" i="14" s="1"/>
  <c r="G124" i="15"/>
  <c r="M124" i="15" s="1"/>
  <c r="AE124" i="15"/>
  <c r="AK124" i="15" s="1"/>
  <c r="BC124" i="15"/>
  <c r="BI124" i="15" s="1"/>
  <c r="CA124" i="15"/>
  <c r="CG124" i="15" s="1"/>
  <c r="CY124" i="15"/>
  <c r="DE124" i="15" s="1"/>
  <c r="G124" i="16"/>
  <c r="M124" i="16" s="1"/>
  <c r="AE124" i="16"/>
  <c r="AK124" i="16" s="1"/>
  <c r="BC124" i="16"/>
  <c r="BI124" i="16" s="1"/>
  <c r="CA124" i="16"/>
  <c r="CG124" i="16" s="1"/>
  <c r="CY124" i="16"/>
  <c r="DE124" i="16" s="1"/>
  <c r="CY99" i="13"/>
  <c r="DE99" i="13" s="1"/>
  <c r="AE99" i="13"/>
  <c r="AK99" i="13" s="1"/>
  <c r="BC99" i="16"/>
  <c r="BI99" i="16" s="1"/>
  <c r="CY99" i="15"/>
  <c r="DE99" i="15" s="1"/>
  <c r="BC99" i="14"/>
  <c r="BI99" i="14" s="1"/>
  <c r="G102" i="13"/>
  <c r="M102" i="13" s="1"/>
  <c r="CY91" i="13"/>
  <c r="DE91" i="13" s="1"/>
  <c r="CA91" i="14"/>
  <c r="CG91" i="14" s="1"/>
  <c r="BC91" i="15"/>
  <c r="BI91" i="15" s="1"/>
  <c r="AE91" i="16"/>
  <c r="AK91" i="16" s="1"/>
  <c r="G98" i="13"/>
  <c r="M98" i="13" s="1"/>
  <c r="CY95" i="13"/>
  <c r="DE95" i="13" s="1"/>
  <c r="CA95" i="14"/>
  <c r="CG95" i="14" s="1"/>
  <c r="BC95" i="15"/>
  <c r="BI95" i="15" s="1"/>
  <c r="AE95" i="16"/>
  <c r="AK95" i="16" s="1"/>
  <c r="G90" i="13"/>
  <c r="M90" i="13" s="1"/>
  <c r="CY103" i="13"/>
  <c r="DE103" i="13" s="1"/>
  <c r="CA103" i="14"/>
  <c r="CG103" i="14" s="1"/>
  <c r="BC103" i="15"/>
  <c r="BI103" i="15" s="1"/>
  <c r="AE103" i="16"/>
  <c r="AK103" i="16" s="1"/>
  <c r="G100" i="13"/>
  <c r="M100" i="13" s="1"/>
  <c r="BC93" i="13"/>
  <c r="BI93" i="13" s="1"/>
  <c r="CY93" i="13"/>
  <c r="DE93" i="13" s="1"/>
  <c r="AE93" i="14"/>
  <c r="AK93" i="14" s="1"/>
  <c r="CA93" i="14"/>
  <c r="CG93" i="14" s="1"/>
  <c r="G93" i="15"/>
  <c r="M93" i="15" s="1"/>
  <c r="BC93" i="15"/>
  <c r="BI93" i="15" s="1"/>
  <c r="CY93" i="15"/>
  <c r="DE93" i="15" s="1"/>
  <c r="AE93" i="16"/>
  <c r="AK93" i="16" s="1"/>
  <c r="CA93" i="16"/>
  <c r="CG93" i="16" s="1"/>
  <c r="T88" i="13"/>
  <c r="G88" i="13"/>
  <c r="BC89" i="13"/>
  <c r="BI89" i="13" s="1"/>
  <c r="CY89" i="13"/>
  <c r="DE89" i="13" s="1"/>
  <c r="AE89" i="14"/>
  <c r="AK89" i="14" s="1"/>
  <c r="CA89" i="14"/>
  <c r="CG89" i="14" s="1"/>
  <c r="G89" i="15"/>
  <c r="M89" i="15" s="1"/>
  <c r="BC89" i="15"/>
  <c r="BI89" i="15" s="1"/>
  <c r="CY89" i="15"/>
  <c r="DE89" i="15" s="1"/>
  <c r="AE89" i="16"/>
  <c r="AK89" i="16" s="1"/>
  <c r="CA89" i="16"/>
  <c r="CG89" i="16" s="1"/>
  <c r="G103" i="13"/>
  <c r="M103" i="13" s="1"/>
  <c r="AR88" i="13"/>
  <c r="AE88" i="13"/>
  <c r="BP88" i="13"/>
  <c r="BC88" i="13"/>
  <c r="CN88" i="13"/>
  <c r="CA88" i="13"/>
  <c r="DL88" i="13"/>
  <c r="DL89" i="13" s="1"/>
  <c r="CY88" i="13"/>
  <c r="T88" i="14"/>
  <c r="G88" i="14"/>
  <c r="AR88" i="14"/>
  <c r="AE88" i="14"/>
  <c r="BP88" i="14"/>
  <c r="BC88" i="14"/>
  <c r="CN88" i="14"/>
  <c r="CA88" i="14"/>
  <c r="DL88" i="14"/>
  <c r="CY88" i="14"/>
  <c r="T88" i="15"/>
  <c r="G88" i="15"/>
  <c r="AR88" i="15"/>
  <c r="AE88" i="15"/>
  <c r="BP88" i="15"/>
  <c r="BP89" i="15" s="1"/>
  <c r="BC88" i="15"/>
  <c r="CN88" i="15"/>
  <c r="CA88" i="15"/>
  <c r="DL88" i="15"/>
  <c r="CY88" i="15"/>
  <c r="T88" i="16"/>
  <c r="G88" i="16"/>
  <c r="AR88" i="16"/>
  <c r="AR89" i="16" s="1"/>
  <c r="AE88" i="16"/>
  <c r="BP88" i="16"/>
  <c r="BC88" i="16"/>
  <c r="CN88" i="16"/>
  <c r="CA88" i="16"/>
  <c r="DL88" i="16"/>
  <c r="CY88" i="16"/>
  <c r="G101" i="13"/>
  <c r="M101" i="13" s="1"/>
  <c r="AE90" i="13"/>
  <c r="AK90" i="13" s="1"/>
  <c r="BC90" i="13"/>
  <c r="BI90" i="13" s="1"/>
  <c r="CA90" i="13"/>
  <c r="CG90" i="13" s="1"/>
  <c r="CY90" i="13"/>
  <c r="DE90" i="13" s="1"/>
  <c r="G90" i="14"/>
  <c r="M90" i="14" s="1"/>
  <c r="AE90" i="14"/>
  <c r="AK90" i="14" s="1"/>
  <c r="BC90" i="14"/>
  <c r="BI90" i="14" s="1"/>
  <c r="CA90" i="14"/>
  <c r="CG90" i="14" s="1"/>
  <c r="CY90" i="14"/>
  <c r="DE90" i="14" s="1"/>
  <c r="G90" i="15"/>
  <c r="M90" i="15" s="1"/>
  <c r="AE90" i="15"/>
  <c r="AK90" i="15" s="1"/>
  <c r="BP90" i="15"/>
  <c r="BP91" i="15" s="1"/>
  <c r="BC90" i="15"/>
  <c r="BI90" i="15" s="1"/>
  <c r="CA90" i="15"/>
  <c r="CG90" i="15" s="1"/>
  <c r="CY90" i="15"/>
  <c r="DE90" i="15" s="1"/>
  <c r="G90" i="16"/>
  <c r="M90" i="16" s="1"/>
  <c r="AE90" i="16"/>
  <c r="AK90" i="16" s="1"/>
  <c r="BC90" i="16"/>
  <c r="BI90" i="16" s="1"/>
  <c r="CA90" i="16"/>
  <c r="CG90" i="16" s="1"/>
  <c r="CY90" i="16"/>
  <c r="DE90" i="16" s="1"/>
  <c r="R17" i="2"/>
  <c r="S16" i="8" s="1"/>
  <c r="R22" i="2"/>
  <c r="R20" i="2"/>
  <c r="T14" i="8"/>
  <c r="Y16" i="2"/>
  <c r="U14" i="8" s="1"/>
  <c r="AE18" i="2"/>
  <c r="V17" i="8" s="1"/>
  <c r="K17" i="2"/>
  <c r="Q16" i="8" s="1"/>
  <c r="CX51" i="16"/>
  <c r="CX41" i="16"/>
  <c r="BZ50" i="16"/>
  <c r="BZ42" i="16"/>
  <c r="CX48" i="14"/>
  <c r="CX39" i="14"/>
  <c r="CX38" i="14"/>
  <c r="BZ53" i="14"/>
  <c r="BZ46" i="14"/>
  <c r="BZ42" i="14"/>
  <c r="BZ39" i="14"/>
  <c r="BB44" i="14"/>
  <c r="CX51" i="13"/>
  <c r="CX40" i="13"/>
  <c r="CX38" i="13"/>
  <c r="BZ50" i="13"/>
  <c r="BZ46" i="13"/>
  <c r="BZ42" i="13"/>
  <c r="BB53" i="13"/>
  <c r="F50" i="16"/>
  <c r="AD47" i="16"/>
  <c r="F42" i="16"/>
  <c r="F49" i="15"/>
  <c r="AD39" i="15"/>
  <c r="AD52" i="14"/>
  <c r="AD50" i="14"/>
  <c r="F49" i="14"/>
  <c r="F44" i="14"/>
  <c r="AD51" i="13"/>
  <c r="AD47" i="13"/>
  <c r="AD43" i="13"/>
  <c r="AD39" i="13"/>
  <c r="F52" i="13"/>
  <c r="F44" i="13"/>
  <c r="F39" i="13"/>
  <c r="CX50" i="16"/>
  <c r="CX40" i="16"/>
  <c r="BZ49" i="16"/>
  <c r="BZ41" i="16"/>
  <c r="BB53" i="16"/>
  <c r="BB51" i="16"/>
  <c r="BB49" i="16"/>
  <c r="BB47" i="16"/>
  <c r="BB45" i="16"/>
  <c r="BB43" i="16"/>
  <c r="BB41" i="16"/>
  <c r="BB39" i="16"/>
  <c r="BB38" i="16"/>
  <c r="BZ39" i="15"/>
  <c r="CX53" i="14"/>
  <c r="CX47" i="14"/>
  <c r="BZ41" i="14"/>
  <c r="BB48" i="14"/>
  <c r="CX46" i="13"/>
  <c r="BB52" i="13"/>
  <c r="BB48" i="13"/>
  <c r="BB44" i="13"/>
  <c r="AD48" i="16"/>
  <c r="AD41" i="16"/>
  <c r="F50" i="15"/>
  <c r="F43" i="15"/>
  <c r="F50" i="14"/>
  <c r="AD43" i="14"/>
  <c r="F42" i="14"/>
  <c r="AD40" i="14"/>
  <c r="CX48" i="16"/>
  <c r="CX43" i="16"/>
  <c r="BZ47" i="16"/>
  <c r="BZ39" i="16"/>
  <c r="BZ52" i="15"/>
  <c r="BZ47" i="15"/>
  <c r="BZ42" i="15"/>
  <c r="BZ38" i="15"/>
  <c r="CX44" i="14"/>
  <c r="BB49" i="14"/>
  <c r="BB43" i="14"/>
  <c r="CX47" i="13"/>
  <c r="CX43" i="13"/>
  <c r="BB49" i="13"/>
  <c r="BB45" i="13"/>
  <c r="BB41" i="13"/>
  <c r="F51" i="16"/>
  <c r="F46" i="16"/>
  <c r="F43" i="16"/>
  <c r="AD40" i="16"/>
  <c r="AD53" i="15"/>
  <c r="F52" i="15"/>
  <c r="AD50" i="15"/>
  <c r="F46" i="15"/>
  <c r="F42" i="15"/>
  <c r="AD53" i="14"/>
  <c r="F52" i="14"/>
  <c r="AD47" i="14"/>
  <c r="AD42" i="14"/>
  <c r="AD39" i="14"/>
  <c r="F49" i="13"/>
  <c r="F41" i="13"/>
  <c r="CX42" i="13"/>
  <c r="BB40" i="13"/>
  <c r="CX53" i="16"/>
  <c r="CX45" i="16"/>
  <c r="BZ52" i="16"/>
  <c r="BZ44" i="16"/>
  <c r="CX53" i="15"/>
  <c r="CX51" i="15"/>
  <c r="CX49" i="15"/>
  <c r="CX47" i="15"/>
  <c r="CX45" i="15"/>
  <c r="CX43" i="15"/>
  <c r="CX41" i="15"/>
  <c r="CX39" i="15"/>
  <c r="CX38" i="15"/>
  <c r="BZ49" i="15"/>
  <c r="BZ44" i="15"/>
  <c r="BB52" i="15"/>
  <c r="BB50" i="15"/>
  <c r="BB48" i="15"/>
  <c r="BB46" i="15"/>
  <c r="BB44" i="15"/>
  <c r="BB42" i="15"/>
  <c r="BB40" i="15"/>
  <c r="CX50" i="14"/>
  <c r="CX41" i="14"/>
  <c r="BZ52" i="14"/>
  <c r="BZ49" i="14"/>
  <c r="BZ45" i="14"/>
  <c r="BB42" i="14"/>
  <c r="CX50" i="13"/>
  <c r="CX39" i="13"/>
  <c r="BZ53" i="13"/>
  <c r="BZ49" i="13"/>
  <c r="BZ45" i="13"/>
  <c r="BZ41" i="13"/>
  <c r="BB38" i="13"/>
  <c r="AD53" i="16"/>
  <c r="AD52" i="16"/>
  <c r="AD44" i="16"/>
  <c r="AD47" i="15"/>
  <c r="AD44" i="15"/>
  <c r="AD40" i="15"/>
  <c r="AD45" i="14"/>
  <c r="AD50" i="13"/>
  <c r="AD46" i="13"/>
  <c r="AD42" i="13"/>
  <c r="F46" i="13"/>
  <c r="BB41" i="14"/>
  <c r="F47" i="16"/>
  <c r="AD48" i="15"/>
  <c r="CX52" i="16"/>
  <c r="CX44" i="16"/>
  <c r="BZ51" i="16"/>
  <c r="BZ43" i="16"/>
  <c r="BZ48" i="15"/>
  <c r="CX52" i="14"/>
  <c r="CX49" i="14"/>
  <c r="CX46" i="14"/>
  <c r="CX40" i="14"/>
  <c r="BZ51" i="14"/>
  <c r="BZ40" i="14"/>
  <c r="BB52" i="14"/>
  <c r="BB47" i="14"/>
  <c r="CX45" i="13"/>
  <c r="CX41" i="13"/>
  <c r="BZ38" i="13"/>
  <c r="BB51" i="13"/>
  <c r="BB47" i="13"/>
  <c r="BB43" i="13"/>
  <c r="BB39" i="13"/>
  <c r="F48" i="16"/>
  <c r="AD42" i="16"/>
  <c r="F39" i="16"/>
  <c r="AD38" i="16"/>
  <c r="AD38" i="15"/>
  <c r="F53" i="14"/>
  <c r="F51" i="14"/>
  <c r="F40" i="14"/>
  <c r="F53" i="13"/>
  <c r="F45" i="13"/>
  <c r="CX49" i="16"/>
  <c r="BZ48" i="16"/>
  <c r="BZ40" i="16"/>
  <c r="CX52" i="15"/>
  <c r="CX50" i="15"/>
  <c r="CX48" i="15"/>
  <c r="CX46" i="15"/>
  <c r="CX44" i="15"/>
  <c r="CX42" i="15"/>
  <c r="CX40" i="15"/>
  <c r="BZ53" i="15"/>
  <c r="BZ43" i="15"/>
  <c r="BB53" i="15"/>
  <c r="BB51" i="15"/>
  <c r="BB49" i="15"/>
  <c r="BB47" i="15"/>
  <c r="BB45" i="15"/>
  <c r="BB43" i="15"/>
  <c r="BB41" i="15"/>
  <c r="BB39" i="15"/>
  <c r="BB38" i="15"/>
  <c r="BZ47" i="14"/>
  <c r="BZ43" i="14"/>
  <c r="BZ38" i="14"/>
  <c r="BB51" i="14"/>
  <c r="BB46" i="14"/>
  <c r="BB39" i="14"/>
  <c r="CX52" i="13"/>
  <c r="BZ51" i="13"/>
  <c r="BZ47" i="13"/>
  <c r="BZ43" i="13"/>
  <c r="F53" i="16"/>
  <c r="CX46" i="16"/>
  <c r="BZ46" i="16"/>
  <c r="BB50" i="16"/>
  <c r="BB42" i="16"/>
  <c r="BZ40" i="13"/>
  <c r="BB42" i="13"/>
  <c r="AD51" i="16"/>
  <c r="F45" i="16"/>
  <c r="AD51" i="15"/>
  <c r="AD49" i="15"/>
  <c r="F44" i="15"/>
  <c r="AD42" i="15"/>
  <c r="F48" i="14"/>
  <c r="F42" i="13"/>
  <c r="CX42" i="16"/>
  <c r="CX39" i="16"/>
  <c r="BZ53" i="16"/>
  <c r="BZ45" i="15"/>
  <c r="CX42" i="14"/>
  <c r="BZ50" i="14"/>
  <c r="BB45" i="14"/>
  <c r="BZ52" i="13"/>
  <c r="AD46" i="16"/>
  <c r="F53" i="15"/>
  <c r="AD45" i="15"/>
  <c r="F39" i="15"/>
  <c r="F43" i="14"/>
  <c r="AD49" i="13"/>
  <c r="AD44" i="13"/>
  <c r="F51" i="13"/>
  <c r="F48" i="13"/>
  <c r="F41" i="16"/>
  <c r="AD39" i="16"/>
  <c r="F38" i="16"/>
  <c r="F47" i="15"/>
  <c r="AD49" i="14"/>
  <c r="F45" i="14"/>
  <c r="BZ45" i="16"/>
  <c r="BZ39" i="13"/>
  <c r="BB46" i="13"/>
  <c r="AD49" i="16"/>
  <c r="AD43" i="15"/>
  <c r="F40" i="15"/>
  <c r="AD51" i="14"/>
  <c r="F47" i="14"/>
  <c r="AD48" i="13"/>
  <c r="BZ38" i="16"/>
  <c r="BB53" i="14"/>
  <c r="CX44" i="13"/>
  <c r="AD50" i="16"/>
  <c r="F44" i="16"/>
  <c r="F45" i="15"/>
  <c r="AD38" i="13"/>
  <c r="F47" i="13"/>
  <c r="BZ44" i="13"/>
  <c r="BB52" i="16"/>
  <c r="BB44" i="16"/>
  <c r="BZ51" i="15"/>
  <c r="BZ41" i="15"/>
  <c r="CX45" i="14"/>
  <c r="BZ44" i="14"/>
  <c r="BB40" i="14"/>
  <c r="F51" i="15"/>
  <c r="BB46" i="16"/>
  <c r="CX47" i="16"/>
  <c r="BZ50" i="15"/>
  <c r="BZ40" i="15"/>
  <c r="BZ48" i="14"/>
  <c r="BB50" i="14"/>
  <c r="F52" i="16"/>
  <c r="AD45" i="16"/>
  <c r="F48" i="15"/>
  <c r="AD46" i="15"/>
  <c r="AD44" i="14"/>
  <c r="AD52" i="13"/>
  <c r="AD41" i="13"/>
  <c r="F43" i="13"/>
  <c r="F40" i="13"/>
  <c r="CX38" i="16"/>
  <c r="BB48" i="16"/>
  <c r="BB40" i="16"/>
  <c r="BZ46" i="15"/>
  <c r="CX43" i="14"/>
  <c r="BZ48" i="13"/>
  <c r="BB50" i="13"/>
  <c r="F49" i="16"/>
  <c r="F41" i="15"/>
  <c r="AD48" i="14"/>
  <c r="AD46" i="14"/>
  <c r="AD41" i="14"/>
  <c r="AD38" i="14"/>
  <c r="F38" i="14"/>
  <c r="CX51" i="14"/>
  <c r="BB38" i="14"/>
  <c r="CX53" i="13"/>
  <c r="CX48" i="13"/>
  <c r="AD43" i="16"/>
  <c r="F40" i="16"/>
  <c r="F38" i="15"/>
  <c r="F46" i="14"/>
  <c r="F41" i="14"/>
  <c r="F39" i="14"/>
  <c r="AD45" i="13"/>
  <c r="AD40" i="13"/>
  <c r="AD53" i="13"/>
  <c r="CX49" i="13"/>
  <c r="AD52" i="15"/>
  <c r="AD41" i="15"/>
  <c r="F50" i="13"/>
  <c r="F38" i="13"/>
  <c r="H47" i="10"/>
  <c r="Y47" i="10" s="1"/>
  <c r="K69" i="22" s="1"/>
  <c r="H52" i="10"/>
  <c r="Y52" i="10" s="1"/>
  <c r="K74" i="22" s="1"/>
  <c r="H48" i="10"/>
  <c r="Y48" i="10" s="1"/>
  <c r="K70" i="22" s="1"/>
  <c r="H44" i="10"/>
  <c r="Y44" i="10" s="1"/>
  <c r="K66" i="22" s="1"/>
  <c r="H40" i="10"/>
  <c r="Y40" i="10" s="1"/>
  <c r="K62" i="22" s="1"/>
  <c r="H54" i="10"/>
  <c r="Y54" i="10" s="1"/>
  <c r="K76" i="22" s="1"/>
  <c r="AF39" i="10"/>
  <c r="H39" i="10"/>
  <c r="H43" i="10"/>
  <c r="Y43" i="10" s="1"/>
  <c r="K65" i="22" s="1"/>
  <c r="H42" i="10"/>
  <c r="Y42" i="10" s="1"/>
  <c r="K64" i="22" s="1"/>
  <c r="H46" i="10"/>
  <c r="Y46" i="10" s="1"/>
  <c r="K68" i="22" s="1"/>
  <c r="H51" i="10"/>
  <c r="Y51" i="10" s="1"/>
  <c r="K73" i="22" s="1"/>
  <c r="H50" i="10"/>
  <c r="Y50" i="10" s="1"/>
  <c r="K72" i="22" s="1"/>
  <c r="H45" i="10"/>
  <c r="Y45" i="10" s="1"/>
  <c r="K67" i="22" s="1"/>
  <c r="H49" i="10"/>
  <c r="Y49" i="10" s="1"/>
  <c r="K71" i="22" s="1"/>
  <c r="H41" i="10"/>
  <c r="Y41" i="10" s="1"/>
  <c r="K63" i="22" s="1"/>
  <c r="H53" i="10"/>
  <c r="Y53" i="10" s="1"/>
  <c r="K75" i="22" s="1"/>
  <c r="K23" i="2"/>
  <c r="K42" i="2" s="1"/>
  <c r="K41" i="2" s="1"/>
  <c r="P20" i="8"/>
  <c r="X18" i="2"/>
  <c r="T17" i="8" s="1"/>
  <c r="CW76" i="16" l="1"/>
  <c r="CW77" i="16" s="1"/>
  <c r="CW78" i="16" s="1"/>
  <c r="U162" i="16" s="1"/>
  <c r="U163" i="16" s="1"/>
  <c r="BO71" i="15"/>
  <c r="CN76" i="15"/>
  <c r="BN63" i="15"/>
  <c r="BX63" i="15" s="1"/>
  <c r="BX64" i="15" s="1"/>
  <c r="BX65" i="15" s="1"/>
  <c r="BX66" i="15" s="1"/>
  <c r="BX67" i="15" s="1"/>
  <c r="BX68" i="15" s="1"/>
  <c r="BX69" i="15" s="1"/>
  <c r="BX70" i="15" s="1"/>
  <c r="BX71" i="15" s="1"/>
  <c r="BX72" i="15" s="1"/>
  <c r="CO63" i="15"/>
  <c r="AW71" i="16"/>
  <c r="AW72" i="16" s="1"/>
  <c r="AW73" i="16" s="1"/>
  <c r="AW74" i="16" s="1"/>
  <c r="AW75" i="16" s="1"/>
  <c r="AW76" i="16" s="1"/>
  <c r="AW77" i="16" s="1"/>
  <c r="AW78" i="16" s="1"/>
  <c r="S162" i="16" s="1"/>
  <c r="S163" i="16" s="1"/>
  <c r="CB88" i="15"/>
  <c r="I13" i="10"/>
  <c r="BW71" i="13"/>
  <c r="BW72" i="13" s="1"/>
  <c r="BW73" i="13" s="1"/>
  <c r="BW74" i="13" s="1"/>
  <c r="BW75" i="13" s="1"/>
  <c r="BW76" i="13" s="1"/>
  <c r="BW77" i="13" s="1"/>
  <c r="BW78" i="13" s="1"/>
  <c r="T162" i="13" s="1"/>
  <c r="T163" i="13" s="1"/>
  <c r="T165" i="13" s="1"/>
  <c r="T167" i="13" s="1"/>
  <c r="CX63" i="15"/>
  <c r="CX64" i="15" s="1"/>
  <c r="CX65" i="15" s="1"/>
  <c r="CX66" i="15" s="1"/>
  <c r="CX67" i="15" s="1"/>
  <c r="CX68" i="15" s="1"/>
  <c r="CX69" i="15" s="1"/>
  <c r="CX70" i="15" s="1"/>
  <c r="AX63" i="14"/>
  <c r="AX64" i="14" s="1"/>
  <c r="AX65" i="14" s="1"/>
  <c r="AX66" i="14" s="1"/>
  <c r="AX67" i="14" s="1"/>
  <c r="AX68" i="14" s="1"/>
  <c r="AX69" i="14" s="1"/>
  <c r="AX70" i="14" s="1"/>
  <c r="AX71" i="14" s="1"/>
  <c r="AX72" i="14" s="1"/>
  <c r="AX73" i="14" s="1"/>
  <c r="AX74" i="14" s="1"/>
  <c r="AX75" i="14" s="1"/>
  <c r="AX76" i="14" s="1"/>
  <c r="AX77" i="14" s="1"/>
  <c r="AX78" i="14" s="1"/>
  <c r="DX63" i="14"/>
  <c r="DX64" i="14" s="1"/>
  <c r="DX65" i="14" s="1"/>
  <c r="DX66" i="14" s="1"/>
  <c r="DX67" i="14" s="1"/>
  <c r="DX68" i="14" s="1"/>
  <c r="DX69" i="14" s="1"/>
  <c r="DX70" i="14" s="1"/>
  <c r="DX71" i="14" s="1"/>
  <c r="DX72" i="14" s="1"/>
  <c r="DX73" i="14" s="1"/>
  <c r="DX74" i="14" s="1"/>
  <c r="DX75" i="14" s="1"/>
  <c r="DX76" i="14" s="1"/>
  <c r="DX77" i="14" s="1"/>
  <c r="DX78" i="14" s="1"/>
  <c r="X63" i="14"/>
  <c r="X64" i="14" s="1"/>
  <c r="X65" i="14" s="1"/>
  <c r="X66" i="14" s="1"/>
  <c r="X67" i="14" s="1"/>
  <c r="X68" i="14" s="1"/>
  <c r="X69" i="14" s="1"/>
  <c r="X70" i="14" s="1"/>
  <c r="X71" i="14" s="1"/>
  <c r="X72" i="14" s="1"/>
  <c r="X73" i="14" s="1"/>
  <c r="X74" i="14" s="1"/>
  <c r="X75" i="14" s="1"/>
  <c r="X76" i="14" s="1"/>
  <c r="X77" i="14" s="1"/>
  <c r="X78" i="14" s="1"/>
  <c r="BW63" i="15"/>
  <c r="BW64" i="15" s="1"/>
  <c r="BW65" i="15" s="1"/>
  <c r="BW66" i="15" s="1"/>
  <c r="BW67" i="15" s="1"/>
  <c r="BW68" i="15" s="1"/>
  <c r="BW69" i="15" s="1"/>
  <c r="BW70" i="15" s="1"/>
  <c r="BW71" i="15" s="1"/>
  <c r="BW72" i="15" s="1"/>
  <c r="BW73" i="15" s="1"/>
  <c r="BW74" i="15" s="1"/>
  <c r="BW75" i="15" s="1"/>
  <c r="BW76" i="15" s="1"/>
  <c r="BW77" i="15" s="1"/>
  <c r="BW78" i="15" s="1"/>
  <c r="T162" i="15" s="1"/>
  <c r="T163" i="15" s="1"/>
  <c r="T165" i="15" s="1"/>
  <c r="T167" i="15" s="1"/>
  <c r="X63" i="13"/>
  <c r="X64" i="13" s="1"/>
  <c r="X65" i="13" s="1"/>
  <c r="X66" i="13" s="1"/>
  <c r="X67" i="13" s="1"/>
  <c r="X68" i="13" s="1"/>
  <c r="X69" i="13" s="1"/>
  <c r="X70" i="13" s="1"/>
  <c r="X71" i="13" s="1"/>
  <c r="X72" i="13" s="1"/>
  <c r="X73" i="13" s="1"/>
  <c r="X74" i="13" s="1"/>
  <c r="X75" i="13" s="1"/>
  <c r="X76" i="13" s="1"/>
  <c r="X77" i="13" s="1"/>
  <c r="X78" i="13" s="1"/>
  <c r="CX63" i="13"/>
  <c r="CX64" i="13" s="1"/>
  <c r="CX65" i="13" s="1"/>
  <c r="CX66" i="13" s="1"/>
  <c r="CX67" i="13" s="1"/>
  <c r="CX68" i="13" s="1"/>
  <c r="CX69" i="13" s="1"/>
  <c r="CX70" i="13" s="1"/>
  <c r="CX71" i="13" s="1"/>
  <c r="CX72" i="13" s="1"/>
  <c r="CX73" i="13" s="1"/>
  <c r="CX74" i="13" s="1"/>
  <c r="CX75" i="13" s="1"/>
  <c r="CX76" i="13" s="1"/>
  <c r="CX77" i="13" s="1"/>
  <c r="CX78" i="13" s="1"/>
  <c r="BX63" i="13"/>
  <c r="BX64" i="13" s="1"/>
  <c r="BX65" i="13" s="1"/>
  <c r="BX66" i="13" s="1"/>
  <c r="BX67" i="13" s="1"/>
  <c r="BX68" i="13" s="1"/>
  <c r="BX69" i="13" s="1"/>
  <c r="BX70" i="13" s="1"/>
  <c r="BX71" i="13" s="1"/>
  <c r="BX72" i="13" s="1"/>
  <c r="BX73" i="13" s="1"/>
  <c r="BX74" i="13" s="1"/>
  <c r="BX75" i="13" s="1"/>
  <c r="BX76" i="13" s="1"/>
  <c r="BX77" i="13" s="1"/>
  <c r="BX78" i="13" s="1"/>
  <c r="DX63" i="16"/>
  <c r="DX64" i="16" s="1"/>
  <c r="DX65" i="16" s="1"/>
  <c r="DX66" i="16" s="1"/>
  <c r="DX67" i="16" s="1"/>
  <c r="DX68" i="16" s="1"/>
  <c r="DX69" i="16" s="1"/>
  <c r="DX70" i="16" s="1"/>
  <c r="DX71" i="16" s="1"/>
  <c r="DX72" i="16" s="1"/>
  <c r="DX73" i="16" s="1"/>
  <c r="DX74" i="16" s="1"/>
  <c r="DX75" i="16" s="1"/>
  <c r="DX76" i="16" s="1"/>
  <c r="DX77" i="16" s="1"/>
  <c r="DX78" i="16" s="1"/>
  <c r="BX63" i="16"/>
  <c r="BX64" i="16" s="1"/>
  <c r="BX65" i="16" s="1"/>
  <c r="BX66" i="16" s="1"/>
  <c r="BX67" i="16" s="1"/>
  <c r="BX68" i="16" s="1"/>
  <c r="BX69" i="16" s="1"/>
  <c r="BX70" i="16" s="1"/>
  <c r="BX71" i="16" s="1"/>
  <c r="BX72" i="16" s="1"/>
  <c r="BX73" i="16" s="1"/>
  <c r="BX74" i="16" s="1"/>
  <c r="BX75" i="16" s="1"/>
  <c r="BX76" i="16" s="1"/>
  <c r="BX77" i="16" s="1"/>
  <c r="BX78" i="16" s="1"/>
  <c r="DW63" i="15"/>
  <c r="DW64" i="15" s="1"/>
  <c r="DW65" i="15" s="1"/>
  <c r="DW66" i="15" s="1"/>
  <c r="DW67" i="15" s="1"/>
  <c r="DW68" i="15" s="1"/>
  <c r="DW69" i="15" s="1"/>
  <c r="DW70" i="15" s="1"/>
  <c r="DW71" i="15" s="1"/>
  <c r="DW72" i="15" s="1"/>
  <c r="DW73" i="15" s="1"/>
  <c r="DW74" i="15" s="1"/>
  <c r="DW75" i="15" s="1"/>
  <c r="DW76" i="15" s="1"/>
  <c r="DW77" i="15" s="1"/>
  <c r="DW78" i="15" s="1"/>
  <c r="V162" i="15" s="1"/>
  <c r="V163" i="15" s="1"/>
  <c r="V165" i="15" s="1"/>
  <c r="V167" i="15" s="1"/>
  <c r="AW63" i="15"/>
  <c r="AW64" i="15" s="1"/>
  <c r="AW65" i="15" s="1"/>
  <c r="AW66" i="15" s="1"/>
  <c r="AW67" i="15" s="1"/>
  <c r="AW68" i="15" s="1"/>
  <c r="AW69" i="15" s="1"/>
  <c r="AW70" i="15" s="1"/>
  <c r="AW71" i="15" s="1"/>
  <c r="AW72" i="15" s="1"/>
  <c r="DX63" i="13"/>
  <c r="DX64" i="13" s="1"/>
  <c r="DX65" i="13" s="1"/>
  <c r="DX66" i="13" s="1"/>
  <c r="DX67" i="13" s="1"/>
  <c r="DX68" i="13" s="1"/>
  <c r="DX69" i="13" s="1"/>
  <c r="DX70" i="13" s="1"/>
  <c r="DX71" i="13" s="1"/>
  <c r="DX72" i="13" s="1"/>
  <c r="DX73" i="13" s="1"/>
  <c r="DX74" i="13" s="1"/>
  <c r="DX75" i="13" s="1"/>
  <c r="DX76" i="13" s="1"/>
  <c r="DX77" i="13" s="1"/>
  <c r="DX78" i="13" s="1"/>
  <c r="AX63" i="13"/>
  <c r="AX64" i="13" s="1"/>
  <c r="AX65" i="13" s="1"/>
  <c r="AX66" i="13" s="1"/>
  <c r="AX67" i="13" s="1"/>
  <c r="AX68" i="13" s="1"/>
  <c r="AX69" i="13" s="1"/>
  <c r="AX70" i="13" s="1"/>
  <c r="AX71" i="13" s="1"/>
  <c r="AX72" i="13" s="1"/>
  <c r="AX73" i="13" s="1"/>
  <c r="AX74" i="13" s="1"/>
  <c r="AX75" i="13" s="1"/>
  <c r="AX76" i="13" s="1"/>
  <c r="AX77" i="13" s="1"/>
  <c r="AX78" i="13" s="1"/>
  <c r="X63" i="15"/>
  <c r="X64" i="15" s="1"/>
  <c r="X65" i="15" s="1"/>
  <c r="X66" i="15" s="1"/>
  <c r="X67" i="15" s="1"/>
  <c r="X68" i="15" s="1"/>
  <c r="X69" i="15" s="1"/>
  <c r="X70" i="15" s="1"/>
  <c r="X71" i="15" s="1"/>
  <c r="X72" i="15" s="1"/>
  <c r="X73" i="15" s="1"/>
  <c r="X74" i="15" s="1"/>
  <c r="X75" i="15" s="1"/>
  <c r="X76" i="15" s="1"/>
  <c r="X77" i="15" s="1"/>
  <c r="X78" i="15" s="1"/>
  <c r="X63" i="16"/>
  <c r="X64" i="16" s="1"/>
  <c r="X65" i="16" s="1"/>
  <c r="X66" i="16" s="1"/>
  <c r="X67" i="16" s="1"/>
  <c r="X68" i="16" s="1"/>
  <c r="X69" i="16" s="1"/>
  <c r="X70" i="16" s="1"/>
  <c r="X71" i="16" s="1"/>
  <c r="X72" i="16" s="1"/>
  <c r="X73" i="16" s="1"/>
  <c r="X74" i="16" s="1"/>
  <c r="X75" i="16" s="1"/>
  <c r="X76" i="16" s="1"/>
  <c r="X77" i="16" s="1"/>
  <c r="X78" i="16" s="1"/>
  <c r="BX63" i="14"/>
  <c r="BX64" i="14" s="1"/>
  <c r="BX65" i="14" s="1"/>
  <c r="BX66" i="14" s="1"/>
  <c r="BX67" i="14" s="1"/>
  <c r="BX68" i="14" s="1"/>
  <c r="BX69" i="14" s="1"/>
  <c r="BX70" i="14" s="1"/>
  <c r="BX71" i="14" s="1"/>
  <c r="BX72" i="14" s="1"/>
  <c r="BX73" i="14" s="1"/>
  <c r="BX74" i="14" s="1"/>
  <c r="BX75" i="14" s="1"/>
  <c r="BX76" i="14" s="1"/>
  <c r="BX77" i="14" s="1"/>
  <c r="BX78" i="14" s="1"/>
  <c r="CX63" i="16"/>
  <c r="CX64" i="16" s="1"/>
  <c r="CX65" i="16" s="1"/>
  <c r="CX66" i="16" s="1"/>
  <c r="CX67" i="16" s="1"/>
  <c r="CX68" i="16" s="1"/>
  <c r="CX69" i="16" s="1"/>
  <c r="CX70" i="16" s="1"/>
  <c r="CX71" i="16" s="1"/>
  <c r="CX72" i="16" s="1"/>
  <c r="CX73" i="16" s="1"/>
  <c r="CX74" i="16" s="1"/>
  <c r="CX75" i="16" s="1"/>
  <c r="CX76" i="16" s="1"/>
  <c r="CX77" i="16" s="1"/>
  <c r="CX78" i="16" s="1"/>
  <c r="CX63" i="14"/>
  <c r="CX64" i="14" s="1"/>
  <c r="CX65" i="14" s="1"/>
  <c r="CX66" i="14" s="1"/>
  <c r="CX67" i="14" s="1"/>
  <c r="CX68" i="14" s="1"/>
  <c r="CX69" i="14" s="1"/>
  <c r="CX70" i="14" s="1"/>
  <c r="CX71" i="14" s="1"/>
  <c r="CX72" i="14" s="1"/>
  <c r="CX73" i="14" s="1"/>
  <c r="CX74" i="14" s="1"/>
  <c r="CX75" i="14" s="1"/>
  <c r="CX76" i="14" s="1"/>
  <c r="CX77" i="14" s="1"/>
  <c r="CX78" i="14" s="1"/>
  <c r="AJ166" i="15"/>
  <c r="AJ168" i="15" s="1"/>
  <c r="H33" i="12"/>
  <c r="AH166" i="13"/>
  <c r="AH168" i="13" s="1"/>
  <c r="G19" i="12"/>
  <c r="AI166" i="15"/>
  <c r="AI168" i="15" s="1"/>
  <c r="E33" i="12"/>
  <c r="AH166" i="14"/>
  <c r="AH168" i="14" s="1"/>
  <c r="G26" i="12"/>
  <c r="AJ166" i="13"/>
  <c r="AJ168" i="13" s="1"/>
  <c r="H19" i="12"/>
  <c r="AI166" i="14"/>
  <c r="AI168" i="14" s="1"/>
  <c r="E26" i="12"/>
  <c r="D19" i="12"/>
  <c r="AK166" i="13"/>
  <c r="AK168" i="13" s="1"/>
  <c r="E19" i="12"/>
  <c r="AI166" i="13"/>
  <c r="AI168" i="13" s="1"/>
  <c r="AJ166" i="14"/>
  <c r="AJ168" i="14" s="1"/>
  <c r="H26" i="12"/>
  <c r="AG166" i="15"/>
  <c r="AG168" i="15" s="1"/>
  <c r="F33" i="12"/>
  <c r="AG166" i="14"/>
  <c r="AG168" i="14" s="1"/>
  <c r="F26" i="12"/>
  <c r="D26" i="12"/>
  <c r="AK166" i="14"/>
  <c r="AK168" i="14" s="1"/>
  <c r="AH166" i="15"/>
  <c r="AH168" i="15" s="1"/>
  <c r="G33" i="12"/>
  <c r="F19" i="12"/>
  <c r="AG166" i="13"/>
  <c r="AG168" i="13" s="1"/>
  <c r="BO73" i="15"/>
  <c r="BN73" i="15"/>
  <c r="BO76" i="15"/>
  <c r="AX71" i="16"/>
  <c r="AX72" i="16" s="1"/>
  <c r="AX73" i="16" s="1"/>
  <c r="AX74" i="16" s="1"/>
  <c r="AX75" i="16" s="1"/>
  <c r="AX76" i="16" s="1"/>
  <c r="AX77" i="16" s="1"/>
  <c r="AX78" i="16" s="1"/>
  <c r="BN76" i="15"/>
  <c r="AN76" i="15"/>
  <c r="AO63" i="15"/>
  <c r="AN63" i="15"/>
  <c r="W73" i="14"/>
  <c r="W74" i="14" s="1"/>
  <c r="W75" i="14" s="1"/>
  <c r="W76" i="14" s="1"/>
  <c r="W77" i="14" s="1"/>
  <c r="W78" i="14" s="1"/>
  <c r="R162" i="14" s="1"/>
  <c r="R163" i="14" s="1"/>
  <c r="R165" i="14" s="1"/>
  <c r="R167" i="14" s="1"/>
  <c r="DO63" i="15"/>
  <c r="CO73" i="15"/>
  <c r="DN63" i="15"/>
  <c r="BW71" i="14"/>
  <c r="BW72" i="14" s="1"/>
  <c r="BW73" i="14" s="1"/>
  <c r="BW74" i="14" s="1"/>
  <c r="BW75" i="14" s="1"/>
  <c r="BW76" i="14" s="1"/>
  <c r="BW77" i="14" s="1"/>
  <c r="BW78" i="14" s="1"/>
  <c r="T162" i="14" s="1"/>
  <c r="T163" i="14" s="1"/>
  <c r="T165" i="14" s="1"/>
  <c r="T167" i="14" s="1"/>
  <c r="DO76" i="15"/>
  <c r="W71" i="13"/>
  <c r="W72" i="13" s="1"/>
  <c r="W73" i="13" s="1"/>
  <c r="W74" i="13" s="1"/>
  <c r="W75" i="13" s="1"/>
  <c r="W76" i="13" s="1"/>
  <c r="W77" i="13" s="1"/>
  <c r="W78" i="13" s="1"/>
  <c r="R162" i="13" s="1"/>
  <c r="R163" i="13" s="1"/>
  <c r="R165" i="13" s="1"/>
  <c r="R167" i="13" s="1"/>
  <c r="DN76" i="15"/>
  <c r="BN78" i="15"/>
  <c r="W71" i="16"/>
  <c r="W72" i="16" s="1"/>
  <c r="W73" i="16" s="1"/>
  <c r="W74" i="16" s="1"/>
  <c r="W75" i="16" s="1"/>
  <c r="W76" i="16" s="1"/>
  <c r="W77" i="16" s="1"/>
  <c r="W78" i="16" s="1"/>
  <c r="R162" i="16" s="1"/>
  <c r="R163" i="16" s="1"/>
  <c r="AO76" i="15"/>
  <c r="DO71" i="15"/>
  <c r="AO73" i="15"/>
  <c r="DW71" i="16"/>
  <c r="DW72" i="16" s="1"/>
  <c r="DW73" i="16" s="1"/>
  <c r="DW74" i="16" s="1"/>
  <c r="DW75" i="16" s="1"/>
  <c r="DW76" i="16" s="1"/>
  <c r="DW77" i="16" s="1"/>
  <c r="DW78" i="16" s="1"/>
  <c r="V162" i="16" s="1"/>
  <c r="V163" i="16" s="1"/>
  <c r="DN71" i="15"/>
  <c r="CO71" i="15"/>
  <c r="CW71" i="15"/>
  <c r="CW72" i="15" s="1"/>
  <c r="CW73" i="15" s="1"/>
  <c r="CW74" i="15" s="1"/>
  <c r="CW75" i="15" s="1"/>
  <c r="CW76" i="15" s="1"/>
  <c r="CW77" i="15" s="1"/>
  <c r="CW78" i="15" s="1"/>
  <c r="U162" i="15" s="1"/>
  <c r="U163" i="15" s="1"/>
  <c r="U165" i="15" s="1"/>
  <c r="U167" i="15" s="1"/>
  <c r="DW71" i="14"/>
  <c r="DW72" i="14" s="1"/>
  <c r="DW73" i="14" s="1"/>
  <c r="DW74" i="14" s="1"/>
  <c r="DW75" i="14" s="1"/>
  <c r="DW76" i="14" s="1"/>
  <c r="DW77" i="14" s="1"/>
  <c r="DW78" i="14" s="1"/>
  <c r="V162" i="14" s="1"/>
  <c r="V163" i="14" s="1"/>
  <c r="V165" i="14" s="1"/>
  <c r="V167" i="14" s="1"/>
  <c r="AO71" i="15"/>
  <c r="CN71" i="15"/>
  <c r="AN71" i="15"/>
  <c r="DO73" i="15"/>
  <c r="DN73" i="15"/>
  <c r="BO78" i="15"/>
  <c r="W73" i="15"/>
  <c r="W74" i="15" s="1"/>
  <c r="W75" i="15" s="1"/>
  <c r="W76" i="15" s="1"/>
  <c r="W77" i="15" s="1"/>
  <c r="W78" i="15" s="1"/>
  <c r="R162" i="15" s="1"/>
  <c r="R163" i="15" s="1"/>
  <c r="R165" i="15" s="1"/>
  <c r="R167" i="15" s="1"/>
  <c r="CN73" i="15"/>
  <c r="DN78" i="15"/>
  <c r="BW71" i="16"/>
  <c r="BW72" i="16" s="1"/>
  <c r="BW73" i="16" s="1"/>
  <c r="BW74" i="16" s="1"/>
  <c r="BW75" i="16" s="1"/>
  <c r="BW76" i="16" s="1"/>
  <c r="BW77" i="16" s="1"/>
  <c r="BW78" i="16" s="1"/>
  <c r="T162" i="16" s="1"/>
  <c r="T163" i="16" s="1"/>
  <c r="CW73" i="14"/>
  <c r="CW74" i="14" s="1"/>
  <c r="CW75" i="14" s="1"/>
  <c r="CW76" i="14" s="1"/>
  <c r="CW77" i="14" s="1"/>
  <c r="CW78" i="14" s="1"/>
  <c r="U162" i="14" s="1"/>
  <c r="U163" i="14" s="1"/>
  <c r="U165" i="14" s="1"/>
  <c r="U167" i="14" s="1"/>
  <c r="AW73" i="13"/>
  <c r="AW74" i="13" s="1"/>
  <c r="AW75" i="13" s="1"/>
  <c r="AW76" i="13" s="1"/>
  <c r="AW77" i="13" s="1"/>
  <c r="AW78" i="13" s="1"/>
  <c r="S162" i="13" s="1"/>
  <c r="S163" i="13" s="1"/>
  <c r="S165" i="13" s="1"/>
  <c r="S167" i="13" s="1"/>
  <c r="AW78" i="14"/>
  <c r="S162" i="14" s="1"/>
  <c r="S163" i="14" s="1"/>
  <c r="S165" i="14" s="1"/>
  <c r="S167" i="14" s="1"/>
  <c r="CO78" i="15"/>
  <c r="CN78" i="15"/>
  <c r="DO78" i="15"/>
  <c r="X42" i="2"/>
  <c r="T20" i="8" s="1"/>
  <c r="R42" i="2"/>
  <c r="R41" i="2" s="1"/>
  <c r="AO78" i="15"/>
  <c r="AF22" i="2"/>
  <c r="AF42" i="2" s="1"/>
  <c r="CN89" i="14"/>
  <c r="CN90" i="14" s="1"/>
  <c r="CN91" i="14" s="1"/>
  <c r="CN92" i="14" s="1"/>
  <c r="CN93" i="14" s="1"/>
  <c r="CN94" i="14" s="1"/>
  <c r="CN95" i="14" s="1"/>
  <c r="CN96" i="14" s="1"/>
  <c r="CN97" i="14" s="1"/>
  <c r="CN98" i="14" s="1"/>
  <c r="CN99" i="14" s="1"/>
  <c r="CN100" i="14" s="1"/>
  <c r="CN101" i="14" s="1"/>
  <c r="CN102" i="14" s="1"/>
  <c r="CN103" i="14" s="1"/>
  <c r="Z161" i="14" s="1"/>
  <c r="Q20" i="8"/>
  <c r="AN78" i="15"/>
  <c r="DL114" i="13"/>
  <c r="DL115" i="13" s="1"/>
  <c r="DL116" i="13" s="1"/>
  <c r="DL117" i="13" s="1"/>
  <c r="DL118" i="13" s="1"/>
  <c r="DL119" i="13" s="1"/>
  <c r="DL120" i="13" s="1"/>
  <c r="DL121" i="13" s="1"/>
  <c r="DL122" i="13" s="1"/>
  <c r="DL123" i="13" s="1"/>
  <c r="DL124" i="13" s="1"/>
  <c r="DL125" i="13" s="1"/>
  <c r="DL126" i="13" s="1"/>
  <c r="DL127" i="13" s="1"/>
  <c r="DL128" i="13" s="1"/>
  <c r="AF161" i="13" s="1"/>
  <c r="CN114" i="14"/>
  <c r="CN115" i="14" s="1"/>
  <c r="CN116" i="14" s="1"/>
  <c r="CN117" i="14" s="1"/>
  <c r="CN118" i="14" s="1"/>
  <c r="CN119" i="14" s="1"/>
  <c r="CN120" i="14" s="1"/>
  <c r="CN121" i="14" s="1"/>
  <c r="CN122" i="14" s="1"/>
  <c r="CN123" i="14" s="1"/>
  <c r="CN124" i="14" s="1"/>
  <c r="CN125" i="14" s="1"/>
  <c r="CN126" i="14" s="1"/>
  <c r="CN127" i="14" s="1"/>
  <c r="CN128" i="14" s="1"/>
  <c r="AE161" i="14" s="1"/>
  <c r="AR114" i="13"/>
  <c r="AR115" i="13" s="1"/>
  <c r="AR116" i="13" s="1"/>
  <c r="AR117" i="13" s="1"/>
  <c r="AR118" i="13" s="1"/>
  <c r="AR119" i="13" s="1"/>
  <c r="AR120" i="13" s="1"/>
  <c r="AR121" i="13" s="1"/>
  <c r="AR122" i="13" s="1"/>
  <c r="AR123" i="13" s="1"/>
  <c r="AR124" i="13" s="1"/>
  <c r="AR125" i="13" s="1"/>
  <c r="AR126" i="13" s="1"/>
  <c r="AR127" i="13" s="1"/>
  <c r="AR128" i="13" s="1"/>
  <c r="AC161" i="13" s="1"/>
  <c r="T114" i="16"/>
  <c r="T115" i="16" s="1"/>
  <c r="T116" i="16" s="1"/>
  <c r="T117" i="16" s="1"/>
  <c r="T118" i="16" s="1"/>
  <c r="T119" i="16" s="1"/>
  <c r="T120" i="16" s="1"/>
  <c r="T121" i="16" s="1"/>
  <c r="T122" i="16" s="1"/>
  <c r="T123" i="16" s="1"/>
  <c r="T124" i="16" s="1"/>
  <c r="T125" i="16" s="1"/>
  <c r="T126" i="16" s="1"/>
  <c r="T127" i="16" s="1"/>
  <c r="T128" i="16" s="1"/>
  <c r="AB161" i="16" s="1"/>
  <c r="AR114" i="15"/>
  <c r="AR115" i="15" s="1"/>
  <c r="AR116" i="15" s="1"/>
  <c r="AR117" i="15" s="1"/>
  <c r="AR118" i="15" s="1"/>
  <c r="AR119" i="15" s="1"/>
  <c r="AR120" i="15" s="1"/>
  <c r="AR121" i="15" s="1"/>
  <c r="AR122" i="15" s="1"/>
  <c r="AR123" i="15" s="1"/>
  <c r="AR124" i="15" s="1"/>
  <c r="AR125" i="15" s="1"/>
  <c r="AR126" i="15" s="1"/>
  <c r="AR127" i="15" s="1"/>
  <c r="AR128" i="15" s="1"/>
  <c r="AC161" i="15" s="1"/>
  <c r="CN89" i="16"/>
  <c r="CN90" i="16" s="1"/>
  <c r="CN91" i="16" s="1"/>
  <c r="CN92" i="16" s="1"/>
  <c r="CN93" i="16" s="1"/>
  <c r="CN94" i="16" s="1"/>
  <c r="CN95" i="16" s="1"/>
  <c r="CN96" i="16" s="1"/>
  <c r="CN97" i="16" s="1"/>
  <c r="CN98" i="16" s="1"/>
  <c r="CN99" i="16" s="1"/>
  <c r="CN100" i="16" s="1"/>
  <c r="CN101" i="16" s="1"/>
  <c r="CN102" i="16" s="1"/>
  <c r="CN103" i="16" s="1"/>
  <c r="Z161" i="16" s="1"/>
  <c r="T114" i="15"/>
  <c r="T115" i="15" s="1"/>
  <c r="T116" i="15" s="1"/>
  <c r="T117" i="15" s="1"/>
  <c r="T118" i="15" s="1"/>
  <c r="T119" i="15" s="1"/>
  <c r="T120" i="15" s="1"/>
  <c r="T121" i="15" s="1"/>
  <c r="T122" i="15" s="1"/>
  <c r="T123" i="15" s="1"/>
  <c r="T124" i="15" s="1"/>
  <c r="T125" i="15" s="1"/>
  <c r="T126" i="15" s="1"/>
  <c r="T127" i="15" s="1"/>
  <c r="T128" i="15" s="1"/>
  <c r="AB161" i="15" s="1"/>
  <c r="DL89" i="16"/>
  <c r="DL90" i="16" s="1"/>
  <c r="DL91" i="16" s="1"/>
  <c r="DL92" i="16" s="1"/>
  <c r="DL93" i="16" s="1"/>
  <c r="DL94" i="16" s="1"/>
  <c r="DL95" i="16" s="1"/>
  <c r="DL96" i="16" s="1"/>
  <c r="DL97" i="16" s="1"/>
  <c r="DL98" i="16" s="1"/>
  <c r="DL99" i="16" s="1"/>
  <c r="DL100" i="16" s="1"/>
  <c r="DL101" i="16" s="1"/>
  <c r="DL102" i="16" s="1"/>
  <c r="DL103" i="16" s="1"/>
  <c r="AA161" i="16" s="1"/>
  <c r="T89" i="16"/>
  <c r="T90" i="16" s="1"/>
  <c r="T91" i="16" s="1"/>
  <c r="T92" i="16" s="1"/>
  <c r="T93" i="16" s="1"/>
  <c r="T94" i="16" s="1"/>
  <c r="T95" i="16" s="1"/>
  <c r="T96" i="16" s="1"/>
  <c r="T97" i="16" s="1"/>
  <c r="T98" i="16" s="1"/>
  <c r="T99" i="16" s="1"/>
  <c r="T100" i="16" s="1"/>
  <c r="T101" i="16" s="1"/>
  <c r="T102" i="16" s="1"/>
  <c r="T103" i="16" s="1"/>
  <c r="W161" i="16" s="1"/>
  <c r="AR89" i="15"/>
  <c r="AR90" i="15" s="1"/>
  <c r="AR91" i="15" s="1"/>
  <c r="AR92" i="15" s="1"/>
  <c r="AR93" i="15" s="1"/>
  <c r="AR94" i="15" s="1"/>
  <c r="AR95" i="15" s="1"/>
  <c r="AR96" i="15" s="1"/>
  <c r="AR97" i="15" s="1"/>
  <c r="AR98" i="15" s="1"/>
  <c r="AR99" i="15" s="1"/>
  <c r="AR100" i="15" s="1"/>
  <c r="AR101" i="15" s="1"/>
  <c r="AR102" i="15" s="1"/>
  <c r="AR103" i="15" s="1"/>
  <c r="X161" i="15" s="1"/>
  <c r="BP89" i="14"/>
  <c r="BP90" i="14" s="1"/>
  <c r="BP91" i="14" s="1"/>
  <c r="BP92" i="14" s="1"/>
  <c r="BP93" i="14" s="1"/>
  <c r="BP94" i="14" s="1"/>
  <c r="BP95" i="14" s="1"/>
  <c r="BP96" i="14" s="1"/>
  <c r="BP97" i="14" s="1"/>
  <c r="BP98" i="14" s="1"/>
  <c r="BP99" i="14" s="1"/>
  <c r="BP100" i="14" s="1"/>
  <c r="BP101" i="14" s="1"/>
  <c r="BP102" i="14" s="1"/>
  <c r="BP103" i="14" s="1"/>
  <c r="Y161" i="14" s="1"/>
  <c r="CN89" i="13"/>
  <c r="CN90" i="13" s="1"/>
  <c r="CN91" i="13" s="1"/>
  <c r="CN92" i="13" s="1"/>
  <c r="CN93" i="13" s="1"/>
  <c r="CN94" i="13" s="1"/>
  <c r="CN95" i="13" s="1"/>
  <c r="CN96" i="13" s="1"/>
  <c r="CN97" i="13" s="1"/>
  <c r="CN98" i="13" s="1"/>
  <c r="CN99" i="13" s="1"/>
  <c r="CN100" i="13" s="1"/>
  <c r="CN101" i="13" s="1"/>
  <c r="CN102" i="13" s="1"/>
  <c r="CN103" i="13" s="1"/>
  <c r="Z161" i="13" s="1"/>
  <c r="T89" i="14"/>
  <c r="T90" i="14" s="1"/>
  <c r="T91" i="14" s="1"/>
  <c r="T92" i="14" s="1"/>
  <c r="T93" i="14" s="1"/>
  <c r="T94" i="14" s="1"/>
  <c r="T95" i="14" s="1"/>
  <c r="T96" i="14" s="1"/>
  <c r="T97" i="14" s="1"/>
  <c r="T98" i="14" s="1"/>
  <c r="T99" i="14" s="1"/>
  <c r="T100" i="14" s="1"/>
  <c r="T101" i="14" s="1"/>
  <c r="T102" i="14" s="1"/>
  <c r="T103" i="14" s="1"/>
  <c r="W161" i="14" s="1"/>
  <c r="BP114" i="14"/>
  <c r="BP115" i="14" s="1"/>
  <c r="BP116" i="14" s="1"/>
  <c r="BP117" i="14" s="1"/>
  <c r="BP118" i="14" s="1"/>
  <c r="BP119" i="14" s="1"/>
  <c r="BP120" i="14" s="1"/>
  <c r="BP121" i="14" s="1"/>
  <c r="BP122" i="14" s="1"/>
  <c r="BP123" i="14" s="1"/>
  <c r="BP124" i="14" s="1"/>
  <c r="BP125" i="14" s="1"/>
  <c r="BP126" i="14" s="1"/>
  <c r="BP127" i="14" s="1"/>
  <c r="BP128" i="14" s="1"/>
  <c r="AD161" i="14" s="1"/>
  <c r="T114" i="13"/>
  <c r="T115" i="13" s="1"/>
  <c r="T116" i="13" s="1"/>
  <c r="T117" i="13" s="1"/>
  <c r="T118" i="13" s="1"/>
  <c r="T119" i="13" s="1"/>
  <c r="T120" i="13" s="1"/>
  <c r="T121" i="13" s="1"/>
  <c r="T122" i="13" s="1"/>
  <c r="T123" i="13" s="1"/>
  <c r="T124" i="13" s="1"/>
  <c r="T125" i="13" s="1"/>
  <c r="T126" i="13" s="1"/>
  <c r="T127" i="13" s="1"/>
  <c r="T128" i="13" s="1"/>
  <c r="AB161" i="13" s="1"/>
  <c r="AR90" i="16"/>
  <c r="AR91" i="16" s="1"/>
  <c r="AR92" i="16" s="1"/>
  <c r="AR93" i="16" s="1"/>
  <c r="AR94" i="16" s="1"/>
  <c r="AR95" i="16" s="1"/>
  <c r="AR96" i="16" s="1"/>
  <c r="AR97" i="16" s="1"/>
  <c r="AR98" i="16" s="1"/>
  <c r="AR99" i="16" s="1"/>
  <c r="AR100" i="16" s="1"/>
  <c r="AR101" i="16" s="1"/>
  <c r="AR102" i="16" s="1"/>
  <c r="AR103" i="16" s="1"/>
  <c r="X161" i="16" s="1"/>
  <c r="BP114" i="15"/>
  <c r="BP115" i="15" s="1"/>
  <c r="BP116" i="15" s="1"/>
  <c r="BP117" i="15" s="1"/>
  <c r="BP118" i="15" s="1"/>
  <c r="BP119" i="15" s="1"/>
  <c r="BP120" i="15" s="1"/>
  <c r="BP121" i="15" s="1"/>
  <c r="BP122" i="15" s="1"/>
  <c r="BP123" i="15" s="1"/>
  <c r="BP124" i="15" s="1"/>
  <c r="BP125" i="15" s="1"/>
  <c r="BP126" i="15" s="1"/>
  <c r="BP127" i="15" s="1"/>
  <c r="BP128" i="15" s="1"/>
  <c r="AD161" i="15" s="1"/>
  <c r="D32" i="22"/>
  <c r="AF88" i="16"/>
  <c r="AI88" i="16" s="1"/>
  <c r="H88" i="15"/>
  <c r="K88" i="15" s="1"/>
  <c r="BD88" i="14"/>
  <c r="BG88" i="14" s="1"/>
  <c r="CB88" i="13"/>
  <c r="CE88" i="13" s="1"/>
  <c r="CB88" i="16"/>
  <c r="CE88" i="16" s="1"/>
  <c r="BD88" i="15"/>
  <c r="BG88" i="15" s="1"/>
  <c r="CZ88" i="14"/>
  <c r="DC88" i="14" s="1"/>
  <c r="H88" i="14"/>
  <c r="K88" i="14" s="1"/>
  <c r="AF88" i="13"/>
  <c r="AI88" i="13" s="1"/>
  <c r="CZ88" i="16"/>
  <c r="DC88" i="16" s="1"/>
  <c r="CZ88" i="15"/>
  <c r="DC88" i="15" s="1"/>
  <c r="BD88" i="13"/>
  <c r="BG88" i="13" s="1"/>
  <c r="H88" i="16"/>
  <c r="K88" i="16" s="1"/>
  <c r="AF88" i="14"/>
  <c r="AI88" i="14" s="1"/>
  <c r="BD88" i="16"/>
  <c r="BG88" i="16" s="1"/>
  <c r="H88" i="13"/>
  <c r="K88" i="13" s="1"/>
  <c r="CB88" i="14"/>
  <c r="CE88" i="14" s="1"/>
  <c r="CZ88" i="13"/>
  <c r="DC88" i="13" s="1"/>
  <c r="AF88" i="15"/>
  <c r="DL89" i="15"/>
  <c r="DL90" i="15" s="1"/>
  <c r="DL91" i="15" s="1"/>
  <c r="DL92" i="15" s="1"/>
  <c r="DL93" i="15" s="1"/>
  <c r="DL94" i="15" s="1"/>
  <c r="DL95" i="15" s="1"/>
  <c r="DL96" i="15" s="1"/>
  <c r="DL97" i="15" s="1"/>
  <c r="DL98" i="15" s="1"/>
  <c r="DL99" i="15" s="1"/>
  <c r="DL100" i="15" s="1"/>
  <c r="DL101" i="15" s="1"/>
  <c r="DL102" i="15" s="1"/>
  <c r="DL103" i="15" s="1"/>
  <c r="AA161" i="15" s="1"/>
  <c r="T89" i="15"/>
  <c r="T90" i="15" s="1"/>
  <c r="T91" i="15" s="1"/>
  <c r="T92" i="15" s="1"/>
  <c r="T93" i="15" s="1"/>
  <c r="T94" i="15" s="1"/>
  <c r="T95" i="15" s="1"/>
  <c r="T96" i="15" s="1"/>
  <c r="T97" i="15" s="1"/>
  <c r="T98" i="15" s="1"/>
  <c r="T99" i="15" s="1"/>
  <c r="T100" i="15" s="1"/>
  <c r="T101" i="15" s="1"/>
  <c r="T102" i="15" s="1"/>
  <c r="T103" i="15" s="1"/>
  <c r="W161" i="15" s="1"/>
  <c r="AR89" i="14"/>
  <c r="AR90" i="14" s="1"/>
  <c r="AR91" i="14" s="1"/>
  <c r="AR92" i="14" s="1"/>
  <c r="AR93" i="14" s="1"/>
  <c r="AR94" i="14" s="1"/>
  <c r="AR95" i="14" s="1"/>
  <c r="AR96" i="14" s="1"/>
  <c r="AR97" i="14" s="1"/>
  <c r="AR98" i="14" s="1"/>
  <c r="AR99" i="14" s="1"/>
  <c r="AR100" i="14" s="1"/>
  <c r="AR101" i="14" s="1"/>
  <c r="AR102" i="14" s="1"/>
  <c r="AR103" i="14" s="1"/>
  <c r="X161" i="14" s="1"/>
  <c r="DL90" i="13"/>
  <c r="DL91" i="13" s="1"/>
  <c r="DL92" i="13" s="1"/>
  <c r="DL93" i="13" s="1"/>
  <c r="DL94" i="13" s="1"/>
  <c r="DL95" i="13" s="1"/>
  <c r="DL96" i="13" s="1"/>
  <c r="DL97" i="13" s="1"/>
  <c r="DL98" i="13" s="1"/>
  <c r="DL99" i="13" s="1"/>
  <c r="DL100" i="13" s="1"/>
  <c r="DL101" i="13" s="1"/>
  <c r="DL102" i="13" s="1"/>
  <c r="DL103" i="13" s="1"/>
  <c r="AA161" i="13" s="1"/>
  <c r="BP89" i="13"/>
  <c r="BP90" i="13" s="1"/>
  <c r="BP91" i="13" s="1"/>
  <c r="BP92" i="13" s="1"/>
  <c r="BP93" i="13" s="1"/>
  <c r="BP94" i="13" s="1"/>
  <c r="BP95" i="13" s="1"/>
  <c r="BP96" i="13" s="1"/>
  <c r="BP97" i="13" s="1"/>
  <c r="BP98" i="13" s="1"/>
  <c r="BP99" i="13" s="1"/>
  <c r="BP100" i="13" s="1"/>
  <c r="BP101" i="13" s="1"/>
  <c r="BP102" i="13" s="1"/>
  <c r="BP103" i="13" s="1"/>
  <c r="Y161" i="13" s="1"/>
  <c r="T89" i="13"/>
  <c r="T90" i="13" s="1"/>
  <c r="T91" i="13" s="1"/>
  <c r="T92" i="13" s="1"/>
  <c r="T93" i="13" s="1"/>
  <c r="T94" i="13" s="1"/>
  <c r="T95" i="13" s="1"/>
  <c r="T96" i="13" s="1"/>
  <c r="T97" i="13" s="1"/>
  <c r="T98" i="13" s="1"/>
  <c r="T99" i="13" s="1"/>
  <c r="T100" i="13" s="1"/>
  <c r="T101" i="13" s="1"/>
  <c r="T102" i="13" s="1"/>
  <c r="T103" i="13" s="1"/>
  <c r="W161" i="13" s="1"/>
  <c r="T114" i="14"/>
  <c r="T115" i="14" s="1"/>
  <c r="T116" i="14" s="1"/>
  <c r="T117" i="14" s="1"/>
  <c r="T118" i="14" s="1"/>
  <c r="T119" i="14" s="1"/>
  <c r="T120" i="14" s="1"/>
  <c r="T121" i="14" s="1"/>
  <c r="T122" i="14" s="1"/>
  <c r="T123" i="14" s="1"/>
  <c r="T124" i="14" s="1"/>
  <c r="T125" i="14" s="1"/>
  <c r="T126" i="14" s="1"/>
  <c r="T127" i="14" s="1"/>
  <c r="T128" i="14" s="1"/>
  <c r="AB161" i="14" s="1"/>
  <c r="DL114" i="16"/>
  <c r="DL115" i="16" s="1"/>
  <c r="DL116" i="16" s="1"/>
  <c r="DL117" i="16" s="1"/>
  <c r="DL118" i="16" s="1"/>
  <c r="DL119" i="16" s="1"/>
  <c r="DL120" i="16" s="1"/>
  <c r="DL121" i="16" s="1"/>
  <c r="DL122" i="16" s="1"/>
  <c r="DL123" i="16" s="1"/>
  <c r="DL124" i="16" s="1"/>
  <c r="DL125" i="16" s="1"/>
  <c r="DL126" i="16" s="1"/>
  <c r="DL127" i="16" s="1"/>
  <c r="DL128" i="16" s="1"/>
  <c r="AF161" i="16" s="1"/>
  <c r="CN114" i="13"/>
  <c r="CN115" i="13" s="1"/>
  <c r="CN116" i="13" s="1"/>
  <c r="CN117" i="13" s="1"/>
  <c r="CN118" i="13" s="1"/>
  <c r="CN119" i="13" s="1"/>
  <c r="CN120" i="13" s="1"/>
  <c r="CN121" i="13" s="1"/>
  <c r="CN122" i="13" s="1"/>
  <c r="CN123" i="13" s="1"/>
  <c r="CN124" i="13" s="1"/>
  <c r="CN125" i="13" s="1"/>
  <c r="CN126" i="13" s="1"/>
  <c r="CN127" i="13" s="1"/>
  <c r="CN128" i="13" s="1"/>
  <c r="AE161" i="13" s="1"/>
  <c r="DL114" i="15"/>
  <c r="DL115" i="15" s="1"/>
  <c r="DL116" i="15" s="1"/>
  <c r="DL117" i="15" s="1"/>
  <c r="DL118" i="15" s="1"/>
  <c r="DL119" i="15" s="1"/>
  <c r="DL120" i="15" s="1"/>
  <c r="DL121" i="15" s="1"/>
  <c r="DL122" i="15" s="1"/>
  <c r="DL123" i="15" s="1"/>
  <c r="DL124" i="15" s="1"/>
  <c r="DL125" i="15" s="1"/>
  <c r="DL126" i="15" s="1"/>
  <c r="DL127" i="15" s="1"/>
  <c r="DL128" i="15" s="1"/>
  <c r="AF161" i="15" s="1"/>
  <c r="CN116" i="16"/>
  <c r="CN117" i="16" s="1"/>
  <c r="CN118" i="16" s="1"/>
  <c r="CN119" i="16" s="1"/>
  <c r="CN120" i="16" s="1"/>
  <c r="CN121" i="16" s="1"/>
  <c r="CN122" i="16" s="1"/>
  <c r="CN123" i="16" s="1"/>
  <c r="CN124" i="16" s="1"/>
  <c r="CN125" i="16" s="1"/>
  <c r="CN126" i="16" s="1"/>
  <c r="CN127" i="16" s="1"/>
  <c r="CN128" i="16" s="1"/>
  <c r="AE161" i="16" s="1"/>
  <c r="E32" i="22"/>
  <c r="CZ113" i="16"/>
  <c r="DC113" i="16" s="1"/>
  <c r="H113" i="16"/>
  <c r="K113" i="16" s="1"/>
  <c r="AF113" i="15"/>
  <c r="BD113" i="14"/>
  <c r="BG113" i="14" s="1"/>
  <c r="CB113" i="13"/>
  <c r="CE113" i="13" s="1"/>
  <c r="BD113" i="16"/>
  <c r="BG113" i="16" s="1"/>
  <c r="CB113" i="15"/>
  <c r="CZ113" i="14"/>
  <c r="DC113" i="14" s="1"/>
  <c r="H113" i="14"/>
  <c r="K113" i="14" s="1"/>
  <c r="AF113" i="13"/>
  <c r="AI113" i="13" s="1"/>
  <c r="CZ113" i="15"/>
  <c r="AF113" i="14"/>
  <c r="AI113" i="14" s="1"/>
  <c r="CB113" i="16"/>
  <c r="CE113" i="16" s="1"/>
  <c r="H113" i="15"/>
  <c r="K113" i="15" s="1"/>
  <c r="BD113" i="13"/>
  <c r="BG113" i="13" s="1"/>
  <c r="BD113" i="15"/>
  <c r="CZ113" i="13"/>
  <c r="DC113" i="13" s="1"/>
  <c r="CB113" i="14"/>
  <c r="CE113" i="14" s="1"/>
  <c r="AF113" i="16"/>
  <c r="AI113" i="16" s="1"/>
  <c r="H113" i="13"/>
  <c r="K113" i="13" s="1"/>
  <c r="BP89" i="16"/>
  <c r="BP90" i="16" s="1"/>
  <c r="BP91" i="16" s="1"/>
  <c r="BP92" i="16" s="1"/>
  <c r="BP93" i="16" s="1"/>
  <c r="BP94" i="16" s="1"/>
  <c r="BP95" i="16" s="1"/>
  <c r="BP96" i="16" s="1"/>
  <c r="BP97" i="16" s="1"/>
  <c r="BP98" i="16" s="1"/>
  <c r="BP99" i="16" s="1"/>
  <c r="BP100" i="16" s="1"/>
  <c r="BP101" i="16" s="1"/>
  <c r="BP102" i="16" s="1"/>
  <c r="BP103" i="16" s="1"/>
  <c r="Y161" i="16" s="1"/>
  <c r="CN114" i="15"/>
  <c r="CN115" i="15" s="1"/>
  <c r="CN116" i="15" s="1"/>
  <c r="CN117" i="15" s="1"/>
  <c r="CN118" i="15" s="1"/>
  <c r="CN119" i="15" s="1"/>
  <c r="CN120" i="15" s="1"/>
  <c r="CN121" i="15" s="1"/>
  <c r="CN122" i="15" s="1"/>
  <c r="CN123" i="15" s="1"/>
  <c r="CN124" i="15" s="1"/>
  <c r="CN125" i="15" s="1"/>
  <c r="CN126" i="15" s="1"/>
  <c r="CN127" i="15" s="1"/>
  <c r="CN128" i="15" s="1"/>
  <c r="AE161" i="15" s="1"/>
  <c r="AR115" i="16"/>
  <c r="AR116" i="16" s="1"/>
  <c r="AR117" i="16" s="1"/>
  <c r="AR118" i="16" s="1"/>
  <c r="AR119" i="16" s="1"/>
  <c r="AR120" i="16" s="1"/>
  <c r="AR121" i="16" s="1"/>
  <c r="AR122" i="16" s="1"/>
  <c r="AR123" i="16" s="1"/>
  <c r="AR124" i="16" s="1"/>
  <c r="AR125" i="16" s="1"/>
  <c r="AR126" i="16" s="1"/>
  <c r="AR127" i="16" s="1"/>
  <c r="AR128" i="16" s="1"/>
  <c r="AC161" i="16" s="1"/>
  <c r="CN89" i="15"/>
  <c r="CN90" i="15" s="1"/>
  <c r="CN91" i="15" s="1"/>
  <c r="CN92" i="15" s="1"/>
  <c r="CN93" i="15" s="1"/>
  <c r="CN94" i="15" s="1"/>
  <c r="CN95" i="15" s="1"/>
  <c r="CN96" i="15" s="1"/>
  <c r="CN97" i="15" s="1"/>
  <c r="CN98" i="15" s="1"/>
  <c r="CN99" i="15" s="1"/>
  <c r="CN100" i="15" s="1"/>
  <c r="CN101" i="15" s="1"/>
  <c r="CN102" i="15" s="1"/>
  <c r="CN103" i="15" s="1"/>
  <c r="Z161" i="15" s="1"/>
  <c r="DL89" i="14"/>
  <c r="DL90" i="14" s="1"/>
  <c r="DL91" i="14" s="1"/>
  <c r="DL92" i="14" s="1"/>
  <c r="DL93" i="14" s="1"/>
  <c r="DL94" i="14" s="1"/>
  <c r="DL95" i="14" s="1"/>
  <c r="DL96" i="14" s="1"/>
  <c r="DL97" i="14" s="1"/>
  <c r="DL98" i="14" s="1"/>
  <c r="DL99" i="14" s="1"/>
  <c r="DL100" i="14" s="1"/>
  <c r="DL101" i="14" s="1"/>
  <c r="DL102" i="14" s="1"/>
  <c r="DL103" i="14" s="1"/>
  <c r="AA161" i="14" s="1"/>
  <c r="AR89" i="13"/>
  <c r="AR90" i="13" s="1"/>
  <c r="AR91" i="13" s="1"/>
  <c r="AR92" i="13" s="1"/>
  <c r="AR93" i="13" s="1"/>
  <c r="AR94" i="13" s="1"/>
  <c r="AR95" i="13" s="1"/>
  <c r="AR96" i="13" s="1"/>
  <c r="AR97" i="13" s="1"/>
  <c r="AR98" i="13" s="1"/>
  <c r="AR99" i="13" s="1"/>
  <c r="AR100" i="13" s="1"/>
  <c r="AR101" i="13" s="1"/>
  <c r="AR102" i="13" s="1"/>
  <c r="AR103" i="13" s="1"/>
  <c r="X161" i="13" s="1"/>
  <c r="BP114" i="16"/>
  <c r="BP115" i="16" s="1"/>
  <c r="BP116" i="16" s="1"/>
  <c r="BP117" i="16" s="1"/>
  <c r="BP118" i="16" s="1"/>
  <c r="BP119" i="16" s="1"/>
  <c r="BP120" i="16" s="1"/>
  <c r="BP121" i="16" s="1"/>
  <c r="BP122" i="16" s="1"/>
  <c r="BP123" i="16" s="1"/>
  <c r="BP124" i="16" s="1"/>
  <c r="BP125" i="16" s="1"/>
  <c r="BP126" i="16" s="1"/>
  <c r="BP127" i="16" s="1"/>
  <c r="BP128" i="16" s="1"/>
  <c r="AD161" i="16" s="1"/>
  <c r="DL114" i="14"/>
  <c r="DL115" i="14" s="1"/>
  <c r="DL116" i="14" s="1"/>
  <c r="DL117" i="14" s="1"/>
  <c r="DL118" i="14" s="1"/>
  <c r="DL119" i="14" s="1"/>
  <c r="DL120" i="14" s="1"/>
  <c r="DL121" i="14" s="1"/>
  <c r="DL122" i="14" s="1"/>
  <c r="DL123" i="14" s="1"/>
  <c r="DL124" i="14" s="1"/>
  <c r="DL125" i="14" s="1"/>
  <c r="DL126" i="14" s="1"/>
  <c r="DL127" i="14" s="1"/>
  <c r="DL128" i="14" s="1"/>
  <c r="AF161" i="14" s="1"/>
  <c r="BP92" i="15"/>
  <c r="BP93" i="15" s="1"/>
  <c r="BP94" i="15" s="1"/>
  <c r="BP95" i="15" s="1"/>
  <c r="BP96" i="15" s="1"/>
  <c r="BP97" i="15" s="1"/>
  <c r="BP98" i="15" s="1"/>
  <c r="BP99" i="15" s="1"/>
  <c r="BP100" i="15" s="1"/>
  <c r="BP101" i="15" s="1"/>
  <c r="BP102" i="15" s="1"/>
  <c r="BP103" i="15" s="1"/>
  <c r="Y161" i="15" s="1"/>
  <c r="BP114" i="13"/>
  <c r="BP115" i="13" s="1"/>
  <c r="BP116" i="13" s="1"/>
  <c r="BP117" i="13" s="1"/>
  <c r="BP118" i="13" s="1"/>
  <c r="BP119" i="13" s="1"/>
  <c r="BP120" i="13" s="1"/>
  <c r="BP121" i="13" s="1"/>
  <c r="BP122" i="13" s="1"/>
  <c r="BP123" i="13" s="1"/>
  <c r="BP124" i="13" s="1"/>
  <c r="BP125" i="13" s="1"/>
  <c r="BP126" i="13" s="1"/>
  <c r="BP127" i="13" s="1"/>
  <c r="BP128" i="13" s="1"/>
  <c r="AD161" i="13" s="1"/>
  <c r="AR114" i="14"/>
  <c r="AR115" i="14" s="1"/>
  <c r="AR116" i="14" s="1"/>
  <c r="AR117" i="14" s="1"/>
  <c r="AR118" i="14" s="1"/>
  <c r="AR119" i="14" s="1"/>
  <c r="AR120" i="14" s="1"/>
  <c r="AR121" i="14" s="1"/>
  <c r="AR122" i="14" s="1"/>
  <c r="AR123" i="14" s="1"/>
  <c r="AR124" i="14" s="1"/>
  <c r="AR125" i="14" s="1"/>
  <c r="AR126" i="14" s="1"/>
  <c r="AR127" i="14" s="1"/>
  <c r="AR128" i="14" s="1"/>
  <c r="AC161" i="14" s="1"/>
  <c r="Y18" i="2"/>
  <c r="U17" i="8" s="1"/>
  <c r="Y22" i="2"/>
  <c r="Y42" i="2" s="1"/>
  <c r="AF40" i="10"/>
  <c r="AF41" i="10" s="1"/>
  <c r="AF42" i="10" s="1"/>
  <c r="AF43" i="10" s="1"/>
  <c r="AF44" i="10" s="1"/>
  <c r="AF45" i="10" s="1"/>
  <c r="AF46" i="10" s="1"/>
  <c r="AF47" i="10" s="1"/>
  <c r="AF48" i="10" s="1"/>
  <c r="AF49" i="10" s="1"/>
  <c r="AF50" i="10" s="1"/>
  <c r="AF51" i="10" s="1"/>
  <c r="AF52" i="10" s="1"/>
  <c r="AF53" i="10" s="1"/>
  <c r="AF54" i="10" s="1"/>
  <c r="K7" i="11" s="1"/>
  <c r="T38" i="13"/>
  <c r="G38" i="13"/>
  <c r="G40" i="13"/>
  <c r="M40" i="13" s="1"/>
  <c r="AE48" i="13"/>
  <c r="AK48" i="13" s="1"/>
  <c r="CA52" i="13"/>
  <c r="CG52" i="13" s="1"/>
  <c r="CA47" i="13"/>
  <c r="CG47" i="13" s="1"/>
  <c r="BC51" i="15"/>
  <c r="BI51" i="15" s="1"/>
  <c r="CY48" i="15"/>
  <c r="DE48" i="15" s="1"/>
  <c r="G40" i="14"/>
  <c r="M40" i="14" s="1"/>
  <c r="BC39" i="13"/>
  <c r="BI39" i="13" s="1"/>
  <c r="CA43" i="16"/>
  <c r="CG43" i="16" s="1"/>
  <c r="CY50" i="13"/>
  <c r="DE50" i="13" s="1"/>
  <c r="BC42" i="15"/>
  <c r="BI42" i="15" s="1"/>
  <c r="DL38" i="15"/>
  <c r="CY38" i="15"/>
  <c r="CY53" i="15"/>
  <c r="DE53" i="15" s="1"/>
  <c r="G49" i="13"/>
  <c r="M49" i="13" s="1"/>
  <c r="AE50" i="15"/>
  <c r="AK50" i="15" s="1"/>
  <c r="BC45" i="13"/>
  <c r="BI45" i="13" s="1"/>
  <c r="CA42" i="15"/>
  <c r="CG42" i="15" s="1"/>
  <c r="G42" i="14"/>
  <c r="M42" i="14" s="1"/>
  <c r="BC48" i="13"/>
  <c r="BI48" i="13" s="1"/>
  <c r="BP38" i="16"/>
  <c r="BC38" i="16"/>
  <c r="BC53" i="16"/>
  <c r="BI53" i="16" s="1"/>
  <c r="AE39" i="13"/>
  <c r="AK39" i="13" s="1"/>
  <c r="AE39" i="15"/>
  <c r="AK39" i="15" s="1"/>
  <c r="CA50" i="13"/>
  <c r="CG50" i="13" s="1"/>
  <c r="CA53" i="14"/>
  <c r="CG53" i="14" s="1"/>
  <c r="H96" i="10"/>
  <c r="Y96" i="10" s="1"/>
  <c r="M66" i="22" s="1"/>
  <c r="H92" i="10"/>
  <c r="Y92" i="10" s="1"/>
  <c r="M62" i="22" s="1"/>
  <c r="G50" i="13"/>
  <c r="M50" i="13" s="1"/>
  <c r="G41" i="14"/>
  <c r="M41" i="14" s="1"/>
  <c r="CY51" i="14"/>
  <c r="DE51" i="14" s="1"/>
  <c r="BC50" i="13"/>
  <c r="BI50" i="13" s="1"/>
  <c r="G43" i="13"/>
  <c r="M43" i="13" s="1"/>
  <c r="BC50" i="14"/>
  <c r="BI50" i="14" s="1"/>
  <c r="CA44" i="14"/>
  <c r="CG44" i="14" s="1"/>
  <c r="AR38" i="13"/>
  <c r="AE38" i="13"/>
  <c r="G47" i="14"/>
  <c r="M47" i="14" s="1"/>
  <c r="G45" i="14"/>
  <c r="M45" i="14" s="1"/>
  <c r="AE44" i="13"/>
  <c r="AK44" i="13" s="1"/>
  <c r="BC45" i="14"/>
  <c r="BI45" i="14" s="1"/>
  <c r="G48" i="14"/>
  <c r="M48" i="14" s="1"/>
  <c r="CA40" i="13"/>
  <c r="CG40" i="13" s="1"/>
  <c r="CA51" i="13"/>
  <c r="CG51" i="13" s="1"/>
  <c r="BP38" i="15"/>
  <c r="BC38" i="15"/>
  <c r="BC53" i="15"/>
  <c r="BI53" i="15" s="1"/>
  <c r="CY50" i="15"/>
  <c r="DE50" i="15" s="1"/>
  <c r="G51" i="14"/>
  <c r="M51" i="14" s="1"/>
  <c r="BC43" i="13"/>
  <c r="BI43" i="13" s="1"/>
  <c r="CA40" i="14"/>
  <c r="CG40" i="14" s="1"/>
  <c r="CA51" i="16"/>
  <c r="CG51" i="16" s="1"/>
  <c r="AE46" i="13"/>
  <c r="AK46" i="13" s="1"/>
  <c r="AE53" i="16"/>
  <c r="AK53" i="16" s="1"/>
  <c r="BC42" i="14"/>
  <c r="BI42" i="14" s="1"/>
  <c r="BC44" i="15"/>
  <c r="BI44" i="15" s="1"/>
  <c r="CY39" i="15"/>
  <c r="DE39" i="15" s="1"/>
  <c r="CA44" i="16"/>
  <c r="CG44" i="16" s="1"/>
  <c r="AE39" i="14"/>
  <c r="AK39" i="14" s="1"/>
  <c r="G52" i="15"/>
  <c r="M52" i="15" s="1"/>
  <c r="BC49" i="13"/>
  <c r="BI49" i="13" s="1"/>
  <c r="CA47" i="15"/>
  <c r="CG47" i="15" s="1"/>
  <c r="AE43" i="14"/>
  <c r="AK43" i="14" s="1"/>
  <c r="BC52" i="13"/>
  <c r="BI52" i="13" s="1"/>
  <c r="BC39" i="16"/>
  <c r="BI39" i="16" s="1"/>
  <c r="CA41" i="16"/>
  <c r="CG41" i="16" s="1"/>
  <c r="AE43" i="13"/>
  <c r="AK43" i="13" s="1"/>
  <c r="G49" i="15"/>
  <c r="M49" i="15" s="1"/>
  <c r="DL38" i="13"/>
  <c r="CY38" i="13"/>
  <c r="DL38" i="14"/>
  <c r="CY38" i="14"/>
  <c r="H103" i="10"/>
  <c r="Y103" i="10" s="1"/>
  <c r="M73" i="22" s="1"/>
  <c r="H98" i="10"/>
  <c r="Y98" i="10" s="1"/>
  <c r="M68" i="22" s="1"/>
  <c r="AE41" i="15"/>
  <c r="AK41" i="15" s="1"/>
  <c r="G46" i="14"/>
  <c r="M46" i="14" s="1"/>
  <c r="T38" i="14"/>
  <c r="G38" i="14"/>
  <c r="CA48" i="13"/>
  <c r="CG48" i="13" s="1"/>
  <c r="AE41" i="13"/>
  <c r="AK41" i="13" s="1"/>
  <c r="CA48" i="14"/>
  <c r="CG48" i="14" s="1"/>
  <c r="CY45" i="14"/>
  <c r="DE45" i="14" s="1"/>
  <c r="G45" i="15"/>
  <c r="M45" i="15" s="1"/>
  <c r="AE51" i="14"/>
  <c r="AK51" i="14" s="1"/>
  <c r="AE49" i="14"/>
  <c r="AK49" i="14" s="1"/>
  <c r="AE49" i="13"/>
  <c r="AK49" i="13" s="1"/>
  <c r="CA50" i="14"/>
  <c r="CG50" i="14" s="1"/>
  <c r="AE42" i="15"/>
  <c r="AK42" i="15" s="1"/>
  <c r="BC42" i="16"/>
  <c r="BI42" i="16" s="1"/>
  <c r="CY52" i="13"/>
  <c r="DE52" i="13" s="1"/>
  <c r="BC39" i="15"/>
  <c r="BI39" i="15" s="1"/>
  <c r="CA43" i="15"/>
  <c r="CG43" i="15" s="1"/>
  <c r="CY52" i="15"/>
  <c r="DE52" i="15" s="1"/>
  <c r="G53" i="14"/>
  <c r="M53" i="14" s="1"/>
  <c r="BC47" i="13"/>
  <c r="BI47" i="13" s="1"/>
  <c r="CA51" i="14"/>
  <c r="CG51" i="14" s="1"/>
  <c r="CY44" i="16"/>
  <c r="DE44" i="16" s="1"/>
  <c r="AE50" i="13"/>
  <c r="AK50" i="13" s="1"/>
  <c r="BP38" i="13"/>
  <c r="BC38" i="13"/>
  <c r="CA45" i="14"/>
  <c r="CG45" i="14" s="1"/>
  <c r="BC46" i="15"/>
  <c r="BI46" i="15" s="1"/>
  <c r="CY41" i="15"/>
  <c r="DE41" i="15" s="1"/>
  <c r="CA52" i="16"/>
  <c r="CG52" i="16" s="1"/>
  <c r="AE42" i="14"/>
  <c r="AK42" i="14" s="1"/>
  <c r="AE53" i="15"/>
  <c r="AK53" i="15" s="1"/>
  <c r="CY43" i="13"/>
  <c r="DE43" i="13" s="1"/>
  <c r="CA52" i="15"/>
  <c r="CG52" i="15" s="1"/>
  <c r="G50" i="14"/>
  <c r="M50" i="14" s="1"/>
  <c r="CY46" i="13"/>
  <c r="DE46" i="13" s="1"/>
  <c r="BC41" i="16"/>
  <c r="BI41" i="16" s="1"/>
  <c r="CA49" i="16"/>
  <c r="CG49" i="16" s="1"/>
  <c r="AE47" i="13"/>
  <c r="AK47" i="13" s="1"/>
  <c r="G42" i="16"/>
  <c r="M42" i="16" s="1"/>
  <c r="CY40" i="13"/>
  <c r="DE40" i="13" s="1"/>
  <c r="CY39" i="14"/>
  <c r="DE39" i="14" s="1"/>
  <c r="G39" i="14"/>
  <c r="M39" i="14" s="1"/>
  <c r="G52" i="16"/>
  <c r="M52" i="16" s="1"/>
  <c r="CA45" i="16"/>
  <c r="CG45" i="16" s="1"/>
  <c r="BC42" i="13"/>
  <c r="BI42" i="13" s="1"/>
  <c r="AE42" i="13"/>
  <c r="AK42" i="13" s="1"/>
  <c r="H97" i="10"/>
  <c r="Y97" i="10" s="1"/>
  <c r="M67" i="22" s="1"/>
  <c r="AR38" i="14"/>
  <c r="AE38" i="14"/>
  <c r="CA40" i="15"/>
  <c r="CG40" i="15" s="1"/>
  <c r="G40" i="15"/>
  <c r="M40" i="15" s="1"/>
  <c r="CY42" i="14"/>
  <c r="DE42" i="14" s="1"/>
  <c r="BC39" i="14"/>
  <c r="BI39" i="14" s="1"/>
  <c r="CA53" i="15"/>
  <c r="CG53" i="15" s="1"/>
  <c r="BC51" i="13"/>
  <c r="BI51" i="13" s="1"/>
  <c r="AE45" i="14"/>
  <c r="AK45" i="14" s="1"/>
  <c r="BC48" i="15"/>
  <c r="BI48" i="15" s="1"/>
  <c r="AE47" i="14"/>
  <c r="AK47" i="14" s="1"/>
  <c r="CA39" i="16"/>
  <c r="CG39" i="16" s="1"/>
  <c r="BC48" i="14"/>
  <c r="BI48" i="14" s="1"/>
  <c r="AE51" i="13"/>
  <c r="AK51" i="13" s="1"/>
  <c r="AE47" i="16"/>
  <c r="AK47" i="16" s="1"/>
  <c r="H106" i="10"/>
  <c r="Y106" i="10" s="1"/>
  <c r="M76" i="22" s="1"/>
  <c r="CY49" i="13"/>
  <c r="DE49" i="13" s="1"/>
  <c r="CA46" i="15"/>
  <c r="CG46" i="15" s="1"/>
  <c r="CA51" i="15"/>
  <c r="CG51" i="15" s="1"/>
  <c r="T38" i="16"/>
  <c r="G38" i="16"/>
  <c r="CA45" i="15"/>
  <c r="CG45" i="15" s="1"/>
  <c r="BC46" i="14"/>
  <c r="BI46" i="14" s="1"/>
  <c r="CA48" i="16"/>
  <c r="CG48" i="16" s="1"/>
  <c r="CY46" i="14"/>
  <c r="DE46" i="14" s="1"/>
  <c r="CA52" i="14"/>
  <c r="CG52" i="14" s="1"/>
  <c r="CY53" i="16"/>
  <c r="DE53" i="16" s="1"/>
  <c r="BC43" i="14"/>
  <c r="BI43" i="14" s="1"/>
  <c r="BC45" i="16"/>
  <c r="BI45" i="16" s="1"/>
  <c r="CA42" i="16"/>
  <c r="CG42" i="16" s="1"/>
  <c r="H105" i="10"/>
  <c r="Y105" i="10" s="1"/>
  <c r="M75" i="22" s="1"/>
  <c r="H101" i="10"/>
  <c r="Y101" i="10" s="1"/>
  <c r="M71" i="22" s="1"/>
  <c r="AE53" i="13"/>
  <c r="AK53" i="13" s="1"/>
  <c r="AE43" i="16"/>
  <c r="AK43" i="16" s="1"/>
  <c r="AE46" i="14"/>
  <c r="AK46" i="14" s="1"/>
  <c r="BC40" i="16"/>
  <c r="BI40" i="16" s="1"/>
  <c r="AE46" i="15"/>
  <c r="AK46" i="15" s="1"/>
  <c r="CY47" i="16"/>
  <c r="DE47" i="16" s="1"/>
  <c r="BC44" i="16"/>
  <c r="BI44" i="16" s="1"/>
  <c r="CY44" i="13"/>
  <c r="DE44" i="13" s="1"/>
  <c r="AE49" i="16"/>
  <c r="AK49" i="16" s="1"/>
  <c r="AE39" i="16"/>
  <c r="AK39" i="16" s="1"/>
  <c r="AE45" i="15"/>
  <c r="AK45" i="15" s="1"/>
  <c r="CA53" i="16"/>
  <c r="CG53" i="16" s="1"/>
  <c r="AE51" i="15"/>
  <c r="AK51" i="15" s="1"/>
  <c r="CY46" i="16"/>
  <c r="DE46" i="16" s="1"/>
  <c r="BC51" i="14"/>
  <c r="BI51" i="14" s="1"/>
  <c r="BC45" i="15"/>
  <c r="BI45" i="15" s="1"/>
  <c r="CY42" i="15"/>
  <c r="DE42" i="15" s="1"/>
  <c r="CY49" i="16"/>
  <c r="DE49" i="16" s="1"/>
  <c r="G39" i="16"/>
  <c r="M39" i="16" s="1"/>
  <c r="CY41" i="13"/>
  <c r="DE41" i="13" s="1"/>
  <c r="CY49" i="14"/>
  <c r="DE49" i="14" s="1"/>
  <c r="G47" i="16"/>
  <c r="M47" i="16" s="1"/>
  <c r="AE44" i="15"/>
  <c r="AK44" i="15" s="1"/>
  <c r="CA49" i="13"/>
  <c r="CG49" i="13" s="1"/>
  <c r="CY41" i="14"/>
  <c r="DE41" i="14" s="1"/>
  <c r="BC52" i="15"/>
  <c r="BI52" i="15" s="1"/>
  <c r="CY47" i="15"/>
  <c r="DE47" i="15" s="1"/>
  <c r="BC40" i="13"/>
  <c r="BI40" i="13" s="1"/>
  <c r="AE53" i="14"/>
  <c r="AK53" i="14" s="1"/>
  <c r="G46" i="16"/>
  <c r="M46" i="16" s="1"/>
  <c r="BC49" i="14"/>
  <c r="BI49" i="14" s="1"/>
  <c r="CY43" i="16"/>
  <c r="DE43" i="16" s="1"/>
  <c r="AE41" i="16"/>
  <c r="AK41" i="16" s="1"/>
  <c r="CY47" i="14"/>
  <c r="DE47" i="14" s="1"/>
  <c r="BC47" i="16"/>
  <c r="BI47" i="16" s="1"/>
  <c r="G39" i="13"/>
  <c r="M39" i="13" s="1"/>
  <c r="G49" i="14"/>
  <c r="M49" i="14" s="1"/>
  <c r="BC53" i="13"/>
  <c r="BI53" i="13" s="1"/>
  <c r="CA39" i="14"/>
  <c r="CG39" i="14" s="1"/>
  <c r="CA50" i="16"/>
  <c r="CG50" i="16" s="1"/>
  <c r="H100" i="10"/>
  <c r="Y100" i="10" s="1"/>
  <c r="M70" i="22" s="1"/>
  <c r="BP38" i="14"/>
  <c r="BC38" i="14"/>
  <c r="BC40" i="14"/>
  <c r="BI40" i="14" s="1"/>
  <c r="G51" i="13"/>
  <c r="M51" i="13" s="1"/>
  <c r="CA47" i="14"/>
  <c r="CG47" i="14" s="1"/>
  <c r="BC52" i="14"/>
  <c r="BI52" i="14" s="1"/>
  <c r="H95" i="10"/>
  <c r="Y95" i="10" s="1"/>
  <c r="M65" i="22" s="1"/>
  <c r="T38" i="15"/>
  <c r="G38" i="15"/>
  <c r="AE52" i="13"/>
  <c r="AK52" i="13" s="1"/>
  <c r="G44" i="16"/>
  <c r="M44" i="16" s="1"/>
  <c r="G43" i="14"/>
  <c r="M43" i="14" s="1"/>
  <c r="G44" i="15"/>
  <c r="M44" i="15" s="1"/>
  <c r="BC41" i="15"/>
  <c r="BI41" i="15" s="1"/>
  <c r="AE38" i="15"/>
  <c r="AR38" i="15"/>
  <c r="CY52" i="16"/>
  <c r="DE52" i="16" s="1"/>
  <c r="CA49" i="14"/>
  <c r="CG49" i="14" s="1"/>
  <c r="CY45" i="16"/>
  <c r="DE45" i="16" s="1"/>
  <c r="AE40" i="16"/>
  <c r="AK40" i="16" s="1"/>
  <c r="G43" i="15"/>
  <c r="M43" i="15" s="1"/>
  <c r="CY40" i="16"/>
  <c r="DE40" i="16" s="1"/>
  <c r="CY51" i="13"/>
  <c r="DE51" i="13" s="1"/>
  <c r="G40" i="16"/>
  <c r="M40" i="16" s="1"/>
  <c r="AE44" i="14"/>
  <c r="AK44" i="14" s="1"/>
  <c r="AE43" i="15"/>
  <c r="AK43" i="15" s="1"/>
  <c r="AE49" i="15"/>
  <c r="AK49" i="15" s="1"/>
  <c r="BC43" i="15"/>
  <c r="BI43" i="15" s="1"/>
  <c r="AR38" i="16"/>
  <c r="AE38" i="16"/>
  <c r="AE48" i="15"/>
  <c r="AK48" i="15" s="1"/>
  <c r="CA45" i="13"/>
  <c r="CG45" i="13" s="1"/>
  <c r="CY45" i="15"/>
  <c r="DE45" i="15" s="1"/>
  <c r="G43" i="16"/>
  <c r="M43" i="16" s="1"/>
  <c r="G50" i="15"/>
  <c r="M50" i="15" s="1"/>
  <c r="CY50" i="16"/>
  <c r="DE50" i="16" s="1"/>
  <c r="BC44" i="14"/>
  <c r="BI44" i="14" s="1"/>
  <c r="H94" i="10"/>
  <c r="Y94" i="10" s="1"/>
  <c r="M64" i="22" s="1"/>
  <c r="AF91" i="10"/>
  <c r="H91" i="10"/>
  <c r="AE40" i="13"/>
  <c r="AK40" i="13" s="1"/>
  <c r="CY48" i="13"/>
  <c r="DE48" i="13" s="1"/>
  <c r="AE48" i="14"/>
  <c r="AK48" i="14" s="1"/>
  <c r="BC48" i="16"/>
  <c r="BI48" i="16" s="1"/>
  <c r="G48" i="15"/>
  <c r="M48" i="15" s="1"/>
  <c r="BC46" i="16"/>
  <c r="BI46" i="16" s="1"/>
  <c r="BC52" i="16"/>
  <c r="BI52" i="16" s="1"/>
  <c r="BC53" i="14"/>
  <c r="BI53" i="14" s="1"/>
  <c r="BC46" i="13"/>
  <c r="BI46" i="13" s="1"/>
  <c r="G41" i="16"/>
  <c r="M41" i="16" s="1"/>
  <c r="G53" i="15"/>
  <c r="M53" i="15" s="1"/>
  <c r="CY39" i="16"/>
  <c r="DE39" i="16" s="1"/>
  <c r="G45" i="16"/>
  <c r="M45" i="16" s="1"/>
  <c r="G53" i="16"/>
  <c r="M53" i="16" s="1"/>
  <c r="CN38" i="14"/>
  <c r="CA38" i="14"/>
  <c r="BC47" i="15"/>
  <c r="BI47" i="15" s="1"/>
  <c r="CY44" i="15"/>
  <c r="DE44" i="15" s="1"/>
  <c r="G45" i="13"/>
  <c r="M45" i="13" s="1"/>
  <c r="AE42" i="16"/>
  <c r="AK42" i="16" s="1"/>
  <c r="CY45" i="13"/>
  <c r="DE45" i="13" s="1"/>
  <c r="CY52" i="14"/>
  <c r="DE52" i="14" s="1"/>
  <c r="BC41" i="14"/>
  <c r="BI41" i="14" s="1"/>
  <c r="AE47" i="15"/>
  <c r="AK47" i="15" s="1"/>
  <c r="CA53" i="13"/>
  <c r="CG53" i="13" s="1"/>
  <c r="CY50" i="14"/>
  <c r="DE50" i="14" s="1"/>
  <c r="CA44" i="15"/>
  <c r="CG44" i="15" s="1"/>
  <c r="CY49" i="15"/>
  <c r="DE49" i="15" s="1"/>
  <c r="CY42" i="13"/>
  <c r="DE42" i="13" s="1"/>
  <c r="G42" i="15"/>
  <c r="M42" i="15" s="1"/>
  <c r="G51" i="16"/>
  <c r="M51" i="16" s="1"/>
  <c r="CY44" i="14"/>
  <c r="DE44" i="14" s="1"/>
  <c r="CY48" i="16"/>
  <c r="DE48" i="16" s="1"/>
  <c r="AE48" i="16"/>
  <c r="AK48" i="16" s="1"/>
  <c r="CY53" i="14"/>
  <c r="DE53" i="14" s="1"/>
  <c r="BC49" i="16"/>
  <c r="BI49" i="16" s="1"/>
  <c r="G44" i="13"/>
  <c r="M44" i="13" s="1"/>
  <c r="AE50" i="14"/>
  <c r="AK50" i="14" s="1"/>
  <c r="CA42" i="13"/>
  <c r="CG42" i="13" s="1"/>
  <c r="CA42" i="14"/>
  <c r="CG42" i="14" s="1"/>
  <c r="CY41" i="16"/>
  <c r="DE41" i="16" s="1"/>
  <c r="H104" i="10"/>
  <c r="Y104" i="10" s="1"/>
  <c r="M74" i="22" s="1"/>
  <c r="G49" i="16"/>
  <c r="M49" i="16" s="1"/>
  <c r="G47" i="13"/>
  <c r="M47" i="13" s="1"/>
  <c r="G42" i="13"/>
  <c r="M42" i="13" s="1"/>
  <c r="AE52" i="16"/>
  <c r="AK52" i="16" s="1"/>
  <c r="AE52" i="15"/>
  <c r="AK52" i="15" s="1"/>
  <c r="CY43" i="14"/>
  <c r="DE43" i="14" s="1"/>
  <c r="CA41" i="15"/>
  <c r="CG41" i="15" s="1"/>
  <c r="G47" i="15"/>
  <c r="M47" i="15" s="1"/>
  <c r="BC50" i="16"/>
  <c r="BI50" i="16" s="1"/>
  <c r="CA40" i="16"/>
  <c r="CG40" i="16" s="1"/>
  <c r="CY40" i="14"/>
  <c r="DE40" i="14" s="1"/>
  <c r="CA41" i="13"/>
  <c r="CG41" i="13" s="1"/>
  <c r="CY43" i="15"/>
  <c r="DE43" i="15" s="1"/>
  <c r="CY47" i="13"/>
  <c r="DE47" i="13" s="1"/>
  <c r="BC43" i="16"/>
  <c r="BI43" i="16" s="1"/>
  <c r="CY48" i="14"/>
  <c r="DE48" i="14" s="1"/>
  <c r="H102" i="10"/>
  <c r="Y102" i="10" s="1"/>
  <c r="M72" i="22" s="1"/>
  <c r="AE41" i="14"/>
  <c r="AK41" i="14" s="1"/>
  <c r="CA50" i="15"/>
  <c r="CG50" i="15" s="1"/>
  <c r="AE50" i="16"/>
  <c r="AK50" i="16" s="1"/>
  <c r="G39" i="15"/>
  <c r="M39" i="15" s="1"/>
  <c r="CA46" i="16"/>
  <c r="CG46" i="16" s="1"/>
  <c r="CY40" i="15"/>
  <c r="DE40" i="15" s="1"/>
  <c r="CN38" i="13"/>
  <c r="CA38" i="13"/>
  <c r="AE40" i="15"/>
  <c r="AK40" i="15" s="1"/>
  <c r="BC50" i="15"/>
  <c r="BI50" i="15" s="1"/>
  <c r="G52" i="14"/>
  <c r="M52" i="14" s="1"/>
  <c r="CA47" i="16"/>
  <c r="CG47" i="16" s="1"/>
  <c r="CA41" i="14"/>
  <c r="CG41" i="14" s="1"/>
  <c r="G44" i="14"/>
  <c r="M44" i="14" s="1"/>
  <c r="G50" i="16"/>
  <c r="M50" i="16" s="1"/>
  <c r="H93" i="10"/>
  <c r="Y93" i="10" s="1"/>
  <c r="M63" i="22" s="1"/>
  <c r="H99" i="10"/>
  <c r="Y99" i="10" s="1"/>
  <c r="M69" i="22" s="1"/>
  <c r="AE45" i="13"/>
  <c r="AK45" i="13" s="1"/>
  <c r="CY53" i="13"/>
  <c r="DE53" i="13" s="1"/>
  <c r="G41" i="15"/>
  <c r="M41" i="15" s="1"/>
  <c r="DL38" i="16"/>
  <c r="CY38" i="16"/>
  <c r="AE45" i="16"/>
  <c r="AK45" i="16" s="1"/>
  <c r="G51" i="15"/>
  <c r="M51" i="15" s="1"/>
  <c r="CA44" i="13"/>
  <c r="CG44" i="13" s="1"/>
  <c r="CN38" i="16"/>
  <c r="CA38" i="16"/>
  <c r="CA39" i="13"/>
  <c r="CG39" i="13" s="1"/>
  <c r="G48" i="13"/>
  <c r="M48" i="13" s="1"/>
  <c r="AE46" i="16"/>
  <c r="AK46" i="16" s="1"/>
  <c r="CY42" i="16"/>
  <c r="DE42" i="16" s="1"/>
  <c r="AE51" i="16"/>
  <c r="AK51" i="16" s="1"/>
  <c r="CA43" i="13"/>
  <c r="CG43" i="13" s="1"/>
  <c r="CA43" i="14"/>
  <c r="CG43" i="14" s="1"/>
  <c r="BC49" i="15"/>
  <c r="BI49" i="15" s="1"/>
  <c r="CY46" i="15"/>
  <c r="DE46" i="15" s="1"/>
  <c r="G53" i="13"/>
  <c r="M53" i="13" s="1"/>
  <c r="G48" i="16"/>
  <c r="M48" i="16" s="1"/>
  <c r="BC47" i="14"/>
  <c r="BI47" i="14" s="1"/>
  <c r="CA48" i="15"/>
  <c r="CG48" i="15" s="1"/>
  <c r="G46" i="13"/>
  <c r="M46" i="13" s="1"/>
  <c r="AE44" i="16"/>
  <c r="AK44" i="16" s="1"/>
  <c r="CY39" i="13"/>
  <c r="DE39" i="13" s="1"/>
  <c r="BC40" i="15"/>
  <c r="BI40" i="15" s="1"/>
  <c r="CA49" i="15"/>
  <c r="CG49" i="15" s="1"/>
  <c r="CY51" i="15"/>
  <c r="DE51" i="15" s="1"/>
  <c r="G41" i="13"/>
  <c r="M41" i="13" s="1"/>
  <c r="G46" i="15"/>
  <c r="M46" i="15" s="1"/>
  <c r="BC41" i="13"/>
  <c r="BI41" i="13" s="1"/>
  <c r="CN38" i="15"/>
  <c r="CA38" i="15"/>
  <c r="AE40" i="14"/>
  <c r="AK40" i="14" s="1"/>
  <c r="BC44" i="13"/>
  <c r="BI44" i="13" s="1"/>
  <c r="CA39" i="15"/>
  <c r="CG39" i="15" s="1"/>
  <c r="BC51" i="16"/>
  <c r="BI51" i="16" s="1"/>
  <c r="G52" i="13"/>
  <c r="M52" i="13" s="1"/>
  <c r="AE52" i="14"/>
  <c r="AK52" i="14" s="1"/>
  <c r="CA46" i="13"/>
  <c r="CG46" i="13" s="1"/>
  <c r="CA46" i="14"/>
  <c r="CG46" i="14" s="1"/>
  <c r="CY51" i="16"/>
  <c r="DE51" i="16" s="1"/>
  <c r="BZ26" i="15"/>
  <c r="BZ18" i="15"/>
  <c r="BZ15" i="15"/>
  <c r="BZ17" i="15"/>
  <c r="BZ23" i="15"/>
  <c r="CX26" i="15"/>
  <c r="CX24" i="15"/>
  <c r="CX22" i="15"/>
  <c r="CX20" i="15"/>
  <c r="CX18" i="15"/>
  <c r="CX16" i="15"/>
  <c r="CX14" i="15"/>
  <c r="BZ20" i="15"/>
  <c r="BZ25" i="15"/>
  <c r="BZ22" i="15"/>
  <c r="BZ14" i="15"/>
  <c r="BZ12" i="15"/>
  <c r="CX12" i="15"/>
  <c r="BZ27" i="15"/>
  <c r="BZ19" i="15"/>
  <c r="CX27" i="15"/>
  <c r="CX25" i="15"/>
  <c r="CX23" i="15"/>
  <c r="CX21" i="15"/>
  <c r="CX19" i="15"/>
  <c r="CX17" i="15"/>
  <c r="CX13" i="15"/>
  <c r="CX15" i="15"/>
  <c r="BZ21" i="15"/>
  <c r="BZ24" i="15"/>
  <c r="BZ13" i="15"/>
  <c r="BZ16" i="15"/>
  <c r="BZ20" i="16"/>
  <c r="BZ15" i="16"/>
  <c r="CX24" i="14"/>
  <c r="CX18" i="14"/>
  <c r="BB27" i="14"/>
  <c r="BZ25" i="14"/>
  <c r="BZ18" i="14"/>
  <c r="AD26" i="16"/>
  <c r="BB22" i="16"/>
  <c r="BB19" i="16"/>
  <c r="BB26" i="15"/>
  <c r="BB25" i="15"/>
  <c r="BB24" i="15"/>
  <c r="AD22" i="15"/>
  <c r="AD20" i="15"/>
  <c r="AD18" i="15"/>
  <c r="AD13" i="15"/>
  <c r="BB12" i="15"/>
  <c r="AD26" i="14"/>
  <c r="F23" i="14"/>
  <c r="AD21" i="14"/>
  <c r="AD18" i="14"/>
  <c r="AD16" i="14"/>
  <c r="F12" i="14"/>
  <c r="BB25" i="13"/>
  <c r="BB21" i="13"/>
  <c r="BB17" i="13"/>
  <c r="BB13" i="13"/>
  <c r="AD17" i="13"/>
  <c r="AD25" i="13"/>
  <c r="F20" i="13"/>
  <c r="AD12" i="13"/>
  <c r="CX26" i="16"/>
  <c r="CX24" i="16"/>
  <c r="CX22" i="16"/>
  <c r="CX20" i="16"/>
  <c r="CX18" i="16"/>
  <c r="CX16" i="16"/>
  <c r="CX14" i="16"/>
  <c r="BZ25" i="16"/>
  <c r="CX21" i="14"/>
  <c r="BB23" i="14"/>
  <c r="BB20" i="14"/>
  <c r="BZ24" i="14"/>
  <c r="BZ17" i="14"/>
  <c r="CX26" i="13"/>
  <c r="CX22" i="13"/>
  <c r="CX19" i="13"/>
  <c r="CX15" i="13"/>
  <c r="BZ27" i="13"/>
  <c r="BZ23" i="13"/>
  <c r="BZ19" i="13"/>
  <c r="BZ15" i="13"/>
  <c r="AD25" i="16"/>
  <c r="AD24" i="16"/>
  <c r="AD23" i="16"/>
  <c r="BB21" i="16"/>
  <c r="BB20" i="16"/>
  <c r="BB18" i="16"/>
  <c r="F16" i="16"/>
  <c r="AD14" i="16"/>
  <c r="BB13" i="16"/>
  <c r="F13" i="16"/>
  <c r="AD27" i="15"/>
  <c r="AD23" i="15"/>
  <c r="F17" i="15"/>
  <c r="F16" i="15"/>
  <c r="F15" i="15"/>
  <c r="F14" i="15"/>
  <c r="AD24" i="14"/>
  <c r="F18" i="14"/>
  <c r="F16" i="14"/>
  <c r="AD13" i="14"/>
  <c r="AD18" i="13"/>
  <c r="AD26" i="13"/>
  <c r="F25" i="13"/>
  <c r="F17" i="13"/>
  <c r="F12" i="13"/>
  <c r="BZ27" i="16"/>
  <c r="BZ19" i="16"/>
  <c r="CX23" i="14"/>
  <c r="BZ22" i="14"/>
  <c r="BZ12" i="14"/>
  <c r="CX25" i="13"/>
  <c r="BZ26" i="13"/>
  <c r="BZ18" i="13"/>
  <c r="BZ14" i="13"/>
  <c r="BB27" i="16"/>
  <c r="F24" i="16"/>
  <c r="AD20" i="16"/>
  <c r="AD18" i="16"/>
  <c r="AD12" i="15"/>
  <c r="AD22" i="14"/>
  <c r="AD20" i="13"/>
  <c r="F19" i="13"/>
  <c r="BB17" i="15"/>
  <c r="BZ22" i="16"/>
  <c r="BZ17" i="16"/>
  <c r="CX27" i="14"/>
  <c r="CX17" i="14"/>
  <c r="CX14" i="14"/>
  <c r="BB26" i="14"/>
  <c r="BB16" i="14"/>
  <c r="BB13" i="14"/>
  <c r="BZ23" i="14"/>
  <c r="BZ16" i="14"/>
  <c r="F27" i="16"/>
  <c r="F26" i="16"/>
  <c r="AD22" i="16"/>
  <c r="AD19" i="16"/>
  <c r="BB17" i="16"/>
  <c r="BB16" i="16"/>
  <c r="F15" i="16"/>
  <c r="AD25" i="15"/>
  <c r="AD24" i="15"/>
  <c r="F22" i="15"/>
  <c r="F21" i="15"/>
  <c r="F20" i="15"/>
  <c r="F19" i="15"/>
  <c r="F18" i="15"/>
  <c r="AD27" i="14"/>
  <c r="F26" i="14"/>
  <c r="AD19" i="14"/>
  <c r="AD14" i="14"/>
  <c r="BB24" i="13"/>
  <c r="BB20" i="13"/>
  <c r="BB16" i="13"/>
  <c r="AD19" i="13"/>
  <c r="AD27" i="13"/>
  <c r="F22" i="13"/>
  <c r="F14" i="13"/>
  <c r="BZ14" i="16"/>
  <c r="BB19" i="14"/>
  <c r="CX18" i="13"/>
  <c r="BZ22" i="13"/>
  <c r="BZ12" i="13"/>
  <c r="F12" i="16"/>
  <c r="AD26" i="15"/>
  <c r="F23" i="15"/>
  <c r="F13" i="15"/>
  <c r="F24" i="14"/>
  <c r="F21" i="14"/>
  <c r="AD12" i="14"/>
  <c r="F27" i="13"/>
  <c r="AD25" i="14"/>
  <c r="BZ24" i="16"/>
  <c r="CX26" i="14"/>
  <c r="CX20" i="14"/>
  <c r="CX16" i="14"/>
  <c r="CX12" i="14"/>
  <c r="BB25" i="14"/>
  <c r="BB22" i="14"/>
  <c r="BB15" i="14"/>
  <c r="BZ15" i="14"/>
  <c r="CX21" i="13"/>
  <c r="CX14" i="13"/>
  <c r="F25" i="16"/>
  <c r="F23" i="16"/>
  <c r="AD21" i="16"/>
  <c r="AD17" i="16"/>
  <c r="F24" i="15"/>
  <c r="BB16" i="15"/>
  <c r="BB14" i="15"/>
  <c r="AD17" i="14"/>
  <c r="AD15" i="14"/>
  <c r="BB27" i="13"/>
  <c r="BB23" i="13"/>
  <c r="BB19" i="13"/>
  <c r="BB15" i="13"/>
  <c r="AD13" i="13"/>
  <c r="AD21" i="13"/>
  <c r="F24" i="13"/>
  <c r="F16" i="13"/>
  <c r="CX27" i="16"/>
  <c r="CX25" i="16"/>
  <c r="CX23" i="16"/>
  <c r="CX21" i="16"/>
  <c r="CX19" i="16"/>
  <c r="CX17" i="16"/>
  <c r="CX15" i="16"/>
  <c r="CX13" i="16"/>
  <c r="CX12" i="16"/>
  <c r="BZ21" i="16"/>
  <c r="BZ16" i="16"/>
  <c r="BZ12" i="16"/>
  <c r="CX13" i="14"/>
  <c r="BB18" i="14"/>
  <c r="BZ21" i="14"/>
  <c r="BZ14" i="14"/>
  <c r="CX24" i="13"/>
  <c r="CX17" i="13"/>
  <c r="BZ25" i="13"/>
  <c r="BZ21" i="13"/>
  <c r="BZ17" i="13"/>
  <c r="BZ13" i="13"/>
  <c r="BB26" i="16"/>
  <c r="F20" i="16"/>
  <c r="AD16" i="16"/>
  <c r="BB15" i="16"/>
  <c r="F14" i="16"/>
  <c r="AD13" i="16"/>
  <c r="AD12" i="16"/>
  <c r="BB27" i="15"/>
  <c r="F27" i="15"/>
  <c r="F26" i="15"/>
  <c r="F25" i="15"/>
  <c r="BB21" i="15"/>
  <c r="BB20" i="15"/>
  <c r="BB19" i="15"/>
  <c r="BB18" i="15"/>
  <c r="BB15" i="15"/>
  <c r="BB13" i="15"/>
  <c r="F27" i="14"/>
  <c r="F22" i="14"/>
  <c r="BZ23" i="16"/>
  <c r="CX22" i="14"/>
  <c r="BB17" i="14"/>
  <c r="BZ20" i="13"/>
  <c r="BB24" i="16"/>
  <c r="F22" i="16"/>
  <c r="F19" i="16"/>
  <c r="AD15" i="16"/>
  <c r="AD17" i="15"/>
  <c r="F19" i="14"/>
  <c r="F14" i="14"/>
  <c r="BB22" i="13"/>
  <c r="BB12" i="13"/>
  <c r="AD23" i="13"/>
  <c r="BZ26" i="16"/>
  <c r="CX27" i="13"/>
  <c r="CX16" i="13"/>
  <c r="AD14" i="15"/>
  <c r="AD23" i="14"/>
  <c r="AD24" i="13"/>
  <c r="F23" i="13"/>
  <c r="F13" i="13"/>
  <c r="CX25" i="14"/>
  <c r="BZ13" i="14"/>
  <c r="BB25" i="16"/>
  <c r="AD21" i="15"/>
  <c r="BB14" i="13"/>
  <c r="F26" i="13"/>
  <c r="BZ18" i="16"/>
  <c r="BB21" i="14"/>
  <c r="BZ27" i="14"/>
  <c r="BZ24" i="13"/>
  <c r="AD15" i="15"/>
  <c r="F12" i="15"/>
  <c r="AD20" i="14"/>
  <c r="CX15" i="14"/>
  <c r="BZ26" i="14"/>
  <c r="CX20" i="13"/>
  <c r="F25" i="14"/>
  <c r="F15" i="13"/>
  <c r="F15" i="14"/>
  <c r="BB24" i="14"/>
  <c r="CX12" i="13"/>
  <c r="BZ16" i="13"/>
  <c r="F17" i="16"/>
  <c r="BB14" i="16"/>
  <c r="AD19" i="15"/>
  <c r="AD16" i="15"/>
  <c r="F17" i="14"/>
  <c r="BB18" i="13"/>
  <c r="AD15" i="13"/>
  <c r="F18" i="13"/>
  <c r="CX19" i="14"/>
  <c r="BB14" i="14"/>
  <c r="BZ20" i="14"/>
  <c r="CX23" i="13"/>
  <c r="BB23" i="16"/>
  <c r="F21" i="16"/>
  <c r="BB12" i="16"/>
  <c r="F13" i="14"/>
  <c r="AD16" i="13"/>
  <c r="F21" i="13"/>
  <c r="BZ13" i="16"/>
  <c r="BZ19" i="14"/>
  <c r="CX13" i="13"/>
  <c r="AD27" i="16"/>
  <c r="F18" i="16"/>
  <c r="BB23" i="15"/>
  <c r="AD22" i="13"/>
  <c r="BB26" i="13"/>
  <c r="BB12" i="14"/>
  <c r="BB22" i="15"/>
  <c r="F20" i="14"/>
  <c r="AD14" i="13"/>
  <c r="H24" i="10"/>
  <c r="Y24" i="10" s="1"/>
  <c r="J72" i="22" s="1"/>
  <c r="W13" i="10"/>
  <c r="AB13" i="10" s="1"/>
  <c r="H17" i="10"/>
  <c r="Y17" i="10" s="1"/>
  <c r="J65" i="22" s="1"/>
  <c r="H14" i="10"/>
  <c r="Y14" i="10" s="1"/>
  <c r="J62" i="22" s="1"/>
  <c r="Q69" i="2"/>
  <c r="R24" i="8" s="1"/>
  <c r="I39" i="10"/>
  <c r="W39" i="10" s="1"/>
  <c r="AB39" i="10" s="1"/>
  <c r="H23" i="10"/>
  <c r="Y23" i="10" s="1"/>
  <c r="J71" i="22" s="1"/>
  <c r="H21" i="10"/>
  <c r="Y21" i="10" s="1"/>
  <c r="J69" i="22" s="1"/>
  <c r="H26" i="10"/>
  <c r="Y26" i="10" s="1"/>
  <c r="J74" i="22" s="1"/>
  <c r="H15" i="10"/>
  <c r="Y15" i="10" s="1"/>
  <c r="J63" i="22" s="1"/>
  <c r="H27" i="10"/>
  <c r="Y27" i="10" s="1"/>
  <c r="J75" i="22" s="1"/>
  <c r="AF18" i="2"/>
  <c r="W17" i="8" s="1"/>
  <c r="H18" i="10"/>
  <c r="Y18" i="10" s="1"/>
  <c r="J66" i="22" s="1"/>
  <c r="H13" i="10"/>
  <c r="AF13" i="10"/>
  <c r="H20" i="10"/>
  <c r="Y20" i="10" s="1"/>
  <c r="J68" i="22" s="1"/>
  <c r="H16" i="10"/>
  <c r="H22" i="10"/>
  <c r="H19" i="10"/>
  <c r="H25" i="10"/>
  <c r="H28" i="10"/>
  <c r="Q19" i="8"/>
  <c r="K69" i="2"/>
  <c r="Q24" i="8" s="1"/>
  <c r="R21" i="2"/>
  <c r="V20" i="8"/>
  <c r="CN39" i="14" l="1"/>
  <c r="CN40" i="14" s="1"/>
  <c r="CN41" i="14" s="1"/>
  <c r="CN42" i="14" s="1"/>
  <c r="CN43" i="14" s="1"/>
  <c r="CN44" i="14" s="1"/>
  <c r="CN45" i="14" s="1"/>
  <c r="CN46" i="14" s="1"/>
  <c r="CN47" i="14" s="1"/>
  <c r="CN48" i="14" s="1"/>
  <c r="CN49" i="14" s="1"/>
  <c r="CN50" i="14" s="1"/>
  <c r="CN51" i="14" s="1"/>
  <c r="CN52" i="14" s="1"/>
  <c r="CN53" i="14" s="1"/>
  <c r="P161" i="14" s="1"/>
  <c r="AR39" i="14"/>
  <c r="Y39" i="10"/>
  <c r="BI113" i="13"/>
  <c r="BQ113" i="13"/>
  <c r="BQ114" i="13" s="1"/>
  <c r="BQ115" i="13" s="1"/>
  <c r="BQ116" i="13" s="1"/>
  <c r="BQ117" i="13" s="1"/>
  <c r="BQ118" i="13" s="1"/>
  <c r="BQ119" i="13" s="1"/>
  <c r="BQ120" i="13" s="1"/>
  <c r="BQ121" i="13" s="1"/>
  <c r="BQ122" i="13" s="1"/>
  <c r="BQ123" i="13" s="1"/>
  <c r="BQ124" i="13" s="1"/>
  <c r="BQ125" i="13" s="1"/>
  <c r="BQ126" i="13" s="1"/>
  <c r="BQ127" i="13" s="1"/>
  <c r="BQ128" i="13" s="1"/>
  <c r="AD162" i="13" s="1"/>
  <c r="AD163" i="13" s="1"/>
  <c r="AD165" i="13" s="1"/>
  <c r="AD167" i="13" s="1"/>
  <c r="AK88" i="14"/>
  <c r="AS88" i="14"/>
  <c r="AS89" i="14" s="1"/>
  <c r="AS90" i="14" s="1"/>
  <c r="AS91" i="14" s="1"/>
  <c r="AS92" i="14" s="1"/>
  <c r="AS93" i="14" s="1"/>
  <c r="AS94" i="14" s="1"/>
  <c r="AS95" i="14" s="1"/>
  <c r="AS96" i="14" s="1"/>
  <c r="AS97" i="14" s="1"/>
  <c r="AS98" i="14" s="1"/>
  <c r="AS99" i="14" s="1"/>
  <c r="AS100" i="14" s="1"/>
  <c r="AS101" i="14" s="1"/>
  <c r="AS102" i="14" s="1"/>
  <c r="AS103" i="14" s="1"/>
  <c r="X162" i="14" s="1"/>
  <c r="X163" i="14" s="1"/>
  <c r="X165" i="14" s="1"/>
  <c r="X167" i="14" s="1"/>
  <c r="DE88" i="16"/>
  <c r="DO88" i="16" s="1"/>
  <c r="DO89" i="16" s="1"/>
  <c r="DO90" i="16" s="1"/>
  <c r="DO91" i="16" s="1"/>
  <c r="DO92" i="16" s="1"/>
  <c r="DO93" i="16" s="1"/>
  <c r="DO94" i="16" s="1"/>
  <c r="DO95" i="16" s="1"/>
  <c r="DO96" i="16" s="1"/>
  <c r="DO97" i="16" s="1"/>
  <c r="DO98" i="16" s="1"/>
  <c r="DO99" i="16" s="1"/>
  <c r="DO100" i="16" s="1"/>
  <c r="DO101" i="16" s="1"/>
  <c r="DO102" i="16" s="1"/>
  <c r="DO103" i="16" s="1"/>
  <c r="DM88" i="16"/>
  <c r="DM89" i="16" s="1"/>
  <c r="DM90" i="16" s="1"/>
  <c r="DM91" i="16" s="1"/>
  <c r="DM92" i="16" s="1"/>
  <c r="DM93" i="16" s="1"/>
  <c r="DM94" i="16" s="1"/>
  <c r="DM95" i="16" s="1"/>
  <c r="DM96" i="16" s="1"/>
  <c r="DM97" i="16" s="1"/>
  <c r="DM98" i="16" s="1"/>
  <c r="DM99" i="16" s="1"/>
  <c r="DM100" i="16" s="1"/>
  <c r="DM101" i="16" s="1"/>
  <c r="DM102" i="16" s="1"/>
  <c r="DM103" i="16" s="1"/>
  <c r="AA162" i="16" s="1"/>
  <c r="AA163" i="16" s="1"/>
  <c r="M88" i="15"/>
  <c r="CG88" i="14"/>
  <c r="M88" i="16"/>
  <c r="U88" i="16"/>
  <c r="U89" i="16" s="1"/>
  <c r="U90" i="16" s="1"/>
  <c r="U91" i="16" s="1"/>
  <c r="U92" i="16" s="1"/>
  <c r="U93" i="16" s="1"/>
  <c r="U94" i="16" s="1"/>
  <c r="U95" i="16" s="1"/>
  <c r="U96" i="16" s="1"/>
  <c r="U97" i="16" s="1"/>
  <c r="U98" i="16" s="1"/>
  <c r="U99" i="16" s="1"/>
  <c r="U100" i="16" s="1"/>
  <c r="U101" i="16" s="1"/>
  <c r="U102" i="16" s="1"/>
  <c r="U103" i="16" s="1"/>
  <c r="W162" i="16" s="1"/>
  <c r="W163" i="16" s="1"/>
  <c r="AK88" i="13"/>
  <c r="CG88" i="16"/>
  <c r="CQ88" i="16" s="1"/>
  <c r="CQ89" i="16" s="1"/>
  <c r="CQ90" i="16" s="1"/>
  <c r="CQ91" i="16" s="1"/>
  <c r="CQ92" i="16" s="1"/>
  <c r="CQ93" i="16" s="1"/>
  <c r="CQ94" i="16" s="1"/>
  <c r="CQ95" i="16" s="1"/>
  <c r="CQ96" i="16" s="1"/>
  <c r="CQ97" i="16" s="1"/>
  <c r="CQ98" i="16" s="1"/>
  <c r="CQ99" i="16" s="1"/>
  <c r="CQ100" i="16" s="1"/>
  <c r="CQ101" i="16" s="1"/>
  <c r="CQ102" i="16" s="1"/>
  <c r="CQ103" i="16" s="1"/>
  <c r="CO88" i="16"/>
  <c r="CO89" i="16" s="1"/>
  <c r="CO90" i="16" s="1"/>
  <c r="CO91" i="16" s="1"/>
  <c r="CO92" i="16" s="1"/>
  <c r="CO93" i="16" s="1"/>
  <c r="CO94" i="16" s="1"/>
  <c r="CO95" i="16" s="1"/>
  <c r="CO96" i="16" s="1"/>
  <c r="CO97" i="16" s="1"/>
  <c r="CO98" i="16" s="1"/>
  <c r="CO99" i="16" s="1"/>
  <c r="CO100" i="16" s="1"/>
  <c r="CO101" i="16" s="1"/>
  <c r="CO102" i="16" s="1"/>
  <c r="CO103" i="16" s="1"/>
  <c r="Z162" i="16" s="1"/>
  <c r="AK88" i="16"/>
  <c r="AU88" i="16" s="1"/>
  <c r="AU89" i="16" s="1"/>
  <c r="AU90" i="16" s="1"/>
  <c r="AU91" i="16" s="1"/>
  <c r="AU92" i="16" s="1"/>
  <c r="AU93" i="16" s="1"/>
  <c r="AU94" i="16" s="1"/>
  <c r="AU95" i="16" s="1"/>
  <c r="AU96" i="16" s="1"/>
  <c r="AU97" i="16" s="1"/>
  <c r="AU98" i="16" s="1"/>
  <c r="AU99" i="16" s="1"/>
  <c r="AU100" i="16" s="1"/>
  <c r="AU101" i="16" s="1"/>
  <c r="AU102" i="16" s="1"/>
  <c r="AU103" i="16" s="1"/>
  <c r="DE113" i="13"/>
  <c r="M113" i="14"/>
  <c r="CG113" i="13"/>
  <c r="CO113" i="13"/>
  <c r="CO114" i="13" s="1"/>
  <c r="CO115" i="13" s="1"/>
  <c r="CO116" i="13" s="1"/>
  <c r="CO117" i="13" s="1"/>
  <c r="CO118" i="13" s="1"/>
  <c r="CO119" i="13" s="1"/>
  <c r="CO120" i="13" s="1"/>
  <c r="CO121" i="13" s="1"/>
  <c r="CO122" i="13" s="1"/>
  <c r="CO123" i="13" s="1"/>
  <c r="CO124" i="13" s="1"/>
  <c r="CO125" i="13" s="1"/>
  <c r="CO126" i="13" s="1"/>
  <c r="CO127" i="13" s="1"/>
  <c r="CO128" i="13" s="1"/>
  <c r="AE162" i="13" s="1"/>
  <c r="AE163" i="13" s="1"/>
  <c r="AE165" i="13" s="1"/>
  <c r="AE167" i="13" s="1"/>
  <c r="M88" i="13"/>
  <c r="BI88" i="13"/>
  <c r="BQ88" i="13"/>
  <c r="BQ89" i="13" s="1"/>
  <c r="BQ90" i="13" s="1"/>
  <c r="BQ91" i="13" s="1"/>
  <c r="BQ92" i="13" s="1"/>
  <c r="BQ93" i="13" s="1"/>
  <c r="BQ94" i="13" s="1"/>
  <c r="BQ95" i="13" s="1"/>
  <c r="BQ96" i="13" s="1"/>
  <c r="BQ97" i="13" s="1"/>
  <c r="BQ98" i="13" s="1"/>
  <c r="BQ99" i="13" s="1"/>
  <c r="BQ100" i="13" s="1"/>
  <c r="BQ101" i="13" s="1"/>
  <c r="BQ102" i="13" s="1"/>
  <c r="BQ103" i="13" s="1"/>
  <c r="Y162" i="13" s="1"/>
  <c r="M88" i="14"/>
  <c r="CG88" i="13"/>
  <c r="CO88" i="13"/>
  <c r="CO89" i="13" s="1"/>
  <c r="CO90" i="13" s="1"/>
  <c r="CO91" i="13" s="1"/>
  <c r="CO92" i="13" s="1"/>
  <c r="CO93" i="13" s="1"/>
  <c r="CO94" i="13" s="1"/>
  <c r="CO95" i="13" s="1"/>
  <c r="CO96" i="13" s="1"/>
  <c r="CO97" i="13" s="1"/>
  <c r="CO98" i="13" s="1"/>
  <c r="CO99" i="13" s="1"/>
  <c r="CO100" i="13" s="1"/>
  <c r="CO101" i="13" s="1"/>
  <c r="CO102" i="13" s="1"/>
  <c r="CO103" i="13" s="1"/>
  <c r="Z162" i="13" s="1"/>
  <c r="Z163" i="13" s="1"/>
  <c r="Z165" i="13" s="1"/>
  <c r="Z167" i="13" s="1"/>
  <c r="DE88" i="13"/>
  <c r="BI88" i="15"/>
  <c r="BQ88" i="15"/>
  <c r="BQ89" i="15" s="1"/>
  <c r="BQ90" i="15" s="1"/>
  <c r="BQ91" i="15" s="1"/>
  <c r="BQ92" i="15" s="1"/>
  <c r="BQ93" i="15" s="1"/>
  <c r="BQ94" i="15" s="1"/>
  <c r="BQ95" i="15" s="1"/>
  <c r="BQ96" i="15" s="1"/>
  <c r="BQ97" i="15" s="1"/>
  <c r="BQ98" i="15" s="1"/>
  <c r="BQ99" i="15" s="1"/>
  <c r="BQ100" i="15" s="1"/>
  <c r="BQ101" i="15" s="1"/>
  <c r="BQ102" i="15" s="1"/>
  <c r="BQ103" i="15" s="1"/>
  <c r="Y162" i="15" s="1"/>
  <c r="Y163" i="15" s="1"/>
  <c r="Y165" i="15" s="1"/>
  <c r="Y167" i="15" s="1"/>
  <c r="M113" i="13"/>
  <c r="AK113" i="14"/>
  <c r="AS113" i="14"/>
  <c r="AS114" i="14" s="1"/>
  <c r="AS115" i="14" s="1"/>
  <c r="AS116" i="14" s="1"/>
  <c r="AS117" i="14" s="1"/>
  <c r="AS118" i="14" s="1"/>
  <c r="AS119" i="14" s="1"/>
  <c r="AS120" i="14" s="1"/>
  <c r="AS121" i="14" s="1"/>
  <c r="AS122" i="14" s="1"/>
  <c r="AS123" i="14" s="1"/>
  <c r="AS124" i="14" s="1"/>
  <c r="AS125" i="14" s="1"/>
  <c r="AS126" i="14" s="1"/>
  <c r="AS127" i="14" s="1"/>
  <c r="AS128" i="14" s="1"/>
  <c r="AC162" i="14" s="1"/>
  <c r="AC163" i="14" s="1"/>
  <c r="AC165" i="14" s="1"/>
  <c r="AC167" i="14" s="1"/>
  <c r="DE113" i="14"/>
  <c r="BI113" i="14"/>
  <c r="BQ113" i="14"/>
  <c r="BQ114" i="14" s="1"/>
  <c r="BQ115" i="14" s="1"/>
  <c r="BQ116" i="14" s="1"/>
  <c r="BQ117" i="14" s="1"/>
  <c r="BQ118" i="14" s="1"/>
  <c r="BQ119" i="14" s="1"/>
  <c r="BQ120" i="14" s="1"/>
  <c r="BQ121" i="14" s="1"/>
  <c r="BQ122" i="14" s="1"/>
  <c r="BQ123" i="14" s="1"/>
  <c r="BQ124" i="14" s="1"/>
  <c r="BQ125" i="14" s="1"/>
  <c r="BQ126" i="14" s="1"/>
  <c r="BQ127" i="14" s="1"/>
  <c r="BI88" i="14"/>
  <c r="BX73" i="15"/>
  <c r="BX74" i="15" s="1"/>
  <c r="BX75" i="15" s="1"/>
  <c r="BX76" i="15" s="1"/>
  <c r="BX77" i="15" s="1"/>
  <c r="BX78" i="15" s="1"/>
  <c r="DX63" i="15"/>
  <c r="DX64" i="15" s="1"/>
  <c r="DX65" i="15" s="1"/>
  <c r="DX66" i="15" s="1"/>
  <c r="DX67" i="15" s="1"/>
  <c r="DX68" i="15" s="1"/>
  <c r="DX69" i="15" s="1"/>
  <c r="DX70" i="15" s="1"/>
  <c r="DX71" i="15" s="1"/>
  <c r="DX72" i="15" s="1"/>
  <c r="DX73" i="15" s="1"/>
  <c r="DX74" i="15" s="1"/>
  <c r="DX75" i="15" s="1"/>
  <c r="DX76" i="15" s="1"/>
  <c r="DX77" i="15" s="1"/>
  <c r="DX78" i="15" s="1"/>
  <c r="AX63" i="15"/>
  <c r="AX64" i="15" s="1"/>
  <c r="AX65" i="15" s="1"/>
  <c r="AX66" i="15" s="1"/>
  <c r="AX67" i="15" s="1"/>
  <c r="AX68" i="15" s="1"/>
  <c r="AX69" i="15" s="1"/>
  <c r="AX70" i="15" s="1"/>
  <c r="AX71" i="15" s="1"/>
  <c r="AX72" i="15" s="1"/>
  <c r="AX73" i="15" s="1"/>
  <c r="AX74" i="15" s="1"/>
  <c r="AX75" i="15" s="1"/>
  <c r="AX76" i="15" s="1"/>
  <c r="AX77" i="15" s="1"/>
  <c r="AX78" i="15" s="1"/>
  <c r="BG113" i="15"/>
  <c r="DC113" i="15"/>
  <c r="CE113" i="15"/>
  <c r="CF113" i="15" s="1"/>
  <c r="AI113" i="15"/>
  <c r="AW73" i="15"/>
  <c r="AW74" i="15" s="1"/>
  <c r="AW75" i="15" s="1"/>
  <c r="AW76" i="15" s="1"/>
  <c r="AW77" i="15" s="1"/>
  <c r="AW78" i="15" s="1"/>
  <c r="S162" i="15" s="1"/>
  <c r="S163" i="15" s="1"/>
  <c r="S165" i="15" s="1"/>
  <c r="S167" i="15" s="1"/>
  <c r="CX71" i="15"/>
  <c r="CX72" i="15" s="1"/>
  <c r="CX73" i="15" s="1"/>
  <c r="CX74" i="15" s="1"/>
  <c r="CX75" i="15" s="1"/>
  <c r="CX76" i="15" s="1"/>
  <c r="CX77" i="15" s="1"/>
  <c r="CX78" i="15" s="1"/>
  <c r="S20" i="8"/>
  <c r="X69" i="2"/>
  <c r="T24" i="8" s="1"/>
  <c r="CG113" i="16"/>
  <c r="DE113" i="16"/>
  <c r="AK113" i="16"/>
  <c r="AS113" i="16"/>
  <c r="AS114" i="16" s="1"/>
  <c r="AS115" i="16" s="1"/>
  <c r="AS116" i="16" s="1"/>
  <c r="AS117" i="16" s="1"/>
  <c r="AS118" i="16" s="1"/>
  <c r="AS119" i="16" s="1"/>
  <c r="AS120" i="16" s="1"/>
  <c r="AS121" i="16" s="1"/>
  <c r="AS122" i="16" s="1"/>
  <c r="AS123" i="16" s="1"/>
  <c r="AS124" i="16" s="1"/>
  <c r="AS125" i="16" s="1"/>
  <c r="AS126" i="16" s="1"/>
  <c r="AS127" i="16" s="1"/>
  <c r="AS128" i="16" s="1"/>
  <c r="AC162" i="16" s="1"/>
  <c r="AC163" i="16" s="1"/>
  <c r="DV63" i="15"/>
  <c r="DY63" i="15"/>
  <c r="DY63" i="16"/>
  <c r="DV63" i="16"/>
  <c r="CV63" i="14"/>
  <c r="CY63" i="14"/>
  <c r="V63" i="15"/>
  <c r="Y63" i="15"/>
  <c r="DV63" i="14"/>
  <c r="DY63" i="14"/>
  <c r="AF65" i="10"/>
  <c r="H65" i="10"/>
  <c r="AV63" i="16"/>
  <c r="AY63" i="16"/>
  <c r="CO113" i="14"/>
  <c r="CO114" i="14" s="1"/>
  <c r="CO115" i="14" s="1"/>
  <c r="CO116" i="14" s="1"/>
  <c r="CO117" i="14" s="1"/>
  <c r="CO118" i="14" s="1"/>
  <c r="CO119" i="14" s="1"/>
  <c r="CO120" i="14" s="1"/>
  <c r="CO121" i="14" s="1"/>
  <c r="CO122" i="14" s="1"/>
  <c r="CO123" i="14" s="1"/>
  <c r="CO124" i="14" s="1"/>
  <c r="CO125" i="14" s="1"/>
  <c r="CO126" i="14" s="1"/>
  <c r="CO127" i="14" s="1"/>
  <c r="CO128" i="14" s="1"/>
  <c r="AE162" i="14" s="1"/>
  <c r="AE163" i="14" s="1"/>
  <c r="AE165" i="14" s="1"/>
  <c r="AE167" i="14" s="1"/>
  <c r="CF113" i="14"/>
  <c r="U113" i="15"/>
  <c r="U114" i="15" s="1"/>
  <c r="U115" i="15" s="1"/>
  <c r="U116" i="15" s="1"/>
  <c r="U117" i="15" s="1"/>
  <c r="U118" i="15" s="1"/>
  <c r="U119" i="15" s="1"/>
  <c r="U120" i="15" s="1"/>
  <c r="U121" i="15" s="1"/>
  <c r="U122" i="15" s="1"/>
  <c r="U123" i="15" s="1"/>
  <c r="U124" i="15" s="1"/>
  <c r="U125" i="15" s="1"/>
  <c r="U126" i="15" s="1"/>
  <c r="U127" i="15" s="1"/>
  <c r="U128" i="15" s="1"/>
  <c r="AB162" i="15" s="1"/>
  <c r="AB163" i="15" s="1"/>
  <c r="AB165" i="15" s="1"/>
  <c r="AB167" i="15" s="1"/>
  <c r="L113" i="15"/>
  <c r="AS113" i="13"/>
  <c r="AS114" i="13" s="1"/>
  <c r="AS115" i="13" s="1"/>
  <c r="AS116" i="13" s="1"/>
  <c r="AS117" i="13" s="1"/>
  <c r="AS118" i="13" s="1"/>
  <c r="AS119" i="13" s="1"/>
  <c r="AS120" i="13" s="1"/>
  <c r="AS121" i="13" s="1"/>
  <c r="AS122" i="13" s="1"/>
  <c r="AS123" i="13" s="1"/>
  <c r="AS124" i="13" s="1"/>
  <c r="AS125" i="13" s="1"/>
  <c r="AS126" i="13" s="1"/>
  <c r="AS127" i="13" s="1"/>
  <c r="AS128" i="13" s="1"/>
  <c r="AC162" i="13" s="1"/>
  <c r="AC163" i="13" s="1"/>
  <c r="AC165" i="13" s="1"/>
  <c r="AC167" i="13" s="1"/>
  <c r="AJ113" i="13"/>
  <c r="BQ113" i="16"/>
  <c r="BQ114" i="16" s="1"/>
  <c r="BQ115" i="16" s="1"/>
  <c r="BQ116" i="16" s="1"/>
  <c r="BQ117" i="16" s="1"/>
  <c r="BQ118" i="16" s="1"/>
  <c r="BQ119" i="16" s="1"/>
  <c r="BQ120" i="16" s="1"/>
  <c r="BQ121" i="16" s="1"/>
  <c r="BQ122" i="16" s="1"/>
  <c r="BQ123" i="16" s="1"/>
  <c r="BQ124" i="16" s="1"/>
  <c r="BQ125" i="16" s="1"/>
  <c r="BQ126" i="16" s="1"/>
  <c r="BQ127" i="16" s="1"/>
  <c r="BQ128" i="16" s="1"/>
  <c r="AD162" i="16" s="1"/>
  <c r="AD163" i="16" s="1"/>
  <c r="BH113" i="16"/>
  <c r="U113" i="16"/>
  <c r="U114" i="16" s="1"/>
  <c r="U115" i="16" s="1"/>
  <c r="U116" i="16" s="1"/>
  <c r="U117" i="16" s="1"/>
  <c r="U118" i="16" s="1"/>
  <c r="U119" i="16" s="1"/>
  <c r="U120" i="16" s="1"/>
  <c r="U121" i="16" s="1"/>
  <c r="U122" i="16" s="1"/>
  <c r="U123" i="16" s="1"/>
  <c r="U124" i="16" s="1"/>
  <c r="U125" i="16" s="1"/>
  <c r="U126" i="16" s="1"/>
  <c r="U127" i="16" s="1"/>
  <c r="U128" i="16" s="1"/>
  <c r="AB162" i="16" s="1"/>
  <c r="AB163" i="16" s="1"/>
  <c r="L113" i="16"/>
  <c r="AI88" i="15"/>
  <c r="BQ88" i="16"/>
  <c r="BQ89" i="16" s="1"/>
  <c r="BQ90" i="16" s="1"/>
  <c r="BQ91" i="16" s="1"/>
  <c r="BQ92" i="16" s="1"/>
  <c r="BQ93" i="16" s="1"/>
  <c r="BQ94" i="16" s="1"/>
  <c r="BQ95" i="16" s="1"/>
  <c r="BQ96" i="16" s="1"/>
  <c r="BQ97" i="16" s="1"/>
  <c r="BQ98" i="16" s="1"/>
  <c r="BQ99" i="16" s="1"/>
  <c r="BQ100" i="16" s="1"/>
  <c r="BQ101" i="16" s="1"/>
  <c r="BQ102" i="16" s="1"/>
  <c r="BQ103" i="16" s="1"/>
  <c r="Y162" i="16" s="1"/>
  <c r="Y163" i="16" s="1"/>
  <c r="BH88" i="16"/>
  <c r="DM88" i="15"/>
  <c r="DM89" i="15" s="1"/>
  <c r="DM90" i="15" s="1"/>
  <c r="DM91" i="15" s="1"/>
  <c r="DM92" i="15" s="1"/>
  <c r="DM93" i="15" s="1"/>
  <c r="DM94" i="15" s="1"/>
  <c r="DM95" i="15" s="1"/>
  <c r="DM96" i="15" s="1"/>
  <c r="DM97" i="15" s="1"/>
  <c r="DM98" i="15" s="1"/>
  <c r="DM99" i="15" s="1"/>
  <c r="DM100" i="15" s="1"/>
  <c r="DM101" i="15" s="1"/>
  <c r="DM102" i="15" s="1"/>
  <c r="DM103" i="15" s="1"/>
  <c r="AA162" i="15" s="1"/>
  <c r="AA163" i="15" s="1"/>
  <c r="AA165" i="15" s="1"/>
  <c r="AA167" i="15" s="1"/>
  <c r="DD88" i="15"/>
  <c r="DM88" i="14"/>
  <c r="DM89" i="14" s="1"/>
  <c r="DM90" i="14" s="1"/>
  <c r="DM91" i="14" s="1"/>
  <c r="DM92" i="14" s="1"/>
  <c r="DM93" i="14" s="1"/>
  <c r="DM94" i="14" s="1"/>
  <c r="DM95" i="14" s="1"/>
  <c r="DM96" i="14" s="1"/>
  <c r="DM97" i="14" s="1"/>
  <c r="DM98" i="14" s="1"/>
  <c r="DM99" i="14" s="1"/>
  <c r="DM100" i="14" s="1"/>
  <c r="DM101" i="14" s="1"/>
  <c r="DM102" i="14" s="1"/>
  <c r="DM103" i="14" s="1"/>
  <c r="AA162" i="14" s="1"/>
  <c r="AA163" i="14" s="1"/>
  <c r="AA165" i="14" s="1"/>
  <c r="AA167" i="14" s="1"/>
  <c r="DD88" i="14"/>
  <c r="BQ88" i="14"/>
  <c r="BQ89" i="14" s="1"/>
  <c r="BQ90" i="14" s="1"/>
  <c r="BQ91" i="14" s="1"/>
  <c r="BQ92" i="14" s="1"/>
  <c r="BQ93" i="14" s="1"/>
  <c r="BQ94" i="14" s="1"/>
  <c r="BQ95" i="14" s="1"/>
  <c r="BQ96" i="14" s="1"/>
  <c r="BQ97" i="14" s="1"/>
  <c r="BQ98" i="14" s="1"/>
  <c r="BQ99" i="14" s="1"/>
  <c r="BQ100" i="14" s="1"/>
  <c r="BQ101" i="14" s="1"/>
  <c r="BQ102" i="14" s="1"/>
  <c r="BQ103" i="14" s="1"/>
  <c r="Y162" i="14" s="1"/>
  <c r="Y163" i="14" s="1"/>
  <c r="Y165" i="14" s="1"/>
  <c r="Y167" i="14" s="1"/>
  <c r="BH88" i="14"/>
  <c r="AV63" i="15"/>
  <c r="AY63" i="15"/>
  <c r="CY63" i="16"/>
  <c r="CV63" i="16"/>
  <c r="V63" i="14"/>
  <c r="Y63" i="14"/>
  <c r="DE88" i="14"/>
  <c r="DM113" i="13"/>
  <c r="DM114" i="13" s="1"/>
  <c r="DM115" i="13" s="1"/>
  <c r="DM116" i="13" s="1"/>
  <c r="DM117" i="13" s="1"/>
  <c r="DM118" i="13" s="1"/>
  <c r="DM119" i="13" s="1"/>
  <c r="DM120" i="13" s="1"/>
  <c r="DM121" i="13" s="1"/>
  <c r="DM122" i="13" s="1"/>
  <c r="DM123" i="13" s="1"/>
  <c r="DM124" i="13" s="1"/>
  <c r="DM125" i="13" s="1"/>
  <c r="DM126" i="13" s="1"/>
  <c r="DM127" i="13" s="1"/>
  <c r="DM128" i="13" s="1"/>
  <c r="AF162" i="13" s="1"/>
  <c r="AF163" i="13" s="1"/>
  <c r="AF165" i="13" s="1"/>
  <c r="AF167" i="13" s="1"/>
  <c r="DD113" i="13"/>
  <c r="CO113" i="16"/>
  <c r="CO114" i="16" s="1"/>
  <c r="CO115" i="16" s="1"/>
  <c r="CO116" i="16" s="1"/>
  <c r="CO117" i="16" s="1"/>
  <c r="CO118" i="16" s="1"/>
  <c r="CO119" i="16" s="1"/>
  <c r="CO120" i="16" s="1"/>
  <c r="CO121" i="16" s="1"/>
  <c r="CO122" i="16" s="1"/>
  <c r="CO123" i="16" s="1"/>
  <c r="CO124" i="16" s="1"/>
  <c r="CO125" i="16" s="1"/>
  <c r="CO126" i="16" s="1"/>
  <c r="CO127" i="16" s="1"/>
  <c r="CO128" i="16" s="1"/>
  <c r="AE162" i="16" s="1"/>
  <c r="AE163" i="16" s="1"/>
  <c r="CF113" i="16"/>
  <c r="U113" i="14"/>
  <c r="U114" i="14" s="1"/>
  <c r="U115" i="14" s="1"/>
  <c r="U116" i="14" s="1"/>
  <c r="U117" i="14" s="1"/>
  <c r="U118" i="14" s="1"/>
  <c r="U119" i="14" s="1"/>
  <c r="U120" i="14" s="1"/>
  <c r="U121" i="14" s="1"/>
  <c r="U122" i="14" s="1"/>
  <c r="U123" i="14" s="1"/>
  <c r="U124" i="14" s="1"/>
  <c r="U125" i="14" s="1"/>
  <c r="U126" i="14" s="1"/>
  <c r="U127" i="14" s="1"/>
  <c r="U128" i="14" s="1"/>
  <c r="AB162" i="14" s="1"/>
  <c r="AB163" i="14" s="1"/>
  <c r="AB165" i="14" s="1"/>
  <c r="AB167" i="14" s="1"/>
  <c r="L113" i="14"/>
  <c r="CF113" i="13"/>
  <c r="DM113" i="16"/>
  <c r="DM114" i="16" s="1"/>
  <c r="DM115" i="16" s="1"/>
  <c r="DM116" i="16" s="1"/>
  <c r="DM117" i="16" s="1"/>
  <c r="DM118" i="16" s="1"/>
  <c r="DM119" i="16" s="1"/>
  <c r="DM120" i="16" s="1"/>
  <c r="DM121" i="16" s="1"/>
  <c r="DM122" i="16" s="1"/>
  <c r="DM123" i="16" s="1"/>
  <c r="DM124" i="16" s="1"/>
  <c r="DM125" i="16" s="1"/>
  <c r="DM126" i="16" s="1"/>
  <c r="DM127" i="16" s="1"/>
  <c r="DM128" i="16" s="1"/>
  <c r="AF162" i="16" s="1"/>
  <c r="AF163" i="16" s="1"/>
  <c r="DD113" i="16"/>
  <c r="AK113" i="13"/>
  <c r="M113" i="16"/>
  <c r="CG113" i="14"/>
  <c r="DM88" i="13"/>
  <c r="DM89" i="13" s="1"/>
  <c r="DM90" i="13" s="1"/>
  <c r="DM91" i="13" s="1"/>
  <c r="DM92" i="13" s="1"/>
  <c r="DM93" i="13" s="1"/>
  <c r="DM94" i="13" s="1"/>
  <c r="DM95" i="13" s="1"/>
  <c r="DM96" i="13" s="1"/>
  <c r="DM97" i="13" s="1"/>
  <c r="DM98" i="13" s="1"/>
  <c r="DM99" i="13" s="1"/>
  <c r="DM100" i="13" s="1"/>
  <c r="DM101" i="13" s="1"/>
  <c r="DM102" i="13" s="1"/>
  <c r="DM103" i="13" s="1"/>
  <c r="AA162" i="13" s="1"/>
  <c r="AA163" i="13" s="1"/>
  <c r="AA165" i="13" s="1"/>
  <c r="AA167" i="13" s="1"/>
  <c r="DD88" i="13"/>
  <c r="AJ88" i="14"/>
  <c r="DD88" i="16"/>
  <c r="BH88" i="15"/>
  <c r="U88" i="15"/>
  <c r="U89" i="15" s="1"/>
  <c r="U90" i="15" s="1"/>
  <c r="U91" i="15" s="1"/>
  <c r="U92" i="15" s="1"/>
  <c r="U93" i="15" s="1"/>
  <c r="U94" i="15" s="1"/>
  <c r="U95" i="15" s="1"/>
  <c r="U96" i="15" s="1"/>
  <c r="U97" i="15" s="1"/>
  <c r="U98" i="15" s="1"/>
  <c r="U99" i="15" s="1"/>
  <c r="U100" i="15" s="1"/>
  <c r="U101" i="15" s="1"/>
  <c r="U102" i="15" s="1"/>
  <c r="U103" i="15" s="1"/>
  <c r="W162" i="15" s="1"/>
  <c r="W163" i="15" s="1"/>
  <c r="W165" i="15" s="1"/>
  <c r="W167" i="15" s="1"/>
  <c r="L88" i="15"/>
  <c r="F32" i="22"/>
  <c r="I65" i="10"/>
  <c r="W65" i="10" s="1"/>
  <c r="AB65" i="10" s="1"/>
  <c r="V63" i="16"/>
  <c r="Y63" i="16"/>
  <c r="BV63" i="15"/>
  <c r="BY63" i="15"/>
  <c r="BV63" i="14"/>
  <c r="BY63" i="14"/>
  <c r="BI113" i="16"/>
  <c r="U113" i="13"/>
  <c r="U114" i="13" s="1"/>
  <c r="U115" i="13" s="1"/>
  <c r="U116" i="13" s="1"/>
  <c r="U117" i="13" s="1"/>
  <c r="U118" i="13" s="1"/>
  <c r="U119" i="13" s="1"/>
  <c r="U120" i="13" s="1"/>
  <c r="U121" i="13" s="1"/>
  <c r="U122" i="13" s="1"/>
  <c r="U123" i="13" s="1"/>
  <c r="U124" i="13" s="1"/>
  <c r="U125" i="13" s="1"/>
  <c r="U126" i="13" s="1"/>
  <c r="U127" i="13" s="1"/>
  <c r="U128" i="13" s="1"/>
  <c r="AB162" i="13" s="1"/>
  <c r="AB163" i="13" s="1"/>
  <c r="AB165" i="13" s="1"/>
  <c r="AB167" i="13" s="1"/>
  <c r="L113" i="13"/>
  <c r="BH113" i="15"/>
  <c r="AJ113" i="14"/>
  <c r="DM113" i="14"/>
  <c r="DM114" i="14" s="1"/>
  <c r="DM115" i="14" s="1"/>
  <c r="DM116" i="14" s="1"/>
  <c r="DM117" i="14" s="1"/>
  <c r="DM118" i="14" s="1"/>
  <c r="DM119" i="14" s="1"/>
  <c r="DM120" i="14" s="1"/>
  <c r="DM121" i="14" s="1"/>
  <c r="DM122" i="14" s="1"/>
  <c r="DM123" i="14" s="1"/>
  <c r="DM124" i="14" s="1"/>
  <c r="DM125" i="14" s="1"/>
  <c r="DM126" i="14" s="1"/>
  <c r="DM127" i="14" s="1"/>
  <c r="DM128" i="14" s="1"/>
  <c r="AF162" i="14" s="1"/>
  <c r="AF163" i="14" s="1"/>
  <c r="AF165" i="14" s="1"/>
  <c r="AF167" i="14" s="1"/>
  <c r="DD113" i="14"/>
  <c r="BH113" i="14"/>
  <c r="DE88" i="15"/>
  <c r="CO88" i="14"/>
  <c r="CO89" i="14" s="1"/>
  <c r="CO90" i="14" s="1"/>
  <c r="CO91" i="14" s="1"/>
  <c r="CO92" i="14" s="1"/>
  <c r="CO93" i="14" s="1"/>
  <c r="CO94" i="14" s="1"/>
  <c r="CO95" i="14" s="1"/>
  <c r="CO96" i="14" s="1"/>
  <c r="CO97" i="14" s="1"/>
  <c r="CO98" i="14" s="1"/>
  <c r="CO99" i="14" s="1"/>
  <c r="CO100" i="14" s="1"/>
  <c r="CO101" i="14" s="1"/>
  <c r="CO102" i="14" s="1"/>
  <c r="CO103" i="14" s="1"/>
  <c r="Z162" i="14" s="1"/>
  <c r="Z163" i="14" s="1"/>
  <c r="Z165" i="14" s="1"/>
  <c r="Z167" i="14" s="1"/>
  <c r="CF88" i="14"/>
  <c r="L88" i="16"/>
  <c r="AS88" i="13"/>
  <c r="AS89" i="13" s="1"/>
  <c r="AS90" i="13" s="1"/>
  <c r="AS91" i="13" s="1"/>
  <c r="AS92" i="13" s="1"/>
  <c r="AS93" i="13" s="1"/>
  <c r="AS94" i="13" s="1"/>
  <c r="AS95" i="13" s="1"/>
  <c r="AS96" i="13" s="1"/>
  <c r="AS97" i="13" s="1"/>
  <c r="AS98" i="13" s="1"/>
  <c r="AS99" i="13" s="1"/>
  <c r="AS100" i="13" s="1"/>
  <c r="AS101" i="13" s="1"/>
  <c r="AS102" i="13" s="1"/>
  <c r="AS103" i="13" s="1"/>
  <c r="X162" i="13" s="1"/>
  <c r="X163" i="13" s="1"/>
  <c r="X165" i="13" s="1"/>
  <c r="X167" i="13" s="1"/>
  <c r="AJ88" i="13"/>
  <c r="CF88" i="16"/>
  <c r="AS88" i="16"/>
  <c r="AS89" i="16" s="1"/>
  <c r="AS90" i="16" s="1"/>
  <c r="AS91" i="16" s="1"/>
  <c r="AS92" i="16" s="1"/>
  <c r="AS93" i="16" s="1"/>
  <c r="AS94" i="16" s="1"/>
  <c r="AS95" i="16" s="1"/>
  <c r="AS96" i="16" s="1"/>
  <c r="AS97" i="16" s="1"/>
  <c r="AS98" i="16" s="1"/>
  <c r="AS99" i="16" s="1"/>
  <c r="AS100" i="16" s="1"/>
  <c r="AS101" i="16" s="1"/>
  <c r="AS102" i="16" s="1"/>
  <c r="AS103" i="16" s="1"/>
  <c r="X162" i="16" s="1"/>
  <c r="X163" i="16" s="1"/>
  <c r="AJ88" i="16"/>
  <c r="G32" i="22"/>
  <c r="G7" i="23" s="1"/>
  <c r="J7" i="23" s="1"/>
  <c r="CE88" i="15"/>
  <c r="CV63" i="15"/>
  <c r="CY63" i="15"/>
  <c r="BV63" i="16"/>
  <c r="BY63" i="16"/>
  <c r="AV63" i="14"/>
  <c r="AY63" i="14"/>
  <c r="BI88" i="16"/>
  <c r="AJ113" i="16"/>
  <c r="BH113" i="13"/>
  <c r="DD113" i="15"/>
  <c r="M113" i="15"/>
  <c r="U88" i="13"/>
  <c r="U89" i="13" s="1"/>
  <c r="U90" i="13" s="1"/>
  <c r="U91" i="13" s="1"/>
  <c r="U92" i="13" s="1"/>
  <c r="U93" i="13" s="1"/>
  <c r="U94" i="13" s="1"/>
  <c r="U95" i="13" s="1"/>
  <c r="U96" i="13" s="1"/>
  <c r="U97" i="13" s="1"/>
  <c r="U98" i="13" s="1"/>
  <c r="U99" i="13" s="1"/>
  <c r="U100" i="13" s="1"/>
  <c r="U101" i="13" s="1"/>
  <c r="U102" i="13" s="1"/>
  <c r="U103" i="13" s="1"/>
  <c r="W162" i="13" s="1"/>
  <c r="W163" i="13" s="1"/>
  <c r="W165" i="13" s="1"/>
  <c r="W167" i="13" s="1"/>
  <c r="L88" i="13"/>
  <c r="BH88" i="13"/>
  <c r="U88" i="14"/>
  <c r="U89" i="14" s="1"/>
  <c r="U90" i="14" s="1"/>
  <c r="U91" i="14" s="1"/>
  <c r="U92" i="14" s="1"/>
  <c r="U93" i="14" s="1"/>
  <c r="U94" i="14" s="1"/>
  <c r="U95" i="14" s="1"/>
  <c r="U96" i="14" s="1"/>
  <c r="U97" i="14" s="1"/>
  <c r="U98" i="14" s="1"/>
  <c r="U99" i="14" s="1"/>
  <c r="U100" i="14" s="1"/>
  <c r="U101" i="14" s="1"/>
  <c r="U102" i="14" s="1"/>
  <c r="U103" i="14" s="1"/>
  <c r="W162" i="14" s="1"/>
  <c r="W163" i="14" s="1"/>
  <c r="W165" i="14" s="1"/>
  <c r="W167" i="14" s="1"/>
  <c r="L88" i="14"/>
  <c r="CF88" i="13"/>
  <c r="Y17" i="2"/>
  <c r="U16" i="8" s="1"/>
  <c r="DV63" i="13"/>
  <c r="DY63" i="13"/>
  <c r="AV63" i="13"/>
  <c r="AY63" i="13"/>
  <c r="V63" i="13"/>
  <c r="Y63" i="13"/>
  <c r="CV63" i="13"/>
  <c r="CY63" i="13"/>
  <c r="BV63" i="13"/>
  <c r="BY63" i="13"/>
  <c r="AI39" i="10"/>
  <c r="K61" i="22"/>
  <c r="BP39" i="13"/>
  <c r="BP40" i="13" s="1"/>
  <c r="BP41" i="13" s="1"/>
  <c r="BP42" i="13" s="1"/>
  <c r="BP43" i="13" s="1"/>
  <c r="BP44" i="13" s="1"/>
  <c r="BP45" i="13" s="1"/>
  <c r="BP46" i="13" s="1"/>
  <c r="BP47" i="13" s="1"/>
  <c r="BP48" i="13" s="1"/>
  <c r="BP49" i="13" s="1"/>
  <c r="BP50" i="13" s="1"/>
  <c r="BP51" i="13" s="1"/>
  <c r="BP52" i="13" s="1"/>
  <c r="BP53" i="13" s="1"/>
  <c r="O161" i="13" s="1"/>
  <c r="DL39" i="16"/>
  <c r="DL40" i="16" s="1"/>
  <c r="DL41" i="16" s="1"/>
  <c r="DL42" i="16" s="1"/>
  <c r="DL43" i="16" s="1"/>
  <c r="DL44" i="16" s="1"/>
  <c r="DL45" i="16" s="1"/>
  <c r="DL46" i="16" s="1"/>
  <c r="DL47" i="16" s="1"/>
  <c r="DL48" i="16" s="1"/>
  <c r="DL49" i="16" s="1"/>
  <c r="DL50" i="16" s="1"/>
  <c r="DL51" i="16" s="1"/>
  <c r="DL52" i="16" s="1"/>
  <c r="DL53" i="16" s="1"/>
  <c r="Q161" i="16" s="1"/>
  <c r="BP39" i="14"/>
  <c r="BP40" i="14" s="1"/>
  <c r="BP41" i="14" s="1"/>
  <c r="BP42" i="14" s="1"/>
  <c r="BP43" i="14" s="1"/>
  <c r="BP44" i="14" s="1"/>
  <c r="BP45" i="14" s="1"/>
  <c r="BP46" i="14" s="1"/>
  <c r="BP47" i="14" s="1"/>
  <c r="BP48" i="14" s="1"/>
  <c r="BP49" i="14" s="1"/>
  <c r="BP50" i="14" s="1"/>
  <c r="BP51" i="14" s="1"/>
  <c r="BP52" i="14" s="1"/>
  <c r="BP53" i="14" s="1"/>
  <c r="O161" i="14" s="1"/>
  <c r="DL39" i="13"/>
  <c r="DL40" i="13" s="1"/>
  <c r="DL41" i="13" s="1"/>
  <c r="DL42" i="13" s="1"/>
  <c r="DL43" i="13" s="1"/>
  <c r="DL44" i="13" s="1"/>
  <c r="DL45" i="13" s="1"/>
  <c r="DL46" i="13" s="1"/>
  <c r="DL47" i="13" s="1"/>
  <c r="DL48" i="13" s="1"/>
  <c r="DL49" i="13" s="1"/>
  <c r="DL50" i="13" s="1"/>
  <c r="DL51" i="13" s="1"/>
  <c r="DL52" i="13" s="1"/>
  <c r="DL53" i="13" s="1"/>
  <c r="Q161" i="13" s="1"/>
  <c r="CN39" i="16"/>
  <c r="CN40" i="16" s="1"/>
  <c r="CN41" i="16" s="1"/>
  <c r="CN42" i="16" s="1"/>
  <c r="CN43" i="16" s="1"/>
  <c r="CN44" i="16" s="1"/>
  <c r="CN45" i="16" s="1"/>
  <c r="CN46" i="16" s="1"/>
  <c r="CN47" i="16" s="1"/>
  <c r="CN48" i="16" s="1"/>
  <c r="CN49" i="16" s="1"/>
  <c r="CN50" i="16" s="1"/>
  <c r="CN51" i="16" s="1"/>
  <c r="CN52" i="16" s="1"/>
  <c r="CN53" i="16" s="1"/>
  <c r="P161" i="16" s="1"/>
  <c r="DL39" i="14"/>
  <c r="DL40" i="14" s="1"/>
  <c r="DL41" i="14" s="1"/>
  <c r="DL42" i="14" s="1"/>
  <c r="DL43" i="14" s="1"/>
  <c r="DL44" i="14" s="1"/>
  <c r="DL45" i="14" s="1"/>
  <c r="DL46" i="14" s="1"/>
  <c r="DL47" i="14" s="1"/>
  <c r="DL48" i="14" s="1"/>
  <c r="DL49" i="14" s="1"/>
  <c r="DL50" i="14" s="1"/>
  <c r="DL51" i="14" s="1"/>
  <c r="DL52" i="14" s="1"/>
  <c r="DL53" i="14" s="1"/>
  <c r="Q161" i="14" s="1"/>
  <c r="BP39" i="15"/>
  <c r="BP40" i="15" s="1"/>
  <c r="BP41" i="15" s="1"/>
  <c r="BP42" i="15" s="1"/>
  <c r="BP43" i="15" s="1"/>
  <c r="BP44" i="15" s="1"/>
  <c r="BP45" i="15" s="1"/>
  <c r="BP46" i="15" s="1"/>
  <c r="BP47" i="15" s="1"/>
  <c r="BP48" i="15" s="1"/>
  <c r="BP49" i="15" s="1"/>
  <c r="BP50" i="15" s="1"/>
  <c r="BP51" i="15" s="1"/>
  <c r="BP52" i="15" s="1"/>
  <c r="BP53" i="15" s="1"/>
  <c r="O161" i="15" s="1"/>
  <c r="AR39" i="13"/>
  <c r="AR40" i="13" s="1"/>
  <c r="AR41" i="13" s="1"/>
  <c r="AR42" i="13" s="1"/>
  <c r="AR43" i="13" s="1"/>
  <c r="AR44" i="13" s="1"/>
  <c r="AR45" i="13" s="1"/>
  <c r="AR46" i="13" s="1"/>
  <c r="AR47" i="13" s="1"/>
  <c r="AR48" i="13" s="1"/>
  <c r="AR49" i="13" s="1"/>
  <c r="AR50" i="13" s="1"/>
  <c r="AR51" i="13" s="1"/>
  <c r="AR52" i="13" s="1"/>
  <c r="AR53" i="13" s="1"/>
  <c r="N161" i="13" s="1"/>
  <c r="AF17" i="2"/>
  <c r="W16" i="8" s="1"/>
  <c r="CB12" i="15"/>
  <c r="CE12" i="15" s="1"/>
  <c r="CZ12" i="15"/>
  <c r="DC12" i="15" s="1"/>
  <c r="BD12" i="14"/>
  <c r="BG12" i="14" s="1"/>
  <c r="H12" i="14"/>
  <c r="K12" i="14" s="1"/>
  <c r="CB12" i="13"/>
  <c r="CE12" i="13" s="1"/>
  <c r="CZ12" i="14"/>
  <c r="DC12" i="14" s="1"/>
  <c r="CB12" i="14"/>
  <c r="CE12" i="14" s="1"/>
  <c r="CZ12" i="13"/>
  <c r="DC12" i="13" s="1"/>
  <c r="AF12" i="15"/>
  <c r="AI12" i="15" s="1"/>
  <c r="BD12" i="13"/>
  <c r="BG12" i="13" s="1"/>
  <c r="CZ12" i="16"/>
  <c r="DC12" i="16" s="1"/>
  <c r="BD12" i="16"/>
  <c r="BG12" i="16" s="1"/>
  <c r="H12" i="16"/>
  <c r="K12" i="16" s="1"/>
  <c r="AF12" i="14"/>
  <c r="AI12" i="14" s="1"/>
  <c r="AF12" i="16"/>
  <c r="AI12" i="16" s="1"/>
  <c r="CB12" i="16"/>
  <c r="CE12" i="16" s="1"/>
  <c r="BD12" i="15"/>
  <c r="BG12" i="15" s="1"/>
  <c r="H12" i="15"/>
  <c r="K12" i="15" s="1"/>
  <c r="AF12" i="13"/>
  <c r="AI12" i="13" s="1"/>
  <c r="H12" i="13"/>
  <c r="K12" i="13" s="1"/>
  <c r="CN39" i="15"/>
  <c r="CN40" i="15" s="1"/>
  <c r="CN41" i="15" s="1"/>
  <c r="CN42" i="15" s="1"/>
  <c r="CN43" i="15" s="1"/>
  <c r="CN44" i="15" s="1"/>
  <c r="CN45" i="15" s="1"/>
  <c r="CN46" i="15" s="1"/>
  <c r="CN47" i="15" s="1"/>
  <c r="CN48" i="15" s="1"/>
  <c r="CN49" i="15" s="1"/>
  <c r="CN50" i="15" s="1"/>
  <c r="CN51" i="15" s="1"/>
  <c r="CN52" i="15" s="1"/>
  <c r="CN53" i="15" s="1"/>
  <c r="P161" i="15" s="1"/>
  <c r="CN39" i="13"/>
  <c r="CN40" i="13" s="1"/>
  <c r="CN41" i="13" s="1"/>
  <c r="CN42" i="13" s="1"/>
  <c r="CN43" i="13" s="1"/>
  <c r="CN44" i="13" s="1"/>
  <c r="CN45" i="13" s="1"/>
  <c r="CN46" i="13" s="1"/>
  <c r="CN47" i="13" s="1"/>
  <c r="CN48" i="13" s="1"/>
  <c r="CN49" i="13" s="1"/>
  <c r="CN50" i="13" s="1"/>
  <c r="CN51" i="13" s="1"/>
  <c r="CN52" i="13" s="1"/>
  <c r="CN53" i="13" s="1"/>
  <c r="P161" i="13" s="1"/>
  <c r="T39" i="16"/>
  <c r="T40" i="16" s="1"/>
  <c r="T41" i="16" s="1"/>
  <c r="T42" i="16" s="1"/>
  <c r="T43" i="16" s="1"/>
  <c r="T44" i="16" s="1"/>
  <c r="T45" i="16" s="1"/>
  <c r="T46" i="16" s="1"/>
  <c r="T47" i="16" s="1"/>
  <c r="T48" i="16" s="1"/>
  <c r="T49" i="16" s="1"/>
  <c r="T50" i="16" s="1"/>
  <c r="T51" i="16" s="1"/>
  <c r="T52" i="16" s="1"/>
  <c r="T53" i="16" s="1"/>
  <c r="M161" i="16" s="1"/>
  <c r="T39" i="15"/>
  <c r="T40" i="15" s="1"/>
  <c r="T41" i="15" s="1"/>
  <c r="T42" i="15" s="1"/>
  <c r="T43" i="15" s="1"/>
  <c r="T44" i="15" s="1"/>
  <c r="T45" i="15" s="1"/>
  <c r="T46" i="15" s="1"/>
  <c r="T47" i="15" s="1"/>
  <c r="T48" i="15" s="1"/>
  <c r="T49" i="15" s="1"/>
  <c r="T50" i="15" s="1"/>
  <c r="T51" i="15" s="1"/>
  <c r="T52" i="15" s="1"/>
  <c r="T53" i="15" s="1"/>
  <c r="M161" i="15" s="1"/>
  <c r="AF92" i="10"/>
  <c r="AF93" i="10" s="1"/>
  <c r="AF94" i="10" s="1"/>
  <c r="AF95" i="10" s="1"/>
  <c r="AF96" i="10" s="1"/>
  <c r="AF97" i="10" s="1"/>
  <c r="AF98" i="10" s="1"/>
  <c r="AF99" i="10" s="1"/>
  <c r="AF100" i="10" s="1"/>
  <c r="AF101" i="10" s="1"/>
  <c r="AF102" i="10" s="1"/>
  <c r="AF103" i="10" s="1"/>
  <c r="AF104" i="10" s="1"/>
  <c r="AF105" i="10" s="1"/>
  <c r="AF106" i="10" s="1"/>
  <c r="AR39" i="16"/>
  <c r="AR40" i="16" s="1"/>
  <c r="AR41" i="16" s="1"/>
  <c r="AR42" i="16" s="1"/>
  <c r="AR43" i="16" s="1"/>
  <c r="AR44" i="16" s="1"/>
  <c r="AR45" i="16" s="1"/>
  <c r="AR46" i="16" s="1"/>
  <c r="AR47" i="16" s="1"/>
  <c r="AR48" i="16" s="1"/>
  <c r="AR49" i="16" s="1"/>
  <c r="AR50" i="16" s="1"/>
  <c r="AR51" i="16" s="1"/>
  <c r="AR52" i="16" s="1"/>
  <c r="AR53" i="16" s="1"/>
  <c r="N161" i="16" s="1"/>
  <c r="AR40" i="14"/>
  <c r="AR41" i="14" s="1"/>
  <c r="AR42" i="14" s="1"/>
  <c r="AR43" i="14" s="1"/>
  <c r="AR44" i="14" s="1"/>
  <c r="AR45" i="14" s="1"/>
  <c r="AR46" i="14" s="1"/>
  <c r="AR47" i="14" s="1"/>
  <c r="AR48" i="14" s="1"/>
  <c r="AR49" i="14" s="1"/>
  <c r="AR50" i="14" s="1"/>
  <c r="AR51" i="14" s="1"/>
  <c r="AR52" i="14" s="1"/>
  <c r="AR53" i="14" s="1"/>
  <c r="N161" i="14" s="1"/>
  <c r="T39" i="14"/>
  <c r="T40" i="14" s="1"/>
  <c r="T41" i="14" s="1"/>
  <c r="T42" i="14" s="1"/>
  <c r="T43" i="14" s="1"/>
  <c r="T44" i="14" s="1"/>
  <c r="T45" i="14" s="1"/>
  <c r="T46" i="14" s="1"/>
  <c r="T47" i="14" s="1"/>
  <c r="T48" i="14" s="1"/>
  <c r="T49" i="14" s="1"/>
  <c r="T50" i="14" s="1"/>
  <c r="T51" i="14" s="1"/>
  <c r="T52" i="14" s="1"/>
  <c r="T53" i="14" s="1"/>
  <c r="M161" i="14" s="1"/>
  <c r="AR39" i="15"/>
  <c r="AR40" i="15" s="1"/>
  <c r="AR41" i="15" s="1"/>
  <c r="AR42" i="15" s="1"/>
  <c r="AR43" i="15" s="1"/>
  <c r="AR44" i="15" s="1"/>
  <c r="AR45" i="15" s="1"/>
  <c r="AR46" i="15" s="1"/>
  <c r="AR47" i="15" s="1"/>
  <c r="AR48" i="15" s="1"/>
  <c r="AR49" i="15" s="1"/>
  <c r="AR50" i="15" s="1"/>
  <c r="AR51" i="15" s="1"/>
  <c r="AR52" i="15" s="1"/>
  <c r="AR53" i="15" s="1"/>
  <c r="N161" i="15" s="1"/>
  <c r="BP39" i="16"/>
  <c r="BP40" i="16" s="1"/>
  <c r="BP41" i="16" s="1"/>
  <c r="BP42" i="16" s="1"/>
  <c r="BP43" i="16" s="1"/>
  <c r="BP44" i="16" s="1"/>
  <c r="BP45" i="16" s="1"/>
  <c r="BP46" i="16" s="1"/>
  <c r="BP47" i="16" s="1"/>
  <c r="BP48" i="16" s="1"/>
  <c r="BP49" i="16" s="1"/>
  <c r="BP50" i="16" s="1"/>
  <c r="BP51" i="16" s="1"/>
  <c r="BP52" i="16" s="1"/>
  <c r="BP53" i="16" s="1"/>
  <c r="O161" i="16" s="1"/>
  <c r="DL39" i="15"/>
  <c r="DL40" i="15" s="1"/>
  <c r="DL41" i="15" s="1"/>
  <c r="DL42" i="15" s="1"/>
  <c r="DL43" i="15" s="1"/>
  <c r="DL44" i="15" s="1"/>
  <c r="DL45" i="15" s="1"/>
  <c r="DL46" i="15" s="1"/>
  <c r="DL47" i="15" s="1"/>
  <c r="DL48" i="15" s="1"/>
  <c r="DL49" i="15" s="1"/>
  <c r="DL50" i="15" s="1"/>
  <c r="DL51" i="15" s="1"/>
  <c r="DL52" i="15" s="1"/>
  <c r="DL53" i="15" s="1"/>
  <c r="Q161" i="15" s="1"/>
  <c r="T39" i="13"/>
  <c r="T40" i="13" s="1"/>
  <c r="T41" i="13" s="1"/>
  <c r="T42" i="13" s="1"/>
  <c r="T43" i="13" s="1"/>
  <c r="T44" i="13" s="1"/>
  <c r="T45" i="13" s="1"/>
  <c r="T46" i="13" s="1"/>
  <c r="T47" i="13" s="1"/>
  <c r="T48" i="13" s="1"/>
  <c r="T49" i="13" s="1"/>
  <c r="T50" i="13" s="1"/>
  <c r="T51" i="13" s="1"/>
  <c r="T52" i="13" s="1"/>
  <c r="T53" i="13" s="1"/>
  <c r="M161" i="13" s="1"/>
  <c r="AE27" i="16"/>
  <c r="AK27" i="16" s="1"/>
  <c r="T12" i="15"/>
  <c r="G12" i="15"/>
  <c r="G14" i="16"/>
  <c r="M14" i="16" s="1"/>
  <c r="G18" i="15"/>
  <c r="M18" i="15" s="1"/>
  <c r="CA16" i="15"/>
  <c r="CG16" i="15" s="1"/>
  <c r="H78" i="10"/>
  <c r="Y78" i="10" s="1"/>
  <c r="L74" i="22" s="1"/>
  <c r="R20" i="23" s="1"/>
  <c r="BC23" i="16"/>
  <c r="BI23" i="16" s="1"/>
  <c r="BC25" i="16"/>
  <c r="BI25" i="16" s="1"/>
  <c r="BC21" i="15"/>
  <c r="BI21" i="15" s="1"/>
  <c r="CY17" i="13"/>
  <c r="DE17" i="13" s="1"/>
  <c r="AE21" i="16"/>
  <c r="AK21" i="16" s="1"/>
  <c r="CA22" i="13"/>
  <c r="CG22" i="13" s="1"/>
  <c r="BC16" i="14"/>
  <c r="BI16" i="14" s="1"/>
  <c r="CA27" i="16"/>
  <c r="CG27" i="16" s="1"/>
  <c r="AE24" i="16"/>
  <c r="AK24" i="16" s="1"/>
  <c r="AE16" i="14"/>
  <c r="AK16" i="14" s="1"/>
  <c r="CA13" i="15"/>
  <c r="CG13" i="15" s="1"/>
  <c r="H70" i="10"/>
  <c r="Y70" i="10" s="1"/>
  <c r="L66" i="22" s="1"/>
  <c r="R12" i="23" s="1"/>
  <c r="CY23" i="13"/>
  <c r="DE23" i="13" s="1"/>
  <c r="CA13" i="14"/>
  <c r="CG13" i="14" s="1"/>
  <c r="CY27" i="13"/>
  <c r="DE27" i="13" s="1"/>
  <c r="AE15" i="16"/>
  <c r="AK15" i="16" s="1"/>
  <c r="G22" i="14"/>
  <c r="M22" i="14" s="1"/>
  <c r="G25" i="15"/>
  <c r="M25" i="15" s="1"/>
  <c r="AE16" i="16"/>
  <c r="AK16" i="16" s="1"/>
  <c r="CY24" i="13"/>
  <c r="DE24" i="13" s="1"/>
  <c r="DL12" i="16"/>
  <c r="CY12" i="16"/>
  <c r="CY27" i="16"/>
  <c r="DE27" i="16" s="1"/>
  <c r="BC27" i="13"/>
  <c r="BI27" i="13" s="1"/>
  <c r="G23" i="16"/>
  <c r="M23" i="16" s="1"/>
  <c r="DL12" i="14"/>
  <c r="CY12" i="14"/>
  <c r="G21" i="14"/>
  <c r="M21" i="14" s="1"/>
  <c r="CY18" i="13"/>
  <c r="DE18" i="13" s="1"/>
  <c r="BC20" i="13"/>
  <c r="BI20" i="13" s="1"/>
  <c r="G20" i="15"/>
  <c r="M20" i="15" s="1"/>
  <c r="AE19" i="16"/>
  <c r="AK19" i="16" s="1"/>
  <c r="BC26" i="14"/>
  <c r="BI26" i="14" s="1"/>
  <c r="AE20" i="13"/>
  <c r="AK20" i="13" s="1"/>
  <c r="CA18" i="13"/>
  <c r="CG18" i="13" s="1"/>
  <c r="T12" i="13"/>
  <c r="G12" i="13"/>
  <c r="AE24" i="14"/>
  <c r="AK24" i="14" s="1"/>
  <c r="BC13" i="16"/>
  <c r="BI13" i="16" s="1"/>
  <c r="AE25" i="16"/>
  <c r="AK25" i="16" s="1"/>
  <c r="CY26" i="13"/>
  <c r="DE26" i="13" s="1"/>
  <c r="CY16" i="16"/>
  <c r="DE16" i="16" s="1"/>
  <c r="AE25" i="13"/>
  <c r="AK25" i="13" s="1"/>
  <c r="AE18" i="14"/>
  <c r="AK18" i="14" s="1"/>
  <c r="AE22" i="15"/>
  <c r="AK22" i="15" s="1"/>
  <c r="CA25" i="14"/>
  <c r="CG25" i="14" s="1"/>
  <c r="CA24" i="15"/>
  <c r="CG24" i="15" s="1"/>
  <c r="CY25" i="15"/>
  <c r="DE25" i="15" s="1"/>
  <c r="CA25" i="15"/>
  <c r="CG25" i="15" s="1"/>
  <c r="CY26" i="15"/>
  <c r="DE26" i="15" s="1"/>
  <c r="H77" i="10"/>
  <c r="Y77" i="10" s="1"/>
  <c r="L73" i="22" s="1"/>
  <c r="H75" i="10"/>
  <c r="Y75" i="10" s="1"/>
  <c r="L71" i="22" s="1"/>
  <c r="R17" i="23" s="1"/>
  <c r="BP12" i="14"/>
  <c r="BC12" i="14"/>
  <c r="CA13" i="16"/>
  <c r="CG13" i="16" s="1"/>
  <c r="CA20" i="14"/>
  <c r="CG20" i="14" s="1"/>
  <c r="AE19" i="15"/>
  <c r="AK19" i="15" s="1"/>
  <c r="G25" i="14"/>
  <c r="M25" i="14" s="1"/>
  <c r="CA27" i="14"/>
  <c r="CG27" i="14" s="1"/>
  <c r="CY25" i="14"/>
  <c r="DE25" i="14" s="1"/>
  <c r="CA26" i="16"/>
  <c r="CG26" i="16" s="1"/>
  <c r="G19" i="16"/>
  <c r="M19" i="16" s="1"/>
  <c r="G27" i="14"/>
  <c r="M27" i="14" s="1"/>
  <c r="G26" i="15"/>
  <c r="M26" i="15" s="1"/>
  <c r="G20" i="16"/>
  <c r="M20" i="16" s="1"/>
  <c r="CA14" i="14"/>
  <c r="CG14" i="14" s="1"/>
  <c r="CY13" i="16"/>
  <c r="DE13" i="16" s="1"/>
  <c r="G16" i="13"/>
  <c r="M16" i="13" s="1"/>
  <c r="AE15" i="14"/>
  <c r="AK15" i="14" s="1"/>
  <c r="G25" i="16"/>
  <c r="M25" i="16" s="1"/>
  <c r="CY16" i="14"/>
  <c r="DE16" i="14" s="1"/>
  <c r="G24" i="14"/>
  <c r="M24" i="14" s="1"/>
  <c r="BC19" i="14"/>
  <c r="BI19" i="14" s="1"/>
  <c r="BC24" i="13"/>
  <c r="BI24" i="13" s="1"/>
  <c r="G21" i="15"/>
  <c r="M21" i="15" s="1"/>
  <c r="AE22" i="16"/>
  <c r="AK22" i="16" s="1"/>
  <c r="CY14" i="14"/>
  <c r="DE14" i="14" s="1"/>
  <c r="AE22" i="14"/>
  <c r="AK22" i="14" s="1"/>
  <c r="CA26" i="13"/>
  <c r="CG26" i="13" s="1"/>
  <c r="G17" i="13"/>
  <c r="M17" i="13" s="1"/>
  <c r="G14" i="15"/>
  <c r="M14" i="15" s="1"/>
  <c r="AE14" i="16"/>
  <c r="AK14" i="16" s="1"/>
  <c r="CA15" i="13"/>
  <c r="CG15" i="13" s="1"/>
  <c r="CA17" i="14"/>
  <c r="CG17" i="14" s="1"/>
  <c r="CY18" i="16"/>
  <c r="DE18" i="16" s="1"/>
  <c r="AE17" i="13"/>
  <c r="AK17" i="13" s="1"/>
  <c r="AE21" i="14"/>
  <c r="AK21" i="14" s="1"/>
  <c r="BC24" i="15"/>
  <c r="BI24" i="15" s="1"/>
  <c r="BC27" i="14"/>
  <c r="BI27" i="14" s="1"/>
  <c r="CA21" i="15"/>
  <c r="CG21" i="15" s="1"/>
  <c r="CY27" i="15"/>
  <c r="DE27" i="15" s="1"/>
  <c r="CA20" i="15"/>
  <c r="CG20" i="15" s="1"/>
  <c r="CA23" i="15"/>
  <c r="CG23" i="15" s="1"/>
  <c r="H74" i="10"/>
  <c r="Y74" i="10" s="1"/>
  <c r="L70" i="22" s="1"/>
  <c r="BC18" i="13"/>
  <c r="BI18" i="13" s="1"/>
  <c r="AE14" i="15"/>
  <c r="AK14" i="15" s="1"/>
  <c r="BC20" i="15"/>
  <c r="BI20" i="15" s="1"/>
  <c r="CA16" i="16"/>
  <c r="CG16" i="16" s="1"/>
  <c r="BC19" i="13"/>
  <c r="BI19" i="13" s="1"/>
  <c r="G27" i="13"/>
  <c r="M27" i="13" s="1"/>
  <c r="BC16" i="16"/>
  <c r="BI16" i="16" s="1"/>
  <c r="BC27" i="16"/>
  <c r="AE27" i="15"/>
  <c r="AK27" i="15" s="1"/>
  <c r="CA25" i="16"/>
  <c r="CG25" i="16" s="1"/>
  <c r="T12" i="14"/>
  <c r="G12" i="14"/>
  <c r="CY21" i="15"/>
  <c r="DE21" i="15" s="1"/>
  <c r="G20" i="14"/>
  <c r="M20" i="14" s="1"/>
  <c r="G17" i="14"/>
  <c r="M17" i="14" s="1"/>
  <c r="AE17" i="15"/>
  <c r="AK17" i="15" s="1"/>
  <c r="CA21" i="16"/>
  <c r="CG21" i="16" s="1"/>
  <c r="BC25" i="14"/>
  <c r="BI25" i="14" s="1"/>
  <c r="G19" i="15"/>
  <c r="M19" i="15" s="1"/>
  <c r="CA14" i="13"/>
  <c r="CG14" i="13" s="1"/>
  <c r="CY22" i="13"/>
  <c r="DE22" i="13" s="1"/>
  <c r="AE20" i="15"/>
  <c r="AK20" i="15" s="1"/>
  <c r="CA22" i="15"/>
  <c r="CG22" i="15" s="1"/>
  <c r="H76" i="10"/>
  <c r="Y76" i="10" s="1"/>
  <c r="L72" i="22" s="1"/>
  <c r="R18" i="23" s="1"/>
  <c r="AE16" i="15"/>
  <c r="AK16" i="15" s="1"/>
  <c r="H69" i="10"/>
  <c r="Y69" i="10" s="1"/>
  <c r="L65" i="22" s="1"/>
  <c r="R11" i="23" s="1"/>
  <c r="G21" i="13"/>
  <c r="M21" i="13" s="1"/>
  <c r="CY20" i="13"/>
  <c r="DE20" i="13" s="1"/>
  <c r="AE23" i="13"/>
  <c r="AK23" i="13" s="1"/>
  <c r="BC26" i="16"/>
  <c r="BI26" i="16" s="1"/>
  <c r="CY15" i="16"/>
  <c r="DE15" i="16" s="1"/>
  <c r="CY14" i="13"/>
  <c r="DE14" i="13" s="1"/>
  <c r="CA14" i="16"/>
  <c r="CG14" i="16" s="1"/>
  <c r="CY17" i="14"/>
  <c r="DE17" i="14" s="1"/>
  <c r="G25" i="13"/>
  <c r="M25" i="13" s="1"/>
  <c r="CA24" i="14"/>
  <c r="CG24" i="14" s="1"/>
  <c r="BC25" i="15"/>
  <c r="BI25" i="15" s="1"/>
  <c r="CA17" i="15"/>
  <c r="CG17" i="15" s="1"/>
  <c r="H79" i="10"/>
  <c r="Y79" i="10" s="1"/>
  <c r="L75" i="22" s="1"/>
  <c r="R21" i="23" s="1"/>
  <c r="H73" i="10"/>
  <c r="Y73" i="10" s="1"/>
  <c r="L69" i="22" s="1"/>
  <c r="R15" i="23" s="1"/>
  <c r="AE22" i="13"/>
  <c r="AK22" i="13" s="1"/>
  <c r="AE16" i="13"/>
  <c r="AK16" i="13" s="1"/>
  <c r="CY19" i="14"/>
  <c r="DE19" i="14" s="1"/>
  <c r="G17" i="16"/>
  <c r="M17" i="16" s="1"/>
  <c r="CA26" i="14"/>
  <c r="CG26" i="14" s="1"/>
  <c r="CA18" i="16"/>
  <c r="CG18" i="16" s="1"/>
  <c r="G23" i="13"/>
  <c r="M23" i="13" s="1"/>
  <c r="BP12" i="13"/>
  <c r="BC12" i="13"/>
  <c r="BC24" i="16"/>
  <c r="BI24" i="16" s="1"/>
  <c r="BC15" i="15"/>
  <c r="BI15" i="15" s="1"/>
  <c r="BC27" i="15"/>
  <c r="BI27" i="15" s="1"/>
  <c r="CA13" i="13"/>
  <c r="CG13" i="13" s="1"/>
  <c r="BC18" i="14"/>
  <c r="BI18" i="14" s="1"/>
  <c r="CY17" i="16"/>
  <c r="DE17" i="16" s="1"/>
  <c r="AE21" i="13"/>
  <c r="AK21" i="13" s="1"/>
  <c r="BC14" i="15"/>
  <c r="BI14" i="15" s="1"/>
  <c r="CY21" i="13"/>
  <c r="DE21" i="13" s="1"/>
  <c r="CY26" i="14"/>
  <c r="DE26" i="14" s="1"/>
  <c r="G23" i="15"/>
  <c r="M23" i="15" s="1"/>
  <c r="G14" i="13"/>
  <c r="M14" i="13" s="1"/>
  <c r="AE19" i="14"/>
  <c r="AK19" i="14" s="1"/>
  <c r="AE24" i="15"/>
  <c r="AK24" i="15" s="1"/>
  <c r="G27" i="16"/>
  <c r="M27" i="16" s="1"/>
  <c r="CY27" i="14"/>
  <c r="DE27" i="14" s="1"/>
  <c r="AE18" i="16"/>
  <c r="AK18" i="16" s="1"/>
  <c r="CN12" i="14"/>
  <c r="CA12" i="14"/>
  <c r="AE26" i="13"/>
  <c r="AK26" i="13" s="1"/>
  <c r="G16" i="15"/>
  <c r="M16" i="15" s="1"/>
  <c r="BC18" i="16"/>
  <c r="BI18" i="16" s="1"/>
  <c r="CA23" i="13"/>
  <c r="CG23" i="13" s="1"/>
  <c r="BC20" i="14"/>
  <c r="BI20" i="14" s="1"/>
  <c r="CY22" i="16"/>
  <c r="DE22" i="16" s="1"/>
  <c r="BC17" i="13"/>
  <c r="BI17" i="13" s="1"/>
  <c r="AE26" i="14"/>
  <c r="AK26" i="14" s="1"/>
  <c r="BC26" i="15"/>
  <c r="BI26" i="15" s="1"/>
  <c r="CY24" i="14"/>
  <c r="DE24" i="14" s="1"/>
  <c r="CY13" i="15"/>
  <c r="DE13" i="15" s="1"/>
  <c r="CA27" i="15"/>
  <c r="CG27" i="15" s="1"/>
  <c r="CY16" i="15"/>
  <c r="DE16" i="15" s="1"/>
  <c r="CA15" i="15"/>
  <c r="CG15" i="15" s="1"/>
  <c r="AE14" i="13"/>
  <c r="AK14" i="13" s="1"/>
  <c r="BC24" i="14"/>
  <c r="BI24" i="14" s="1"/>
  <c r="G19" i="14"/>
  <c r="M19" i="14" s="1"/>
  <c r="CA25" i="13"/>
  <c r="CG25" i="13" s="1"/>
  <c r="AE17" i="16"/>
  <c r="AK17" i="16" s="1"/>
  <c r="CN12" i="13"/>
  <c r="CA12" i="13"/>
  <c r="BC13" i="14"/>
  <c r="BI13" i="14" s="1"/>
  <c r="CA19" i="16"/>
  <c r="CG19" i="16" s="1"/>
  <c r="AE23" i="16"/>
  <c r="AK23" i="16" s="1"/>
  <c r="AR12" i="13"/>
  <c r="AE12" i="13"/>
  <c r="AE26" i="16"/>
  <c r="AK26" i="16" s="1"/>
  <c r="CA14" i="15"/>
  <c r="CG14" i="15" s="1"/>
  <c r="H66" i="10"/>
  <c r="Y66" i="10" s="1"/>
  <c r="L62" i="22" s="1"/>
  <c r="R8" i="23" s="1"/>
  <c r="G15" i="14"/>
  <c r="M15" i="14" s="1"/>
  <c r="CA23" i="16"/>
  <c r="CG23" i="16" s="1"/>
  <c r="CY25" i="16"/>
  <c r="DE25" i="16" s="1"/>
  <c r="AR12" i="14"/>
  <c r="AE12" i="14"/>
  <c r="BC17" i="16"/>
  <c r="BI17" i="16" s="1"/>
  <c r="G18" i="14"/>
  <c r="M18" i="14" s="1"/>
  <c r="CY14" i="16"/>
  <c r="DE14" i="16" s="1"/>
  <c r="CA18" i="14"/>
  <c r="CG18" i="14" s="1"/>
  <c r="CY23" i="15"/>
  <c r="DE23" i="15" s="1"/>
  <c r="BC22" i="15"/>
  <c r="BI22" i="15" s="1"/>
  <c r="CA24" i="13"/>
  <c r="CG24" i="13" s="1"/>
  <c r="BC14" i="14"/>
  <c r="BI14" i="14" s="1"/>
  <c r="BC21" i="14"/>
  <c r="BI21" i="14" s="1"/>
  <c r="G22" i="16"/>
  <c r="M22" i="16" s="1"/>
  <c r="G27" i="15"/>
  <c r="M27" i="15" s="1"/>
  <c r="CA21" i="14"/>
  <c r="CG21" i="14" s="1"/>
  <c r="AE17" i="14"/>
  <c r="AK17" i="14" s="1"/>
  <c r="CY20" i="14"/>
  <c r="DE20" i="14" s="1"/>
  <c r="AE14" i="14"/>
  <c r="AK14" i="14" s="1"/>
  <c r="G26" i="16"/>
  <c r="M26" i="16" s="1"/>
  <c r="CY25" i="13"/>
  <c r="DE25" i="13" s="1"/>
  <c r="G16" i="16"/>
  <c r="M16" i="16" s="1"/>
  <c r="CY20" i="16"/>
  <c r="DE20" i="16" s="1"/>
  <c r="G23" i="14"/>
  <c r="M23" i="14" s="1"/>
  <c r="CY15" i="15"/>
  <c r="DE15" i="15" s="1"/>
  <c r="CA19" i="15"/>
  <c r="CG19" i="15" s="1"/>
  <c r="H68" i="10"/>
  <c r="Y68" i="10" s="1"/>
  <c r="L64" i="22" s="1"/>
  <c r="H80" i="10"/>
  <c r="Y80" i="10" s="1"/>
  <c r="L76" i="22" s="1"/>
  <c r="BC23" i="15"/>
  <c r="BI23" i="15" s="1"/>
  <c r="G13" i="14"/>
  <c r="M13" i="14" s="1"/>
  <c r="G18" i="13"/>
  <c r="M18" i="13" s="1"/>
  <c r="CA16" i="13"/>
  <c r="CG16" i="13" s="1"/>
  <c r="CY15" i="14"/>
  <c r="DE15" i="14" s="1"/>
  <c r="G26" i="13"/>
  <c r="M26" i="13" s="1"/>
  <c r="AE24" i="13"/>
  <c r="AK24" i="13" s="1"/>
  <c r="BC22" i="13"/>
  <c r="BI22" i="13" s="1"/>
  <c r="CA20" i="13"/>
  <c r="CG20" i="13" s="1"/>
  <c r="BC18" i="15"/>
  <c r="BI18" i="15" s="1"/>
  <c r="AR12" i="16"/>
  <c r="AE12" i="16"/>
  <c r="CA17" i="13"/>
  <c r="CG17" i="13" s="1"/>
  <c r="CY13" i="14"/>
  <c r="DE13" i="14" s="1"/>
  <c r="CY19" i="16"/>
  <c r="DE19" i="16" s="1"/>
  <c r="AE13" i="13"/>
  <c r="AK13" i="13" s="1"/>
  <c r="BC16" i="15"/>
  <c r="BI16" i="15" s="1"/>
  <c r="CA15" i="14"/>
  <c r="CG15" i="14" s="1"/>
  <c r="CA24" i="16"/>
  <c r="CG24" i="16" s="1"/>
  <c r="AE26" i="15"/>
  <c r="AK26" i="15" s="1"/>
  <c r="G22" i="13"/>
  <c r="M22" i="13" s="1"/>
  <c r="G26" i="14"/>
  <c r="M26" i="14" s="1"/>
  <c r="AE25" i="15"/>
  <c r="AK25" i="15" s="1"/>
  <c r="CA16" i="14"/>
  <c r="CG16" i="14" s="1"/>
  <c r="CA17" i="16"/>
  <c r="CG17" i="16" s="1"/>
  <c r="AE20" i="16"/>
  <c r="AK20" i="16" s="1"/>
  <c r="CA22" i="14"/>
  <c r="CG22" i="14" s="1"/>
  <c r="AE18" i="13"/>
  <c r="AK18" i="13" s="1"/>
  <c r="G17" i="15"/>
  <c r="M17" i="15" s="1"/>
  <c r="BC20" i="16"/>
  <c r="BI20" i="16" s="1"/>
  <c r="CA27" i="13"/>
  <c r="CG27" i="13" s="1"/>
  <c r="BC23" i="14"/>
  <c r="BI23" i="14" s="1"/>
  <c r="CY24" i="16"/>
  <c r="DE24" i="16" s="1"/>
  <c r="BC21" i="13"/>
  <c r="BI21" i="13" s="1"/>
  <c r="BP12" i="15"/>
  <c r="BC12" i="15"/>
  <c r="BC19" i="16"/>
  <c r="BI19" i="16" s="1"/>
  <c r="CA15" i="16"/>
  <c r="CG15" i="16" s="1"/>
  <c r="CY17" i="15"/>
  <c r="DE17" i="15" s="1"/>
  <c r="DL12" i="15"/>
  <c r="CY12" i="15"/>
  <c r="CY18" i="15"/>
  <c r="DE18" i="15" s="1"/>
  <c r="CA18" i="15"/>
  <c r="CG18" i="15" s="1"/>
  <c r="H71" i="10"/>
  <c r="Y71" i="10" s="1"/>
  <c r="L67" i="22" s="1"/>
  <c r="G21" i="16"/>
  <c r="M21" i="16" s="1"/>
  <c r="AE21" i="15"/>
  <c r="AK21" i="15" s="1"/>
  <c r="CY22" i="14"/>
  <c r="DE22" i="14" s="1"/>
  <c r="CY23" i="16"/>
  <c r="DE23" i="16" s="1"/>
  <c r="BC22" i="14"/>
  <c r="BI22" i="14" s="1"/>
  <c r="AE19" i="13"/>
  <c r="AK19" i="13" s="1"/>
  <c r="BC17" i="15"/>
  <c r="BI17" i="15" s="1"/>
  <c r="G16" i="14"/>
  <c r="M16" i="14" s="1"/>
  <c r="CY19" i="13"/>
  <c r="DE19" i="13" s="1"/>
  <c r="AE18" i="15"/>
  <c r="AK18" i="15" s="1"/>
  <c r="CY22" i="15"/>
  <c r="DE22" i="15" s="1"/>
  <c r="CY13" i="13"/>
  <c r="DE13" i="13" s="1"/>
  <c r="AE15" i="15"/>
  <c r="AK15" i="15" s="1"/>
  <c r="CY16" i="13"/>
  <c r="DE16" i="13" s="1"/>
  <c r="BC15" i="16"/>
  <c r="BI15" i="16" s="1"/>
  <c r="BC23" i="13"/>
  <c r="BI23" i="13" s="1"/>
  <c r="BC16" i="13"/>
  <c r="BI16" i="13" s="1"/>
  <c r="G19" i="13"/>
  <c r="M19" i="13" s="1"/>
  <c r="G13" i="16"/>
  <c r="M13" i="16" s="1"/>
  <c r="G20" i="13"/>
  <c r="M20" i="13" s="1"/>
  <c r="CY24" i="15"/>
  <c r="DE24" i="15" s="1"/>
  <c r="CA19" i="14"/>
  <c r="CG19" i="14" s="1"/>
  <c r="G15" i="13"/>
  <c r="M15" i="13" s="1"/>
  <c r="BC26" i="13"/>
  <c r="BI26" i="13" s="1"/>
  <c r="BC14" i="16"/>
  <c r="BI14" i="16" s="1"/>
  <c r="G13" i="13"/>
  <c r="M13" i="13" s="1"/>
  <c r="BC13" i="15"/>
  <c r="BI13" i="15" s="1"/>
  <c r="G24" i="13"/>
  <c r="M24" i="13" s="1"/>
  <c r="G13" i="15"/>
  <c r="M13" i="15" s="1"/>
  <c r="G22" i="15"/>
  <c r="M22" i="15" s="1"/>
  <c r="AR12" i="15"/>
  <c r="AE12" i="15"/>
  <c r="G15" i="15"/>
  <c r="M15" i="15" s="1"/>
  <c r="CA19" i="13"/>
  <c r="CG19" i="13" s="1"/>
  <c r="BC13" i="13"/>
  <c r="BI13" i="13" s="1"/>
  <c r="CY18" i="14"/>
  <c r="DE18" i="14" s="1"/>
  <c r="CY14" i="15"/>
  <c r="DE14" i="15" s="1"/>
  <c r="H67" i="10"/>
  <c r="Y67" i="10" s="1"/>
  <c r="L63" i="22" s="1"/>
  <c r="R9" i="23" s="1"/>
  <c r="H72" i="10"/>
  <c r="Y72" i="10" s="1"/>
  <c r="L68" i="22" s="1"/>
  <c r="R14" i="23" s="1"/>
  <c r="G18" i="16"/>
  <c r="M18" i="16" s="1"/>
  <c r="BP12" i="16"/>
  <c r="BC12" i="16"/>
  <c r="AE15" i="13"/>
  <c r="AK15" i="13" s="1"/>
  <c r="DL12" i="13"/>
  <c r="CY12" i="13"/>
  <c r="AE20" i="14"/>
  <c r="AK20" i="14" s="1"/>
  <c r="BC14" i="13"/>
  <c r="BI14" i="13" s="1"/>
  <c r="AE23" i="14"/>
  <c r="AK23" i="14" s="1"/>
  <c r="G14" i="14"/>
  <c r="M14" i="14" s="1"/>
  <c r="BC17" i="14"/>
  <c r="BI17" i="14" s="1"/>
  <c r="BC19" i="15"/>
  <c r="BI19" i="15" s="1"/>
  <c r="AE13" i="16"/>
  <c r="AK13" i="16" s="1"/>
  <c r="CA21" i="13"/>
  <c r="CG21" i="13" s="1"/>
  <c r="CN12" i="16"/>
  <c r="CA12" i="16"/>
  <c r="CY21" i="16"/>
  <c r="DE21" i="16" s="1"/>
  <c r="BC15" i="13"/>
  <c r="BI15" i="13" s="1"/>
  <c r="G24" i="15"/>
  <c r="M24" i="15" s="1"/>
  <c r="BC15" i="14"/>
  <c r="BI15" i="14" s="1"/>
  <c r="AE25" i="14"/>
  <c r="AK25" i="14" s="1"/>
  <c r="T12" i="16"/>
  <c r="G12" i="16"/>
  <c r="AE27" i="13"/>
  <c r="AK27" i="13" s="1"/>
  <c r="AE27" i="14"/>
  <c r="AK27" i="14" s="1"/>
  <c r="G15" i="16"/>
  <c r="M15" i="16" s="1"/>
  <c r="CA23" i="14"/>
  <c r="CG23" i="14" s="1"/>
  <c r="CA22" i="16"/>
  <c r="CG22" i="16" s="1"/>
  <c r="G24" i="16"/>
  <c r="M24" i="16" s="1"/>
  <c r="CY23" i="14"/>
  <c r="DE23" i="14" s="1"/>
  <c r="AE13" i="14"/>
  <c r="AK13" i="14" s="1"/>
  <c r="AE23" i="15"/>
  <c r="AK23" i="15" s="1"/>
  <c r="BC21" i="16"/>
  <c r="BI21" i="16" s="1"/>
  <c r="CY15" i="13"/>
  <c r="DE15" i="13" s="1"/>
  <c r="CY21" i="14"/>
  <c r="DE21" i="14" s="1"/>
  <c r="CY26" i="16"/>
  <c r="DE26" i="16" s="1"/>
  <c r="BC25" i="13"/>
  <c r="BI25" i="13" s="1"/>
  <c r="AE13" i="15"/>
  <c r="AK13" i="15" s="1"/>
  <c r="BC22" i="16"/>
  <c r="BI22" i="16" s="1"/>
  <c r="CA20" i="16"/>
  <c r="CG20" i="16" s="1"/>
  <c r="CY19" i="15"/>
  <c r="DE19" i="15" s="1"/>
  <c r="CN12" i="15"/>
  <c r="CA12" i="15"/>
  <c r="CY20" i="15"/>
  <c r="DE20" i="15" s="1"/>
  <c r="CA26" i="15"/>
  <c r="CG26" i="15" s="1"/>
  <c r="AF14" i="10"/>
  <c r="AF15" i="10" s="1"/>
  <c r="AF16" i="10" s="1"/>
  <c r="AF17" i="10" s="1"/>
  <c r="AF18" i="10" s="1"/>
  <c r="AF19" i="10" s="1"/>
  <c r="AF20" i="10" s="1"/>
  <c r="AF21" i="10" s="1"/>
  <c r="AF22" i="10" s="1"/>
  <c r="AF23" i="10" s="1"/>
  <c r="AF24" i="10" s="1"/>
  <c r="AF25" i="10" s="1"/>
  <c r="AF26" i="10" s="1"/>
  <c r="AF27" i="10" s="1"/>
  <c r="AF28" i="10" s="1"/>
  <c r="J7" i="11" s="1"/>
  <c r="AE69" i="2"/>
  <c r="V24" i="8" s="1"/>
  <c r="X39" i="10"/>
  <c r="AG39" i="10"/>
  <c r="AG40" i="10" s="1"/>
  <c r="AG41" i="10" s="1"/>
  <c r="AG42" i="10" s="1"/>
  <c r="AG43" i="10" s="1"/>
  <c r="AG44" i="10" s="1"/>
  <c r="AG45" i="10" s="1"/>
  <c r="AG46" i="10" s="1"/>
  <c r="AG47" i="10" s="1"/>
  <c r="AG48" i="10" s="1"/>
  <c r="AG49" i="10" s="1"/>
  <c r="AG50" i="10" s="1"/>
  <c r="AG51" i="10" s="1"/>
  <c r="AG52" i="10" s="1"/>
  <c r="AG53" i="10" s="1"/>
  <c r="AG54" i="10" s="1"/>
  <c r="K8" i="11" s="1"/>
  <c r="K9" i="11" s="1"/>
  <c r="K11" i="11" s="1"/>
  <c r="K13" i="11" s="1"/>
  <c r="X13" i="10"/>
  <c r="AG13" i="10"/>
  <c r="AG14" i="10" s="1"/>
  <c r="AG15" i="10" s="1"/>
  <c r="Y13" i="10"/>
  <c r="Q71" i="2"/>
  <c r="K71" i="2"/>
  <c r="S19" i="8"/>
  <c r="R69" i="2"/>
  <c r="S24" i="8" s="1"/>
  <c r="K68" i="2"/>
  <c r="Q23" i="8" s="1"/>
  <c r="AF21" i="2"/>
  <c r="W20" i="8"/>
  <c r="Y21" i="2"/>
  <c r="U20" i="8"/>
  <c r="K21" i="2"/>
  <c r="BY64" i="14" l="1"/>
  <c r="V113" i="15"/>
  <c r="V114" i="15" s="1"/>
  <c r="V115" i="15" s="1"/>
  <c r="V116" i="15" s="1"/>
  <c r="V117" i="15" s="1"/>
  <c r="V118" i="15" s="1"/>
  <c r="V119" i="15" s="1"/>
  <c r="V120" i="15" s="1"/>
  <c r="V121" i="15" s="1"/>
  <c r="V122" i="15" s="1"/>
  <c r="V123" i="15" s="1"/>
  <c r="V124" i="15" s="1"/>
  <c r="V125" i="15" s="1"/>
  <c r="V126" i="15" s="1"/>
  <c r="V127" i="15" s="1"/>
  <c r="V128" i="15" s="1"/>
  <c r="DO113" i="16"/>
  <c r="DO114" i="16" s="1"/>
  <c r="DO115" i="16" s="1"/>
  <c r="DO116" i="16" s="1"/>
  <c r="DO117" i="16" s="1"/>
  <c r="DO118" i="16" s="1"/>
  <c r="DO119" i="16" s="1"/>
  <c r="DO120" i="16" s="1"/>
  <c r="DO121" i="16" s="1"/>
  <c r="DO122" i="16" s="1"/>
  <c r="DO123" i="16" s="1"/>
  <c r="DO124" i="16" s="1"/>
  <c r="DO125" i="16" s="1"/>
  <c r="DO126" i="16" s="1"/>
  <c r="DO127" i="16" s="1"/>
  <c r="DO128" i="16" s="1"/>
  <c r="AK113" i="15"/>
  <c r="AS113" i="15"/>
  <c r="AS114" i="15" s="1"/>
  <c r="AS115" i="15" s="1"/>
  <c r="AS116" i="15" s="1"/>
  <c r="AS117" i="15" s="1"/>
  <c r="AS118" i="15" s="1"/>
  <c r="AS119" i="15" s="1"/>
  <c r="AS120" i="15" s="1"/>
  <c r="AS121" i="15" s="1"/>
  <c r="AS122" i="15" s="1"/>
  <c r="AS123" i="15" s="1"/>
  <c r="AS124" i="15" s="1"/>
  <c r="AS125" i="15" s="1"/>
  <c r="AS126" i="15" s="1"/>
  <c r="AS127" i="15" s="1"/>
  <c r="AS128" i="15" s="1"/>
  <c r="AC162" i="15" s="1"/>
  <c r="AC163" i="15" s="1"/>
  <c r="AC165" i="15" s="1"/>
  <c r="AC167" i="15" s="1"/>
  <c r="BS88" i="14"/>
  <c r="BS89" i="14" s="1"/>
  <c r="BS90" i="14" s="1"/>
  <c r="BS91" i="14" s="1"/>
  <c r="BS92" i="14" s="1"/>
  <c r="BS93" i="14" s="1"/>
  <c r="BS94" i="14" s="1"/>
  <c r="BS95" i="14" s="1"/>
  <c r="BS96" i="14" s="1"/>
  <c r="BS97" i="14" s="1"/>
  <c r="BS98" i="14" s="1"/>
  <c r="BS99" i="14" s="1"/>
  <c r="BS100" i="14" s="1"/>
  <c r="BS101" i="14" s="1"/>
  <c r="BS102" i="14" s="1"/>
  <c r="BS103" i="14" s="1"/>
  <c r="DO113" i="14"/>
  <c r="DO114" i="14" s="1"/>
  <c r="DO115" i="14" s="1"/>
  <c r="DO116" i="14" s="1"/>
  <c r="DO117" i="14" s="1"/>
  <c r="DO118" i="14" s="1"/>
  <c r="DO119" i="14" s="1"/>
  <c r="DO120" i="14" s="1"/>
  <c r="DO121" i="14" s="1"/>
  <c r="DO122" i="14" s="1"/>
  <c r="DO123" i="14" s="1"/>
  <c r="DO124" i="14" s="1"/>
  <c r="DO125" i="14" s="1"/>
  <c r="DO126" i="14" s="1"/>
  <c r="DO127" i="14" s="1"/>
  <c r="DO128" i="14" s="1"/>
  <c r="W113" i="13"/>
  <c r="W114" i="13" s="1"/>
  <c r="W115" i="13" s="1"/>
  <c r="W116" i="13" s="1"/>
  <c r="W117" i="13" s="1"/>
  <c r="W118" i="13" s="1"/>
  <c r="W119" i="13" s="1"/>
  <c r="W120" i="13" s="1"/>
  <c r="W121" i="13" s="1"/>
  <c r="W122" i="13" s="1"/>
  <c r="W123" i="13" s="1"/>
  <c r="W124" i="13" s="1"/>
  <c r="W125" i="13" s="1"/>
  <c r="W126" i="13" s="1"/>
  <c r="W127" i="13" s="1"/>
  <c r="W128" i="13" s="1"/>
  <c r="DO88" i="13"/>
  <c r="DO89" i="13" s="1"/>
  <c r="DO90" i="13" s="1"/>
  <c r="DO91" i="13" s="1"/>
  <c r="DO92" i="13" s="1"/>
  <c r="DO93" i="13" s="1"/>
  <c r="DO94" i="13" s="1"/>
  <c r="DO95" i="13" s="1"/>
  <c r="DO96" i="13" s="1"/>
  <c r="DO97" i="13" s="1"/>
  <c r="DO98" i="13" s="1"/>
  <c r="DO99" i="13" s="1"/>
  <c r="DO100" i="13" s="1"/>
  <c r="DO101" i="13" s="1"/>
  <c r="DO102" i="13" s="1"/>
  <c r="DO103" i="13" s="1"/>
  <c r="W88" i="14"/>
  <c r="W89" i="14" s="1"/>
  <c r="W90" i="14" s="1"/>
  <c r="W91" i="14" s="1"/>
  <c r="W92" i="14" s="1"/>
  <c r="W93" i="14" s="1"/>
  <c r="W94" i="14" s="1"/>
  <c r="W95" i="14" s="1"/>
  <c r="W96" i="14" s="1"/>
  <c r="W97" i="14" s="1"/>
  <c r="W98" i="14" s="1"/>
  <c r="W99" i="14" s="1"/>
  <c r="W100" i="14" s="1"/>
  <c r="W101" i="14" s="1"/>
  <c r="W102" i="14" s="1"/>
  <c r="W103" i="14" s="1"/>
  <c r="W88" i="13"/>
  <c r="W89" i="13" s="1"/>
  <c r="W90" i="13" s="1"/>
  <c r="W91" i="13" s="1"/>
  <c r="W92" i="13" s="1"/>
  <c r="W93" i="13" s="1"/>
  <c r="W94" i="13" s="1"/>
  <c r="W95" i="13" s="1"/>
  <c r="W96" i="13" s="1"/>
  <c r="W97" i="13" s="1"/>
  <c r="W98" i="13" s="1"/>
  <c r="W99" i="13" s="1"/>
  <c r="W100" i="13" s="1"/>
  <c r="W101" i="13" s="1"/>
  <c r="W102" i="13" s="1"/>
  <c r="W103" i="13" s="1"/>
  <c r="W113" i="14"/>
  <c r="W114" i="14" s="1"/>
  <c r="W115" i="14" s="1"/>
  <c r="W116" i="14" s="1"/>
  <c r="W117" i="14" s="1"/>
  <c r="W118" i="14" s="1"/>
  <c r="W119" i="14" s="1"/>
  <c r="W120" i="14" s="1"/>
  <c r="W121" i="14" s="1"/>
  <c r="W122" i="14" s="1"/>
  <c r="W123" i="14" s="1"/>
  <c r="W124" i="14" s="1"/>
  <c r="W125" i="14" s="1"/>
  <c r="W126" i="14" s="1"/>
  <c r="W127" i="14" s="1"/>
  <c r="W128" i="14" s="1"/>
  <c r="AU88" i="13"/>
  <c r="AU89" i="13" s="1"/>
  <c r="AU90" i="13" s="1"/>
  <c r="AU91" i="13" s="1"/>
  <c r="AU92" i="13" s="1"/>
  <c r="AU93" i="13" s="1"/>
  <c r="AU94" i="13" s="1"/>
  <c r="AU95" i="13" s="1"/>
  <c r="AU96" i="13" s="1"/>
  <c r="AU97" i="13" s="1"/>
  <c r="AU98" i="13" s="1"/>
  <c r="AU99" i="13" s="1"/>
  <c r="AU100" i="13" s="1"/>
  <c r="AU101" i="13" s="1"/>
  <c r="AU102" i="13" s="1"/>
  <c r="AU103" i="13" s="1"/>
  <c r="CQ88" i="14"/>
  <c r="CQ89" i="14" s="1"/>
  <c r="CQ90" i="14" s="1"/>
  <c r="CQ91" i="14" s="1"/>
  <c r="CQ92" i="14" s="1"/>
  <c r="CQ93" i="14" s="1"/>
  <c r="CQ94" i="14" s="1"/>
  <c r="CQ95" i="14" s="1"/>
  <c r="CQ96" i="14" s="1"/>
  <c r="CQ97" i="14" s="1"/>
  <c r="CQ98" i="14" s="1"/>
  <c r="CQ99" i="14" s="1"/>
  <c r="CQ100" i="14" s="1"/>
  <c r="CQ101" i="14" s="1"/>
  <c r="CQ102" i="14" s="1"/>
  <c r="CQ103" i="14" s="1"/>
  <c r="CP88" i="13"/>
  <c r="CP89" i="13" s="1"/>
  <c r="CP90" i="13" s="1"/>
  <c r="CP91" i="13" s="1"/>
  <c r="CP92" i="13" s="1"/>
  <c r="CP93" i="13" s="1"/>
  <c r="CP94" i="13" s="1"/>
  <c r="CP95" i="13" s="1"/>
  <c r="CP96" i="13" s="1"/>
  <c r="CP97" i="13" s="1"/>
  <c r="CP98" i="13" s="1"/>
  <c r="CP99" i="13" s="1"/>
  <c r="CP100" i="13" s="1"/>
  <c r="CP101" i="13" s="1"/>
  <c r="CP102" i="13" s="1"/>
  <c r="CP103" i="13" s="1"/>
  <c r="BR88" i="13"/>
  <c r="BR89" i="13" s="1"/>
  <c r="BR90" i="13" s="1"/>
  <c r="BR91" i="13" s="1"/>
  <c r="BR92" i="13" s="1"/>
  <c r="BR93" i="13" s="1"/>
  <c r="BR94" i="13" s="1"/>
  <c r="BR95" i="13" s="1"/>
  <c r="BR96" i="13" s="1"/>
  <c r="BR97" i="13" s="1"/>
  <c r="BR98" i="13" s="1"/>
  <c r="BR99" i="13" s="1"/>
  <c r="BR100" i="13" s="1"/>
  <c r="BR101" i="13" s="1"/>
  <c r="BR102" i="13" s="1"/>
  <c r="BR103" i="13" s="1"/>
  <c r="W113" i="15"/>
  <c r="W114" i="15" s="1"/>
  <c r="W115" i="15" s="1"/>
  <c r="W116" i="15" s="1"/>
  <c r="W117" i="15" s="1"/>
  <c r="W118" i="15" s="1"/>
  <c r="W119" i="15" s="1"/>
  <c r="W120" i="15" s="1"/>
  <c r="W121" i="15" s="1"/>
  <c r="W122" i="15" s="1"/>
  <c r="W123" i="15" s="1"/>
  <c r="W124" i="15" s="1"/>
  <c r="W125" i="15" s="1"/>
  <c r="W126" i="15" s="1"/>
  <c r="W127" i="15" s="1"/>
  <c r="W128" i="15" s="1"/>
  <c r="V88" i="16"/>
  <c r="V89" i="16" s="1"/>
  <c r="V90" i="16" s="1"/>
  <c r="V91" i="16" s="1"/>
  <c r="V92" i="16" s="1"/>
  <c r="V93" i="16" s="1"/>
  <c r="V94" i="16" s="1"/>
  <c r="V95" i="16" s="1"/>
  <c r="V96" i="16" s="1"/>
  <c r="V97" i="16" s="1"/>
  <c r="V98" i="16" s="1"/>
  <c r="V99" i="16" s="1"/>
  <c r="V100" i="16" s="1"/>
  <c r="V101" i="16" s="1"/>
  <c r="V102" i="16" s="1"/>
  <c r="V103" i="16" s="1"/>
  <c r="DO88" i="15"/>
  <c r="DO89" i="15" s="1"/>
  <c r="DO90" i="15" s="1"/>
  <c r="DO91" i="15" s="1"/>
  <c r="DO92" i="15" s="1"/>
  <c r="DO93" i="15" s="1"/>
  <c r="DO94" i="15" s="1"/>
  <c r="DO95" i="15" s="1"/>
  <c r="DO96" i="15" s="1"/>
  <c r="DO97" i="15" s="1"/>
  <c r="DO98" i="15" s="1"/>
  <c r="DO99" i="15" s="1"/>
  <c r="DO100" i="15" s="1"/>
  <c r="DO101" i="15" s="1"/>
  <c r="DO102" i="15" s="1"/>
  <c r="DO103" i="15" s="1"/>
  <c r="DN113" i="14"/>
  <c r="DN114" i="14" s="1"/>
  <c r="DN115" i="14" s="1"/>
  <c r="DN116" i="14" s="1"/>
  <c r="DN117" i="14" s="1"/>
  <c r="DN118" i="14" s="1"/>
  <c r="DN119" i="14" s="1"/>
  <c r="DN120" i="14" s="1"/>
  <c r="DN121" i="14" s="1"/>
  <c r="DN122" i="14" s="1"/>
  <c r="DN123" i="14" s="1"/>
  <c r="DN124" i="14" s="1"/>
  <c r="DN125" i="14" s="1"/>
  <c r="DN126" i="14" s="1"/>
  <c r="DN127" i="14" s="1"/>
  <c r="DN128" i="14" s="1"/>
  <c r="BR113" i="15"/>
  <c r="BR114" i="15" s="1"/>
  <c r="BR115" i="15" s="1"/>
  <c r="BR116" i="15" s="1"/>
  <c r="BR117" i="15" s="1"/>
  <c r="BR118" i="15" s="1"/>
  <c r="BR119" i="15" s="1"/>
  <c r="BR120" i="15" s="1"/>
  <c r="BR121" i="15" s="1"/>
  <c r="BR122" i="15" s="1"/>
  <c r="BR123" i="15" s="1"/>
  <c r="BR124" i="15" s="1"/>
  <c r="BR125" i="15" s="1"/>
  <c r="BR126" i="15" s="1"/>
  <c r="BR127" i="15" s="1"/>
  <c r="BR128" i="15" s="1"/>
  <c r="V113" i="14"/>
  <c r="V114" i="14" s="1"/>
  <c r="V115" i="14" s="1"/>
  <c r="V116" i="14" s="1"/>
  <c r="V117" i="14" s="1"/>
  <c r="V118" i="14" s="1"/>
  <c r="V119" i="14" s="1"/>
  <c r="V120" i="14" s="1"/>
  <c r="V121" i="14" s="1"/>
  <c r="V122" i="14" s="1"/>
  <c r="V123" i="14" s="1"/>
  <c r="V124" i="14" s="1"/>
  <c r="V125" i="14" s="1"/>
  <c r="V126" i="14" s="1"/>
  <c r="V127" i="14" s="1"/>
  <c r="V128" i="14" s="1"/>
  <c r="DN113" i="13"/>
  <c r="DN114" i="13" s="1"/>
  <c r="DN115" i="13" s="1"/>
  <c r="DN116" i="13" s="1"/>
  <c r="DN117" i="13" s="1"/>
  <c r="DN118" i="13" s="1"/>
  <c r="DN119" i="13" s="1"/>
  <c r="DN120" i="13" s="1"/>
  <c r="DN121" i="13" s="1"/>
  <c r="DN122" i="13" s="1"/>
  <c r="DN123" i="13" s="1"/>
  <c r="DN124" i="13" s="1"/>
  <c r="DN125" i="13" s="1"/>
  <c r="DN126" i="13" s="1"/>
  <c r="DN127" i="13" s="1"/>
  <c r="DN128" i="13" s="1"/>
  <c r="BR88" i="14"/>
  <c r="BR89" i="14" s="1"/>
  <c r="BR90" i="14" s="1"/>
  <c r="BR91" i="14" s="1"/>
  <c r="BR92" i="14" s="1"/>
  <c r="BR93" i="14" s="1"/>
  <c r="BR94" i="14" s="1"/>
  <c r="BR95" i="14" s="1"/>
  <c r="BR96" i="14" s="1"/>
  <c r="BR97" i="14" s="1"/>
  <c r="BR98" i="14" s="1"/>
  <c r="BR99" i="14" s="1"/>
  <c r="BR100" i="14" s="1"/>
  <c r="BR101" i="14" s="1"/>
  <c r="BR102" i="14" s="1"/>
  <c r="BR103" i="14" s="1"/>
  <c r="DN88" i="15"/>
  <c r="DN89" i="15" s="1"/>
  <c r="DN90" i="15" s="1"/>
  <c r="DN91" i="15" s="1"/>
  <c r="DN92" i="15" s="1"/>
  <c r="DN93" i="15" s="1"/>
  <c r="DN94" i="15" s="1"/>
  <c r="DN95" i="15" s="1"/>
  <c r="DN96" i="15" s="1"/>
  <c r="DN97" i="15" s="1"/>
  <c r="DN98" i="15" s="1"/>
  <c r="DN99" i="15" s="1"/>
  <c r="DN100" i="15" s="1"/>
  <c r="DN101" i="15" s="1"/>
  <c r="DN102" i="15" s="1"/>
  <c r="DN103" i="15" s="1"/>
  <c r="CQ113" i="16"/>
  <c r="CQ114" i="16" s="1"/>
  <c r="CQ115" i="16" s="1"/>
  <c r="CQ116" i="16" s="1"/>
  <c r="CQ117" i="16" s="1"/>
  <c r="CQ118" i="16" s="1"/>
  <c r="CQ119" i="16" s="1"/>
  <c r="CQ120" i="16" s="1"/>
  <c r="CQ121" i="16" s="1"/>
  <c r="CQ122" i="16" s="1"/>
  <c r="CQ123" i="16" s="1"/>
  <c r="CQ124" i="16" s="1"/>
  <c r="CQ125" i="16" s="1"/>
  <c r="CQ126" i="16" s="1"/>
  <c r="CQ127" i="16" s="1"/>
  <c r="CQ128" i="16" s="1"/>
  <c r="CG113" i="15"/>
  <c r="CO113" i="15"/>
  <c r="CO114" i="15" s="1"/>
  <c r="CO115" i="15" s="1"/>
  <c r="CO116" i="15" s="1"/>
  <c r="CO117" i="15" s="1"/>
  <c r="CO118" i="15" s="1"/>
  <c r="CO119" i="15" s="1"/>
  <c r="CO120" i="15" s="1"/>
  <c r="CO121" i="15" s="1"/>
  <c r="CO122" i="15" s="1"/>
  <c r="CO123" i="15" s="1"/>
  <c r="CO124" i="15" s="1"/>
  <c r="CO125" i="15" s="1"/>
  <c r="CO126" i="15" s="1"/>
  <c r="CO127" i="15" s="1"/>
  <c r="CO128" i="15" s="1"/>
  <c r="AE162" i="15" s="1"/>
  <c r="AE163" i="15" s="1"/>
  <c r="AE165" i="15" s="1"/>
  <c r="AE167" i="15" s="1"/>
  <c r="BS113" i="13"/>
  <c r="BS114" i="13" s="1"/>
  <c r="BS115" i="13" s="1"/>
  <c r="BS116" i="13" s="1"/>
  <c r="BS117" i="13" s="1"/>
  <c r="BS118" i="13" s="1"/>
  <c r="BS119" i="13" s="1"/>
  <c r="BS120" i="13" s="1"/>
  <c r="BS121" i="13" s="1"/>
  <c r="BS122" i="13" s="1"/>
  <c r="BS123" i="13" s="1"/>
  <c r="BS124" i="13" s="1"/>
  <c r="BS125" i="13" s="1"/>
  <c r="BS126" i="13" s="1"/>
  <c r="BS127" i="13" s="1"/>
  <c r="BS128" i="13" s="1"/>
  <c r="BR113" i="13"/>
  <c r="BR114" i="13" s="1"/>
  <c r="BR115" i="13" s="1"/>
  <c r="BR116" i="13" s="1"/>
  <c r="BR117" i="13" s="1"/>
  <c r="BR118" i="13" s="1"/>
  <c r="BR119" i="13" s="1"/>
  <c r="BR120" i="13" s="1"/>
  <c r="BR121" i="13" s="1"/>
  <c r="BR122" i="13" s="1"/>
  <c r="BR123" i="13" s="1"/>
  <c r="BR124" i="13" s="1"/>
  <c r="BR125" i="13" s="1"/>
  <c r="BR126" i="13" s="1"/>
  <c r="BR127" i="13" s="1"/>
  <c r="BR128" i="13" s="1"/>
  <c r="V88" i="15"/>
  <c r="V89" i="15" s="1"/>
  <c r="V90" i="15" s="1"/>
  <c r="V91" i="15" s="1"/>
  <c r="V92" i="15" s="1"/>
  <c r="V93" i="15" s="1"/>
  <c r="V94" i="15" s="1"/>
  <c r="V95" i="15" s="1"/>
  <c r="V96" i="15" s="1"/>
  <c r="V97" i="15" s="1"/>
  <c r="V98" i="15" s="1"/>
  <c r="V99" i="15" s="1"/>
  <c r="V100" i="15" s="1"/>
  <c r="V101" i="15" s="1"/>
  <c r="V102" i="15" s="1"/>
  <c r="V103" i="15" s="1"/>
  <c r="DN88" i="13"/>
  <c r="DN89" i="13" s="1"/>
  <c r="DN90" i="13" s="1"/>
  <c r="DN91" i="13" s="1"/>
  <c r="DN92" i="13" s="1"/>
  <c r="DN93" i="13" s="1"/>
  <c r="DN94" i="13" s="1"/>
  <c r="DN95" i="13" s="1"/>
  <c r="DN96" i="13" s="1"/>
  <c r="DN97" i="13" s="1"/>
  <c r="DN98" i="13" s="1"/>
  <c r="DN99" i="13" s="1"/>
  <c r="DN100" i="13" s="1"/>
  <c r="DN101" i="13" s="1"/>
  <c r="DN102" i="13" s="1"/>
  <c r="DN103" i="13" s="1"/>
  <c r="AU113" i="13"/>
  <c r="AU114" i="13" s="1"/>
  <c r="AU115" i="13" s="1"/>
  <c r="AU116" i="13" s="1"/>
  <c r="AU117" i="13" s="1"/>
  <c r="AU118" i="13" s="1"/>
  <c r="AU119" i="13" s="1"/>
  <c r="AU120" i="13" s="1"/>
  <c r="AU121" i="13" s="1"/>
  <c r="AU122" i="13" s="1"/>
  <c r="AU123" i="13" s="1"/>
  <c r="AU124" i="13" s="1"/>
  <c r="AU125" i="13" s="1"/>
  <c r="AU126" i="13" s="1"/>
  <c r="AU127" i="13" s="1"/>
  <c r="AU128" i="13" s="1"/>
  <c r="AJ113" i="15"/>
  <c r="DN113" i="15"/>
  <c r="DN114" i="15" s="1"/>
  <c r="DN115" i="15" s="1"/>
  <c r="DN116" i="15" s="1"/>
  <c r="DN117" i="15" s="1"/>
  <c r="DN118" i="15" s="1"/>
  <c r="DN119" i="15" s="1"/>
  <c r="DN120" i="15" s="1"/>
  <c r="DN121" i="15" s="1"/>
  <c r="DN122" i="15" s="1"/>
  <c r="DN123" i="15" s="1"/>
  <c r="DN124" i="15" s="1"/>
  <c r="DN125" i="15" s="1"/>
  <c r="DN126" i="15" s="1"/>
  <c r="DN127" i="15" s="1"/>
  <c r="DN128" i="15" s="1"/>
  <c r="BR88" i="15"/>
  <c r="BR89" i="15" s="1"/>
  <c r="BR90" i="15" s="1"/>
  <c r="BR91" i="15" s="1"/>
  <c r="BR92" i="15" s="1"/>
  <c r="BR93" i="15" s="1"/>
  <c r="BR94" i="15" s="1"/>
  <c r="BR95" i="15" s="1"/>
  <c r="BR96" i="15" s="1"/>
  <c r="BR97" i="15" s="1"/>
  <c r="BR98" i="15" s="1"/>
  <c r="BR99" i="15" s="1"/>
  <c r="BR100" i="15" s="1"/>
  <c r="BR101" i="15" s="1"/>
  <c r="BR102" i="15" s="1"/>
  <c r="BR103" i="15" s="1"/>
  <c r="AT88" i="14"/>
  <c r="AT89" i="14" s="1"/>
  <c r="AT90" i="14" s="1"/>
  <c r="AT91" i="14" s="1"/>
  <c r="AT92" i="14" s="1"/>
  <c r="AT93" i="14" s="1"/>
  <c r="AT94" i="14" s="1"/>
  <c r="AT95" i="14" s="1"/>
  <c r="AT96" i="14" s="1"/>
  <c r="AT97" i="14" s="1"/>
  <c r="AT98" i="14" s="1"/>
  <c r="AT99" i="14" s="1"/>
  <c r="AT100" i="14" s="1"/>
  <c r="AT101" i="14" s="1"/>
  <c r="AT102" i="14" s="1"/>
  <c r="AT103" i="14" s="1"/>
  <c r="CQ113" i="14"/>
  <c r="CQ114" i="14" s="1"/>
  <c r="CQ115" i="14" s="1"/>
  <c r="CQ116" i="14" s="1"/>
  <c r="CQ117" i="14" s="1"/>
  <c r="CQ118" i="14" s="1"/>
  <c r="CQ119" i="14" s="1"/>
  <c r="CQ120" i="14" s="1"/>
  <c r="CQ121" i="14" s="1"/>
  <c r="CQ122" i="14" s="1"/>
  <c r="CQ123" i="14" s="1"/>
  <c r="CQ124" i="14" s="1"/>
  <c r="CQ125" i="14" s="1"/>
  <c r="CQ126" i="14" s="1"/>
  <c r="CQ127" i="14" s="1"/>
  <c r="CQ128" i="14" s="1"/>
  <c r="V113" i="16"/>
  <c r="V114" i="16" s="1"/>
  <c r="V115" i="16" s="1"/>
  <c r="V116" i="16" s="1"/>
  <c r="V117" i="16" s="1"/>
  <c r="V118" i="16" s="1"/>
  <c r="V119" i="16" s="1"/>
  <c r="V120" i="16" s="1"/>
  <c r="V121" i="16" s="1"/>
  <c r="V122" i="16" s="1"/>
  <c r="V123" i="16" s="1"/>
  <c r="V124" i="16" s="1"/>
  <c r="V125" i="16" s="1"/>
  <c r="V126" i="16" s="1"/>
  <c r="V127" i="16" s="1"/>
  <c r="V128" i="16" s="1"/>
  <c r="AT113" i="13"/>
  <c r="AT114" i="13" s="1"/>
  <c r="AT115" i="13" s="1"/>
  <c r="AT116" i="13" s="1"/>
  <c r="AT117" i="13" s="1"/>
  <c r="AT118" i="13" s="1"/>
  <c r="AT119" i="13" s="1"/>
  <c r="AT120" i="13" s="1"/>
  <c r="AT121" i="13" s="1"/>
  <c r="AT122" i="13" s="1"/>
  <c r="AT123" i="13" s="1"/>
  <c r="AT124" i="13" s="1"/>
  <c r="AT125" i="13" s="1"/>
  <c r="AT126" i="13" s="1"/>
  <c r="AT127" i="13" s="1"/>
  <c r="AT128" i="13" s="1"/>
  <c r="CP113" i="14"/>
  <c r="CP114" i="14" s="1"/>
  <c r="CP115" i="14" s="1"/>
  <c r="CP116" i="14" s="1"/>
  <c r="CP117" i="14" s="1"/>
  <c r="CP118" i="14" s="1"/>
  <c r="CP119" i="14" s="1"/>
  <c r="CP120" i="14" s="1"/>
  <c r="CP121" i="14" s="1"/>
  <c r="CP122" i="14" s="1"/>
  <c r="CP123" i="14" s="1"/>
  <c r="CP124" i="14" s="1"/>
  <c r="CP125" i="14" s="1"/>
  <c r="CP126" i="14" s="1"/>
  <c r="CP127" i="14" s="1"/>
  <c r="CP128" i="14" s="1"/>
  <c r="DE113" i="15"/>
  <c r="DM113" i="15"/>
  <c r="DM114" i="15" s="1"/>
  <c r="DM115" i="15" s="1"/>
  <c r="DM116" i="15" s="1"/>
  <c r="DM117" i="15" s="1"/>
  <c r="DM118" i="15" s="1"/>
  <c r="DM119" i="15" s="1"/>
  <c r="DM120" i="15" s="1"/>
  <c r="DM121" i="15" s="1"/>
  <c r="DM122" i="15" s="1"/>
  <c r="DM123" i="15" s="1"/>
  <c r="DM124" i="15" s="1"/>
  <c r="DM125" i="15" s="1"/>
  <c r="DM126" i="15" s="1"/>
  <c r="DM127" i="15" s="1"/>
  <c r="DM128" i="15" s="1"/>
  <c r="AF162" i="15" s="1"/>
  <c r="AF163" i="15" s="1"/>
  <c r="AF165" i="15" s="1"/>
  <c r="AF167" i="15" s="1"/>
  <c r="BS113" i="14"/>
  <c r="BS114" i="14" s="1"/>
  <c r="BS115" i="14" s="1"/>
  <c r="BS116" i="14" s="1"/>
  <c r="BS117" i="14" s="1"/>
  <c r="BS118" i="14" s="1"/>
  <c r="BS119" i="14" s="1"/>
  <c r="BS120" i="14" s="1"/>
  <c r="BS121" i="14" s="1"/>
  <c r="BS122" i="14" s="1"/>
  <c r="BS123" i="14" s="1"/>
  <c r="BS124" i="14" s="1"/>
  <c r="BS125" i="14" s="1"/>
  <c r="BS126" i="14" s="1"/>
  <c r="BS127" i="14" s="1"/>
  <c r="BS128" i="14" s="1"/>
  <c r="AU113" i="14"/>
  <c r="AU114" i="14" s="1"/>
  <c r="AU115" i="14" s="1"/>
  <c r="AU116" i="14" s="1"/>
  <c r="AU117" i="14" s="1"/>
  <c r="AU118" i="14" s="1"/>
  <c r="AU119" i="14" s="1"/>
  <c r="AU120" i="14" s="1"/>
  <c r="AU121" i="14" s="1"/>
  <c r="AU122" i="14" s="1"/>
  <c r="AU123" i="14" s="1"/>
  <c r="AU124" i="14" s="1"/>
  <c r="AU125" i="14" s="1"/>
  <c r="AU126" i="14" s="1"/>
  <c r="AU127" i="14" s="1"/>
  <c r="AU128" i="14" s="1"/>
  <c r="BS88" i="15"/>
  <c r="BS89" i="15" s="1"/>
  <c r="BS90" i="15" s="1"/>
  <c r="BS91" i="15" s="1"/>
  <c r="BS92" i="15" s="1"/>
  <c r="BS93" i="15" s="1"/>
  <c r="BS94" i="15" s="1"/>
  <c r="BS95" i="15" s="1"/>
  <c r="BS96" i="15" s="1"/>
  <c r="BS97" i="15" s="1"/>
  <c r="BS98" i="15" s="1"/>
  <c r="BS99" i="15" s="1"/>
  <c r="BS100" i="15" s="1"/>
  <c r="BS101" i="15" s="1"/>
  <c r="BS102" i="15" s="1"/>
  <c r="BS103" i="15" s="1"/>
  <c r="CQ88" i="13"/>
  <c r="CQ89" i="13" s="1"/>
  <c r="CQ90" i="13" s="1"/>
  <c r="CQ91" i="13" s="1"/>
  <c r="CQ92" i="13" s="1"/>
  <c r="CQ93" i="13" s="1"/>
  <c r="CQ94" i="13" s="1"/>
  <c r="CQ95" i="13" s="1"/>
  <c r="CQ96" i="13" s="1"/>
  <c r="CQ97" i="13" s="1"/>
  <c r="CQ98" i="13" s="1"/>
  <c r="CQ99" i="13" s="1"/>
  <c r="CQ100" i="13" s="1"/>
  <c r="CQ101" i="13" s="1"/>
  <c r="CQ102" i="13" s="1"/>
  <c r="CQ103" i="13" s="1"/>
  <c r="BS88" i="13"/>
  <c r="BS89" i="13" s="1"/>
  <c r="BS90" i="13" s="1"/>
  <c r="BS91" i="13" s="1"/>
  <c r="BS92" i="13" s="1"/>
  <c r="BS93" i="13" s="1"/>
  <c r="BS94" i="13" s="1"/>
  <c r="BS95" i="13" s="1"/>
  <c r="BS96" i="13" s="1"/>
  <c r="BS97" i="13" s="1"/>
  <c r="BS98" i="13" s="1"/>
  <c r="BS99" i="13" s="1"/>
  <c r="BS100" i="13" s="1"/>
  <c r="BS101" i="13" s="1"/>
  <c r="BS102" i="13" s="1"/>
  <c r="BS103" i="13" s="1"/>
  <c r="CQ113" i="13"/>
  <c r="CQ114" i="13" s="1"/>
  <c r="CQ115" i="13" s="1"/>
  <c r="CQ116" i="13" s="1"/>
  <c r="CQ117" i="13" s="1"/>
  <c r="CQ118" i="13" s="1"/>
  <c r="CQ119" i="13" s="1"/>
  <c r="CQ120" i="13" s="1"/>
  <c r="CQ121" i="13" s="1"/>
  <c r="CQ122" i="13" s="1"/>
  <c r="CQ123" i="13" s="1"/>
  <c r="CQ124" i="13" s="1"/>
  <c r="CQ125" i="13" s="1"/>
  <c r="CQ126" i="13" s="1"/>
  <c r="CQ127" i="13" s="1"/>
  <c r="CQ128" i="13" s="1"/>
  <c r="DO113" i="13"/>
  <c r="DO114" i="13" s="1"/>
  <c r="DO115" i="13" s="1"/>
  <c r="DO116" i="13" s="1"/>
  <c r="DO117" i="13" s="1"/>
  <c r="DO118" i="13" s="1"/>
  <c r="DO119" i="13" s="1"/>
  <c r="DO120" i="13" s="1"/>
  <c r="DO121" i="13" s="1"/>
  <c r="DO122" i="13" s="1"/>
  <c r="DO123" i="13" s="1"/>
  <c r="DO124" i="13" s="1"/>
  <c r="DO125" i="13" s="1"/>
  <c r="DO126" i="13" s="1"/>
  <c r="DO127" i="13" s="1"/>
  <c r="DO128" i="13" s="1"/>
  <c r="W88" i="16"/>
  <c r="W89" i="16" s="1"/>
  <c r="W90" i="16" s="1"/>
  <c r="W91" i="16" s="1"/>
  <c r="W92" i="16" s="1"/>
  <c r="W93" i="16" s="1"/>
  <c r="W94" i="16" s="1"/>
  <c r="W95" i="16" s="1"/>
  <c r="W96" i="16" s="1"/>
  <c r="W97" i="16" s="1"/>
  <c r="W98" i="16" s="1"/>
  <c r="W99" i="16" s="1"/>
  <c r="W100" i="16" s="1"/>
  <c r="W101" i="16" s="1"/>
  <c r="W102" i="16" s="1"/>
  <c r="W103" i="16" s="1"/>
  <c r="CP113" i="15"/>
  <c r="CP114" i="15" s="1"/>
  <c r="CP115" i="15" s="1"/>
  <c r="CP116" i="15" s="1"/>
  <c r="CP117" i="15" s="1"/>
  <c r="CP118" i="15" s="1"/>
  <c r="CP119" i="15" s="1"/>
  <c r="CP120" i="15" s="1"/>
  <c r="CP121" i="15" s="1"/>
  <c r="CP122" i="15" s="1"/>
  <c r="CP123" i="15" s="1"/>
  <c r="CP124" i="15" s="1"/>
  <c r="CP125" i="15" s="1"/>
  <c r="CP126" i="15" s="1"/>
  <c r="CP127" i="15" s="1"/>
  <c r="CP128" i="15" s="1"/>
  <c r="V88" i="14"/>
  <c r="V89" i="14" s="1"/>
  <c r="V90" i="14" s="1"/>
  <c r="V91" i="14" s="1"/>
  <c r="V92" i="14" s="1"/>
  <c r="V93" i="14" s="1"/>
  <c r="V94" i="14" s="1"/>
  <c r="V95" i="14" s="1"/>
  <c r="V96" i="14" s="1"/>
  <c r="V97" i="14" s="1"/>
  <c r="V98" i="14" s="1"/>
  <c r="V99" i="14" s="1"/>
  <c r="V100" i="14" s="1"/>
  <c r="V101" i="14" s="1"/>
  <c r="V102" i="14" s="1"/>
  <c r="V103" i="14" s="1"/>
  <c r="V88" i="13"/>
  <c r="V89" i="13" s="1"/>
  <c r="V90" i="13" s="1"/>
  <c r="V91" i="13" s="1"/>
  <c r="V92" i="13" s="1"/>
  <c r="V93" i="13" s="1"/>
  <c r="V94" i="13" s="1"/>
  <c r="V95" i="13" s="1"/>
  <c r="V96" i="13" s="1"/>
  <c r="V97" i="13" s="1"/>
  <c r="V98" i="13" s="1"/>
  <c r="V99" i="13" s="1"/>
  <c r="V100" i="13" s="1"/>
  <c r="V101" i="13" s="1"/>
  <c r="V102" i="13" s="1"/>
  <c r="V103" i="13" s="1"/>
  <c r="AT88" i="13"/>
  <c r="AT89" i="13" s="1"/>
  <c r="AT90" i="13" s="1"/>
  <c r="AT91" i="13" s="1"/>
  <c r="AT92" i="13" s="1"/>
  <c r="AT93" i="13" s="1"/>
  <c r="AT94" i="13" s="1"/>
  <c r="AT95" i="13" s="1"/>
  <c r="AT96" i="13" s="1"/>
  <c r="AT97" i="13" s="1"/>
  <c r="AT98" i="13" s="1"/>
  <c r="AT99" i="13" s="1"/>
  <c r="AT100" i="13" s="1"/>
  <c r="AT101" i="13" s="1"/>
  <c r="AT102" i="13" s="1"/>
  <c r="AT103" i="13" s="1"/>
  <c r="CP88" i="14"/>
  <c r="CP89" i="14" s="1"/>
  <c r="CP90" i="14" s="1"/>
  <c r="CP91" i="14" s="1"/>
  <c r="CP92" i="14" s="1"/>
  <c r="CP93" i="14" s="1"/>
  <c r="CP94" i="14" s="1"/>
  <c r="CP95" i="14" s="1"/>
  <c r="CP96" i="14" s="1"/>
  <c r="CP97" i="14" s="1"/>
  <c r="CP98" i="14" s="1"/>
  <c r="CP99" i="14" s="1"/>
  <c r="CP100" i="14" s="1"/>
  <c r="CP101" i="14" s="1"/>
  <c r="CP102" i="14" s="1"/>
  <c r="CP103" i="14" s="1"/>
  <c r="BR113" i="14"/>
  <c r="BR114" i="14" s="1"/>
  <c r="BR115" i="14" s="1"/>
  <c r="BR116" i="14" s="1"/>
  <c r="BR117" i="14" s="1"/>
  <c r="BR118" i="14" s="1"/>
  <c r="BR119" i="14" s="1"/>
  <c r="BR120" i="14" s="1"/>
  <c r="BR121" i="14" s="1"/>
  <c r="BR122" i="14" s="1"/>
  <c r="BR123" i="14" s="1"/>
  <c r="BR124" i="14" s="1"/>
  <c r="BR125" i="14" s="1"/>
  <c r="BR126" i="14" s="1"/>
  <c r="BR127" i="14" s="1"/>
  <c r="BR128" i="14" s="1"/>
  <c r="AT113" i="14"/>
  <c r="AT114" i="14" s="1"/>
  <c r="AT115" i="14" s="1"/>
  <c r="AT116" i="14" s="1"/>
  <c r="AT117" i="14" s="1"/>
  <c r="AT118" i="14" s="1"/>
  <c r="AT119" i="14" s="1"/>
  <c r="AT120" i="14" s="1"/>
  <c r="AT121" i="14" s="1"/>
  <c r="AT122" i="14" s="1"/>
  <c r="AT123" i="14" s="1"/>
  <c r="AT124" i="14" s="1"/>
  <c r="AT125" i="14" s="1"/>
  <c r="AT126" i="14" s="1"/>
  <c r="AT127" i="14" s="1"/>
  <c r="AT128" i="14" s="1"/>
  <c r="V113" i="13"/>
  <c r="V114" i="13" s="1"/>
  <c r="V115" i="13" s="1"/>
  <c r="V116" i="13" s="1"/>
  <c r="V117" i="13" s="1"/>
  <c r="V118" i="13" s="1"/>
  <c r="V119" i="13" s="1"/>
  <c r="V120" i="13" s="1"/>
  <c r="V121" i="13" s="1"/>
  <c r="V122" i="13" s="1"/>
  <c r="V123" i="13" s="1"/>
  <c r="V124" i="13" s="1"/>
  <c r="V125" i="13" s="1"/>
  <c r="V126" i="13" s="1"/>
  <c r="V127" i="13" s="1"/>
  <c r="V128" i="13" s="1"/>
  <c r="W113" i="16"/>
  <c r="W114" i="16" s="1"/>
  <c r="W115" i="16" s="1"/>
  <c r="W116" i="16" s="1"/>
  <c r="W117" i="16" s="1"/>
  <c r="W118" i="16" s="1"/>
  <c r="W119" i="16" s="1"/>
  <c r="W120" i="16" s="1"/>
  <c r="W121" i="16" s="1"/>
  <c r="W122" i="16" s="1"/>
  <c r="W123" i="16" s="1"/>
  <c r="W124" i="16" s="1"/>
  <c r="W125" i="16" s="1"/>
  <c r="W126" i="16" s="1"/>
  <c r="W127" i="16" s="1"/>
  <c r="W128" i="16" s="1"/>
  <c r="CP113" i="13"/>
  <c r="CP114" i="13" s="1"/>
  <c r="CP115" i="13" s="1"/>
  <c r="CP116" i="13" s="1"/>
  <c r="CP117" i="13" s="1"/>
  <c r="CP118" i="13" s="1"/>
  <c r="CP119" i="13" s="1"/>
  <c r="CP120" i="13" s="1"/>
  <c r="CP121" i="13" s="1"/>
  <c r="CP122" i="13" s="1"/>
  <c r="CP123" i="13" s="1"/>
  <c r="CP124" i="13" s="1"/>
  <c r="CP125" i="13" s="1"/>
  <c r="CP126" i="13" s="1"/>
  <c r="CP127" i="13" s="1"/>
  <c r="CP128" i="13" s="1"/>
  <c r="DO88" i="14"/>
  <c r="DO89" i="14" s="1"/>
  <c r="DO90" i="14" s="1"/>
  <c r="DO91" i="14" s="1"/>
  <c r="DO92" i="14" s="1"/>
  <c r="DO93" i="14" s="1"/>
  <c r="DO94" i="14" s="1"/>
  <c r="DO95" i="14" s="1"/>
  <c r="DO96" i="14" s="1"/>
  <c r="DO97" i="14" s="1"/>
  <c r="DO98" i="14" s="1"/>
  <c r="DO99" i="14" s="1"/>
  <c r="DO100" i="14" s="1"/>
  <c r="DO101" i="14" s="1"/>
  <c r="DO102" i="14" s="1"/>
  <c r="DO103" i="14" s="1"/>
  <c r="DN88" i="14"/>
  <c r="DN89" i="14" s="1"/>
  <c r="DN90" i="14" s="1"/>
  <c r="DN91" i="14" s="1"/>
  <c r="DN92" i="14" s="1"/>
  <c r="DN93" i="14" s="1"/>
  <c r="DN94" i="14" s="1"/>
  <c r="DN95" i="14" s="1"/>
  <c r="DN96" i="14" s="1"/>
  <c r="DN97" i="14" s="1"/>
  <c r="DN98" i="14" s="1"/>
  <c r="DN99" i="14" s="1"/>
  <c r="DN100" i="14" s="1"/>
  <c r="DN101" i="14" s="1"/>
  <c r="DN102" i="14" s="1"/>
  <c r="DN103" i="14" s="1"/>
  <c r="AU113" i="16"/>
  <c r="AU114" i="16" s="1"/>
  <c r="AU115" i="16" s="1"/>
  <c r="AU116" i="16" s="1"/>
  <c r="AU117" i="16" s="1"/>
  <c r="AU118" i="16" s="1"/>
  <c r="AU119" i="16" s="1"/>
  <c r="AU120" i="16" s="1"/>
  <c r="AU121" i="16" s="1"/>
  <c r="AU122" i="16" s="1"/>
  <c r="AU123" i="16" s="1"/>
  <c r="AU124" i="16" s="1"/>
  <c r="AU125" i="16" s="1"/>
  <c r="AU126" i="16" s="1"/>
  <c r="AU127" i="16" s="1"/>
  <c r="AU128" i="16" s="1"/>
  <c r="BI113" i="15"/>
  <c r="BQ113" i="15"/>
  <c r="BQ114" i="15" s="1"/>
  <c r="BQ115" i="15" s="1"/>
  <c r="BQ116" i="15" s="1"/>
  <c r="BQ117" i="15" s="1"/>
  <c r="BQ118" i="15" s="1"/>
  <c r="BQ119" i="15" s="1"/>
  <c r="BQ120" i="15" s="1"/>
  <c r="BQ121" i="15" s="1"/>
  <c r="BQ122" i="15" s="1"/>
  <c r="BQ123" i="15" s="1"/>
  <c r="BQ124" i="15" s="1"/>
  <c r="BQ125" i="15" s="1"/>
  <c r="BQ126" i="15" s="1"/>
  <c r="BQ127" i="15" s="1"/>
  <c r="BQ128" i="15" s="1"/>
  <c r="AD162" i="15" s="1"/>
  <c r="AD163" i="15" s="1"/>
  <c r="AD165" i="15" s="1"/>
  <c r="AD167" i="15" s="1"/>
  <c r="W88" i="15"/>
  <c r="W89" i="15" s="1"/>
  <c r="W90" i="15" s="1"/>
  <c r="W91" i="15" s="1"/>
  <c r="W92" i="15" s="1"/>
  <c r="W93" i="15" s="1"/>
  <c r="W94" i="15" s="1"/>
  <c r="W95" i="15" s="1"/>
  <c r="W96" i="15" s="1"/>
  <c r="W97" i="15" s="1"/>
  <c r="W98" i="15" s="1"/>
  <c r="W99" i="15" s="1"/>
  <c r="W100" i="15" s="1"/>
  <c r="W101" i="15" s="1"/>
  <c r="W102" i="15" s="1"/>
  <c r="W103" i="15" s="1"/>
  <c r="AU88" i="14"/>
  <c r="AU89" i="14" s="1"/>
  <c r="AU90" i="14" s="1"/>
  <c r="AU91" i="14" s="1"/>
  <c r="AU92" i="14" s="1"/>
  <c r="AU93" i="14" s="1"/>
  <c r="AU94" i="14" s="1"/>
  <c r="AU95" i="14" s="1"/>
  <c r="AU96" i="14" s="1"/>
  <c r="AU97" i="14" s="1"/>
  <c r="AU98" i="14" s="1"/>
  <c r="AU99" i="14" s="1"/>
  <c r="AU100" i="14" s="1"/>
  <c r="AU101" i="14" s="1"/>
  <c r="AU102" i="14" s="1"/>
  <c r="AU103" i="14" s="1"/>
  <c r="BQ128" i="14"/>
  <c r="AD162" i="14" s="1"/>
  <c r="AF66" i="10"/>
  <c r="AF67" i="10" s="1"/>
  <c r="AF68" i="10" s="1"/>
  <c r="AF69" i="10" s="1"/>
  <c r="AF70" i="10" s="1"/>
  <c r="AF71" i="10" s="1"/>
  <c r="AF72" i="10" s="1"/>
  <c r="AF73" i="10" s="1"/>
  <c r="AF74" i="10" s="1"/>
  <c r="AF75" i="10" s="1"/>
  <c r="AF76" i="10" s="1"/>
  <c r="AF77" i="10" s="1"/>
  <c r="AF78" i="10" s="1"/>
  <c r="AF79" i="10" s="1"/>
  <c r="AF80" i="10" s="1"/>
  <c r="X71" i="2"/>
  <c r="T29" i="8" s="1"/>
  <c r="T27" i="8" s="1"/>
  <c r="BY64" i="15"/>
  <c r="BY65" i="15" s="1"/>
  <c r="BY66" i="15" s="1"/>
  <c r="BY67" i="15" s="1"/>
  <c r="BY68" i="15" s="1"/>
  <c r="BY69" i="15" s="1"/>
  <c r="BY70" i="15" s="1"/>
  <c r="BY71" i="15" s="1"/>
  <c r="BY72" i="15" s="1"/>
  <c r="BY73" i="15" s="1"/>
  <c r="BY74" i="15" s="1"/>
  <c r="BY75" i="15" s="1"/>
  <c r="BY76" i="15" s="1"/>
  <c r="BY77" i="15" s="1"/>
  <c r="BY78" i="15" s="1"/>
  <c r="BY64" i="13"/>
  <c r="BY65" i="13" s="1"/>
  <c r="BY66" i="13" s="1"/>
  <c r="BY67" i="13" s="1"/>
  <c r="BY68" i="13" s="1"/>
  <c r="BY69" i="13" s="1"/>
  <c r="BY70" i="13" s="1"/>
  <c r="BY71" i="13" s="1"/>
  <c r="BY72" i="13" s="1"/>
  <c r="BY73" i="13" s="1"/>
  <c r="BY74" i="13" s="1"/>
  <c r="BY75" i="13" s="1"/>
  <c r="BY76" i="13" s="1"/>
  <c r="BY77" i="13" s="1"/>
  <c r="BY78" i="13" s="1"/>
  <c r="AB164" i="14"/>
  <c r="AB166" i="14" s="1"/>
  <c r="AB168" i="14" s="1"/>
  <c r="X164" i="13"/>
  <c r="X166" i="13" s="1"/>
  <c r="X168" i="13" s="1"/>
  <c r="CP113" i="16"/>
  <c r="CP114" i="16" s="1"/>
  <c r="CP115" i="16" s="1"/>
  <c r="CP116" i="16" s="1"/>
  <c r="CP117" i="16" s="1"/>
  <c r="CP118" i="16" s="1"/>
  <c r="CP119" i="16" s="1"/>
  <c r="CP120" i="16" s="1"/>
  <c r="CP121" i="16" s="1"/>
  <c r="CP122" i="16" s="1"/>
  <c r="CP123" i="16" s="1"/>
  <c r="CP124" i="16" s="1"/>
  <c r="CP125" i="16" s="1"/>
  <c r="CP126" i="16" s="1"/>
  <c r="CP127" i="16" s="1"/>
  <c r="CP128" i="16" s="1"/>
  <c r="BR113" i="16"/>
  <c r="BR114" i="16" s="1"/>
  <c r="BR115" i="16" s="1"/>
  <c r="BR116" i="16" s="1"/>
  <c r="BR117" i="16" s="1"/>
  <c r="BR118" i="16" s="1"/>
  <c r="BR119" i="16" s="1"/>
  <c r="BR120" i="16" s="1"/>
  <c r="BR121" i="16" s="1"/>
  <c r="BR122" i="16" s="1"/>
  <c r="BR123" i="16" s="1"/>
  <c r="BR124" i="16" s="1"/>
  <c r="BR125" i="16" s="1"/>
  <c r="BR126" i="16" s="1"/>
  <c r="BR127" i="16" s="1"/>
  <c r="BR128" i="16" s="1"/>
  <c r="AD164" i="13"/>
  <c r="E18" i="12" s="1"/>
  <c r="Z164" i="14"/>
  <c r="H24" i="12" s="1"/>
  <c r="M7" i="23"/>
  <c r="O7" i="23" s="1"/>
  <c r="O8" i="23" s="1"/>
  <c r="O9" i="23" s="1"/>
  <c r="O10" i="23" s="1"/>
  <c r="O11" i="23" s="1"/>
  <c r="O12" i="23" s="1"/>
  <c r="O13" i="23" s="1"/>
  <c r="O14" i="23" s="1"/>
  <c r="O15" i="23" s="1"/>
  <c r="O16" i="23" s="1"/>
  <c r="O17" i="23" s="1"/>
  <c r="O18" i="23" s="1"/>
  <c r="O19" i="23" s="1"/>
  <c r="O20" i="23" s="1"/>
  <c r="O21" i="23" s="1"/>
  <c r="O22" i="23" s="1"/>
  <c r="C29" i="23" s="1"/>
  <c r="N7" i="23"/>
  <c r="P7" i="23" s="1"/>
  <c r="P8" i="23" s="1"/>
  <c r="P9" i="23" s="1"/>
  <c r="P10" i="23" s="1"/>
  <c r="P11" i="23" s="1"/>
  <c r="P12" i="23" s="1"/>
  <c r="P13" i="23" s="1"/>
  <c r="P14" i="23" s="1"/>
  <c r="P15" i="23" s="1"/>
  <c r="P16" i="23" s="1"/>
  <c r="P17" i="23" s="1"/>
  <c r="P18" i="23" s="1"/>
  <c r="P19" i="23" s="1"/>
  <c r="P20" i="23" s="1"/>
  <c r="P21" i="23" s="1"/>
  <c r="P22" i="23" s="1"/>
  <c r="C30" i="23" s="1"/>
  <c r="AT113" i="16"/>
  <c r="AT114" i="16" s="1"/>
  <c r="AT115" i="16" s="1"/>
  <c r="AT116" i="16" s="1"/>
  <c r="AT117" i="16" s="1"/>
  <c r="AT118" i="16" s="1"/>
  <c r="AT119" i="16" s="1"/>
  <c r="AT120" i="16" s="1"/>
  <c r="AT121" i="16" s="1"/>
  <c r="AT122" i="16" s="1"/>
  <c r="AT123" i="16" s="1"/>
  <c r="AT124" i="16" s="1"/>
  <c r="AT125" i="16" s="1"/>
  <c r="AT126" i="16" s="1"/>
  <c r="AT127" i="16" s="1"/>
  <c r="AT128" i="16" s="1"/>
  <c r="DN113" i="16"/>
  <c r="DN114" i="16" s="1"/>
  <c r="DN115" i="16" s="1"/>
  <c r="DN116" i="16" s="1"/>
  <c r="DN117" i="16" s="1"/>
  <c r="DN118" i="16" s="1"/>
  <c r="DN119" i="16" s="1"/>
  <c r="DN120" i="16" s="1"/>
  <c r="DN121" i="16" s="1"/>
  <c r="DN122" i="16" s="1"/>
  <c r="DN123" i="16" s="1"/>
  <c r="DN124" i="16" s="1"/>
  <c r="DN125" i="16" s="1"/>
  <c r="DN126" i="16" s="1"/>
  <c r="DN127" i="16" s="1"/>
  <c r="DN128" i="16" s="1"/>
  <c r="Y65" i="10"/>
  <c r="AF164" i="14"/>
  <c r="D25" i="12" s="1"/>
  <c r="Y164" i="15"/>
  <c r="Y166" i="15" s="1"/>
  <c r="Y168" i="15" s="1"/>
  <c r="BS113" i="16"/>
  <c r="BS114" i="16" s="1"/>
  <c r="BS115" i="16" s="1"/>
  <c r="BS116" i="16" s="1"/>
  <c r="BS117" i="16" s="1"/>
  <c r="BS118" i="16" s="1"/>
  <c r="BS119" i="16" s="1"/>
  <c r="BS120" i="16" s="1"/>
  <c r="BS121" i="16" s="1"/>
  <c r="BS122" i="16" s="1"/>
  <c r="BS123" i="16" s="1"/>
  <c r="BS124" i="16" s="1"/>
  <c r="BS125" i="16" s="1"/>
  <c r="BS126" i="16" s="1"/>
  <c r="BS127" i="16" s="1"/>
  <c r="BS128" i="16" s="1"/>
  <c r="V64" i="15"/>
  <c r="V65" i="15" s="1"/>
  <c r="V66" i="15" s="1"/>
  <c r="V67" i="15" s="1"/>
  <c r="V68" i="15" s="1"/>
  <c r="V69" i="15" s="1"/>
  <c r="V70" i="15" s="1"/>
  <c r="V71" i="15" s="1"/>
  <c r="V72" i="15" s="1"/>
  <c r="V73" i="15" s="1"/>
  <c r="V74" i="15" s="1"/>
  <c r="V75" i="15" s="1"/>
  <c r="V76" i="15" s="1"/>
  <c r="V77" i="15" s="1"/>
  <c r="V78" i="15" s="1"/>
  <c r="R161" i="15" s="1"/>
  <c r="R164" i="15" s="1"/>
  <c r="V64" i="14"/>
  <c r="V65" i="14" s="1"/>
  <c r="V66" i="14" s="1"/>
  <c r="V67" i="14" s="1"/>
  <c r="V68" i="14" s="1"/>
  <c r="V69" i="14" s="1"/>
  <c r="V70" i="14" s="1"/>
  <c r="V71" i="14" s="1"/>
  <c r="V72" i="14" s="1"/>
  <c r="V73" i="14" s="1"/>
  <c r="V74" i="14" s="1"/>
  <c r="V75" i="14" s="1"/>
  <c r="V76" i="14" s="1"/>
  <c r="V77" i="14" s="1"/>
  <c r="V78" i="14" s="1"/>
  <c r="R161" i="14" s="1"/>
  <c r="R164" i="14" s="1"/>
  <c r="AV64" i="15"/>
  <c r="AV65" i="15" s="1"/>
  <c r="AV66" i="15" s="1"/>
  <c r="AV67" i="15" s="1"/>
  <c r="AV68" i="15" s="1"/>
  <c r="AV69" i="15" s="1"/>
  <c r="AV70" i="15" s="1"/>
  <c r="AV71" i="15" s="1"/>
  <c r="AV72" i="15" s="1"/>
  <c r="AV73" i="15" s="1"/>
  <c r="AV74" i="15" s="1"/>
  <c r="AV75" i="15" s="1"/>
  <c r="AV76" i="15" s="1"/>
  <c r="AV77" i="15" s="1"/>
  <c r="AV78" i="15" s="1"/>
  <c r="S161" i="15" s="1"/>
  <c r="S164" i="15" s="1"/>
  <c r="Z163" i="16"/>
  <c r="Z164" i="16"/>
  <c r="H38" i="12" s="1"/>
  <c r="AC164" i="15"/>
  <c r="W164" i="15"/>
  <c r="W164" i="16"/>
  <c r="F38" i="12" s="1"/>
  <c r="AA164" i="14"/>
  <c r="AA164" i="13"/>
  <c r="AF164" i="13"/>
  <c r="CY64" i="15"/>
  <c r="CY65" i="15" s="1"/>
  <c r="CY66" i="15" s="1"/>
  <c r="CY67" i="15" s="1"/>
  <c r="CY68" i="15" s="1"/>
  <c r="CY69" i="15" s="1"/>
  <c r="CY70" i="15" s="1"/>
  <c r="CY71" i="15" s="1"/>
  <c r="CY72" i="15" s="1"/>
  <c r="CY73" i="15" s="1"/>
  <c r="CY74" i="15" s="1"/>
  <c r="CY75" i="15" s="1"/>
  <c r="CY76" i="15" s="1"/>
  <c r="CY77" i="15" s="1"/>
  <c r="CY78" i="15" s="1"/>
  <c r="Y64" i="15"/>
  <c r="Y65" i="15" s="1"/>
  <c r="Y66" i="15" s="1"/>
  <c r="Y67" i="15" s="1"/>
  <c r="Y68" i="15" s="1"/>
  <c r="Y69" i="15" s="1"/>
  <c r="Y70" i="15" s="1"/>
  <c r="Y71" i="15" s="1"/>
  <c r="Y72" i="15" s="1"/>
  <c r="Y73" i="15" s="1"/>
  <c r="Y74" i="15" s="1"/>
  <c r="Y75" i="15" s="1"/>
  <c r="Y76" i="15" s="1"/>
  <c r="Y77" i="15" s="1"/>
  <c r="Y78" i="15" s="1"/>
  <c r="CY64" i="14"/>
  <c r="CY65" i="14" s="1"/>
  <c r="CY66" i="14" s="1"/>
  <c r="CY67" i="14" s="1"/>
  <c r="CY68" i="14" s="1"/>
  <c r="CY69" i="14" s="1"/>
  <c r="CY70" i="14" s="1"/>
  <c r="CY71" i="14" s="1"/>
  <c r="CY72" i="14" s="1"/>
  <c r="CY73" i="14" s="1"/>
  <c r="CY74" i="14" s="1"/>
  <c r="CY75" i="14" s="1"/>
  <c r="CY76" i="14" s="1"/>
  <c r="CY77" i="14" s="1"/>
  <c r="CY78" i="14" s="1"/>
  <c r="X164" i="14"/>
  <c r="W164" i="14"/>
  <c r="AE164" i="16"/>
  <c r="H39" i="12" s="1"/>
  <c r="AD164" i="16"/>
  <c r="E39" i="12" s="1"/>
  <c r="AB164" i="15"/>
  <c r="Z164" i="13"/>
  <c r="W164" i="13"/>
  <c r="AC164" i="14"/>
  <c r="AA164" i="15"/>
  <c r="AC164" i="13"/>
  <c r="AA164" i="16"/>
  <c r="D38" i="12" s="1"/>
  <c r="AF164" i="16"/>
  <c r="D39" i="12" s="1"/>
  <c r="AD164" i="15"/>
  <c r="Y164" i="13"/>
  <c r="Y163" i="13"/>
  <c r="Y165" i="13" s="1"/>
  <c r="Y167" i="13" s="1"/>
  <c r="CV64" i="15"/>
  <c r="CV65" i="15" s="1"/>
  <c r="CV66" i="15" s="1"/>
  <c r="CV67" i="15" s="1"/>
  <c r="CV68" i="15" s="1"/>
  <c r="CV69" i="15" s="1"/>
  <c r="CV70" i="15" s="1"/>
  <c r="CV71" i="15" s="1"/>
  <c r="CV72" i="15" s="1"/>
  <c r="CV73" i="15" s="1"/>
  <c r="CV74" i="15" s="1"/>
  <c r="CV75" i="15" s="1"/>
  <c r="CV76" i="15" s="1"/>
  <c r="CV77" i="15" s="1"/>
  <c r="CV78" i="15" s="1"/>
  <c r="U161" i="15" s="1"/>
  <c r="U164" i="15" s="1"/>
  <c r="AY64" i="15"/>
  <c r="AY65" i="15" s="1"/>
  <c r="AY66" i="15" s="1"/>
  <c r="AY67" i="15" s="1"/>
  <c r="AY68" i="15" s="1"/>
  <c r="AY69" i="15" s="1"/>
  <c r="AY70" i="15" s="1"/>
  <c r="AY71" i="15" s="1"/>
  <c r="AY72" i="15" s="1"/>
  <c r="AY73" i="15" s="1"/>
  <c r="AY74" i="15" s="1"/>
  <c r="AY75" i="15" s="1"/>
  <c r="AY76" i="15" s="1"/>
  <c r="AY77" i="15" s="1"/>
  <c r="AY78" i="15" s="1"/>
  <c r="Y164" i="14"/>
  <c r="AC164" i="16"/>
  <c r="G39" i="12" s="1"/>
  <c r="AB164" i="16"/>
  <c r="F39" i="12" s="1"/>
  <c r="X164" i="16"/>
  <c r="G38" i="12" s="1"/>
  <c r="Y164" i="16"/>
  <c r="E38" i="12" s="1"/>
  <c r="AE164" i="13"/>
  <c r="AE164" i="14"/>
  <c r="AB164" i="13"/>
  <c r="DV64" i="16"/>
  <c r="DV65" i="16" s="1"/>
  <c r="DV66" i="16" s="1"/>
  <c r="DV67" i="16" s="1"/>
  <c r="DV68" i="16" s="1"/>
  <c r="DV69" i="16" s="1"/>
  <c r="DV70" i="16" s="1"/>
  <c r="DV71" i="16" s="1"/>
  <c r="DV72" i="16" s="1"/>
  <c r="DV73" i="16" s="1"/>
  <c r="DV74" i="16" s="1"/>
  <c r="DV75" i="16" s="1"/>
  <c r="DV76" i="16" s="1"/>
  <c r="DV77" i="16" s="1"/>
  <c r="DV78" i="16" s="1"/>
  <c r="V161" i="16" s="1"/>
  <c r="V164" i="16" s="1"/>
  <c r="D43" i="12" s="1"/>
  <c r="AV64" i="14"/>
  <c r="AV65" i="14" s="1"/>
  <c r="AV66" i="14" s="1"/>
  <c r="AV67" i="14" s="1"/>
  <c r="AV68" i="14" s="1"/>
  <c r="AV69" i="14" s="1"/>
  <c r="AV70" i="14" s="1"/>
  <c r="AV71" i="14" s="1"/>
  <c r="AV72" i="14" s="1"/>
  <c r="AV73" i="14" s="1"/>
  <c r="AV74" i="14" s="1"/>
  <c r="AV75" i="14" s="1"/>
  <c r="AV76" i="14" s="1"/>
  <c r="AV77" i="14" s="1"/>
  <c r="AV78" i="14" s="1"/>
  <c r="S161" i="14" s="1"/>
  <c r="S164" i="14" s="1"/>
  <c r="BY65" i="14"/>
  <c r="BY66" i="14" s="1"/>
  <c r="BY67" i="14" s="1"/>
  <c r="BY68" i="14" s="1"/>
  <c r="BY69" i="14" s="1"/>
  <c r="BY70" i="14" s="1"/>
  <c r="BY71" i="14" s="1"/>
  <c r="BY72" i="14" s="1"/>
  <c r="BY73" i="14" s="1"/>
  <c r="BY74" i="14" s="1"/>
  <c r="BY75" i="14" s="1"/>
  <c r="BY76" i="14" s="1"/>
  <c r="BY77" i="14" s="1"/>
  <c r="BY78" i="14" s="1"/>
  <c r="AG65" i="10"/>
  <c r="AG66" i="10" s="1"/>
  <c r="AG67" i="10" s="1"/>
  <c r="AG68" i="10" s="1"/>
  <c r="AG69" i="10" s="1"/>
  <c r="AG70" i="10" s="1"/>
  <c r="AG71" i="10" s="1"/>
  <c r="AG72" i="10" s="1"/>
  <c r="AG73" i="10" s="1"/>
  <c r="AG74" i="10" s="1"/>
  <c r="AG75" i="10" s="1"/>
  <c r="AG76" i="10" s="1"/>
  <c r="AG77" i="10" s="1"/>
  <c r="AG78" i="10" s="1"/>
  <c r="AG79" i="10" s="1"/>
  <c r="AG80" i="10" s="1"/>
  <c r="X65" i="10"/>
  <c r="CV64" i="16"/>
  <c r="CV65" i="16" s="1"/>
  <c r="CV66" i="16" s="1"/>
  <c r="CV67" i="16" s="1"/>
  <c r="CV68" i="16" s="1"/>
  <c r="CV69" i="16" s="1"/>
  <c r="CV70" i="16" s="1"/>
  <c r="CV71" i="16" s="1"/>
  <c r="CV72" i="16" s="1"/>
  <c r="CV73" i="16" s="1"/>
  <c r="CV74" i="16" s="1"/>
  <c r="CV75" i="16" s="1"/>
  <c r="CV76" i="16" s="1"/>
  <c r="CV77" i="16" s="1"/>
  <c r="CV78" i="16" s="1"/>
  <c r="U161" i="16" s="1"/>
  <c r="U164" i="16" s="1"/>
  <c r="H43" i="12" s="1"/>
  <c r="CV64" i="14"/>
  <c r="CV65" i="14" s="1"/>
  <c r="CV66" i="14" s="1"/>
  <c r="CV67" i="14" s="1"/>
  <c r="CV68" i="14" s="1"/>
  <c r="CV69" i="14" s="1"/>
  <c r="CV70" i="14" s="1"/>
  <c r="CV71" i="14" s="1"/>
  <c r="CV72" i="14" s="1"/>
  <c r="CV73" i="14" s="1"/>
  <c r="CV74" i="14" s="1"/>
  <c r="CV75" i="14" s="1"/>
  <c r="CV76" i="14" s="1"/>
  <c r="CV77" i="14" s="1"/>
  <c r="CV78" i="14" s="1"/>
  <c r="U161" i="14" s="1"/>
  <c r="U164" i="14" s="1"/>
  <c r="DY64" i="16"/>
  <c r="DY65" i="16" s="1"/>
  <c r="DY66" i="16" s="1"/>
  <c r="DY67" i="16" s="1"/>
  <c r="DY68" i="16" s="1"/>
  <c r="DY69" i="16" s="1"/>
  <c r="DY70" i="16" s="1"/>
  <c r="DY71" i="16" s="1"/>
  <c r="DY72" i="16" s="1"/>
  <c r="DY73" i="16" s="1"/>
  <c r="DY74" i="16" s="1"/>
  <c r="DY75" i="16" s="1"/>
  <c r="DY76" i="16" s="1"/>
  <c r="DY77" i="16" s="1"/>
  <c r="DY78" i="16" s="1"/>
  <c r="AT88" i="16"/>
  <c r="AT89" i="16" s="1"/>
  <c r="AT90" i="16" s="1"/>
  <c r="AT91" i="16" s="1"/>
  <c r="AT92" i="16" s="1"/>
  <c r="AT93" i="16" s="1"/>
  <c r="AT94" i="16" s="1"/>
  <c r="AT95" i="16" s="1"/>
  <c r="AT96" i="16" s="1"/>
  <c r="AT97" i="16" s="1"/>
  <c r="AT98" i="16" s="1"/>
  <c r="AT99" i="16" s="1"/>
  <c r="AT100" i="16" s="1"/>
  <c r="AT101" i="16" s="1"/>
  <c r="AT102" i="16" s="1"/>
  <c r="AT103" i="16" s="1"/>
  <c r="BV64" i="13"/>
  <c r="BV65" i="13" s="1"/>
  <c r="BV66" i="13" s="1"/>
  <c r="BV67" i="13" s="1"/>
  <c r="BV68" i="13" s="1"/>
  <c r="BV69" i="13" s="1"/>
  <c r="BV70" i="13" s="1"/>
  <c r="BV71" i="13" s="1"/>
  <c r="BV72" i="13" s="1"/>
  <c r="BV73" i="13" s="1"/>
  <c r="BV74" i="13" s="1"/>
  <c r="BV75" i="13" s="1"/>
  <c r="BV76" i="13" s="1"/>
  <c r="BV77" i="13" s="1"/>
  <c r="BV78" i="13" s="1"/>
  <c r="T161" i="13" s="1"/>
  <c r="T164" i="13" s="1"/>
  <c r="BY64" i="16"/>
  <c r="BY65" i="16" s="1"/>
  <c r="BY66" i="16" s="1"/>
  <c r="BY67" i="16" s="1"/>
  <c r="BY68" i="16" s="1"/>
  <c r="BY69" i="16" s="1"/>
  <c r="BY70" i="16" s="1"/>
  <c r="BY71" i="16" s="1"/>
  <c r="BY72" i="16" s="1"/>
  <c r="BY73" i="16" s="1"/>
  <c r="BY74" i="16" s="1"/>
  <c r="BY75" i="16" s="1"/>
  <c r="BY76" i="16" s="1"/>
  <c r="BY77" i="16" s="1"/>
  <c r="BY78" i="16" s="1"/>
  <c r="CO88" i="15"/>
  <c r="CO89" i="15" s="1"/>
  <c r="CO90" i="15" s="1"/>
  <c r="CO91" i="15" s="1"/>
  <c r="CO92" i="15" s="1"/>
  <c r="CO93" i="15" s="1"/>
  <c r="CO94" i="15" s="1"/>
  <c r="CO95" i="15" s="1"/>
  <c r="CO96" i="15" s="1"/>
  <c r="CO97" i="15" s="1"/>
  <c r="CO98" i="15" s="1"/>
  <c r="CO99" i="15" s="1"/>
  <c r="CO100" i="15" s="1"/>
  <c r="CO101" i="15" s="1"/>
  <c r="CO102" i="15" s="1"/>
  <c r="CO103" i="15" s="1"/>
  <c r="Z162" i="15" s="1"/>
  <c r="CF88" i="15"/>
  <c r="CG88" i="15"/>
  <c r="CP88" i="16"/>
  <c r="CP89" i="16" s="1"/>
  <c r="CP90" i="16" s="1"/>
  <c r="CP91" i="16" s="1"/>
  <c r="CP92" i="16" s="1"/>
  <c r="CP93" i="16" s="1"/>
  <c r="CP94" i="16" s="1"/>
  <c r="CP95" i="16" s="1"/>
  <c r="CP96" i="16" s="1"/>
  <c r="CP97" i="16" s="1"/>
  <c r="CP98" i="16" s="1"/>
  <c r="CP99" i="16" s="1"/>
  <c r="CP100" i="16" s="1"/>
  <c r="CP101" i="16" s="1"/>
  <c r="CP102" i="16" s="1"/>
  <c r="CP103" i="16" s="1"/>
  <c r="BV64" i="15"/>
  <c r="BV65" i="15" s="1"/>
  <c r="BV66" i="15" s="1"/>
  <c r="BV67" i="15" s="1"/>
  <c r="BV68" i="15" s="1"/>
  <c r="BV69" i="15" s="1"/>
  <c r="BV70" i="15" s="1"/>
  <c r="BV71" i="15" s="1"/>
  <c r="BV72" i="15" s="1"/>
  <c r="BV73" i="15" s="1"/>
  <c r="BV74" i="15" s="1"/>
  <c r="BV75" i="15" s="1"/>
  <c r="BV76" i="15" s="1"/>
  <c r="BV77" i="15" s="1"/>
  <c r="BV78" i="15" s="1"/>
  <c r="T161" i="15" s="1"/>
  <c r="T164" i="15" s="1"/>
  <c r="CY64" i="16"/>
  <c r="CY65" i="16" s="1"/>
  <c r="CY66" i="16" s="1"/>
  <c r="CY67" i="16" s="1"/>
  <c r="CY68" i="16" s="1"/>
  <c r="CY69" i="16" s="1"/>
  <c r="CY70" i="16" s="1"/>
  <c r="CY71" i="16" s="1"/>
  <c r="CY72" i="16" s="1"/>
  <c r="CY73" i="16" s="1"/>
  <c r="CY74" i="16" s="1"/>
  <c r="CY75" i="16" s="1"/>
  <c r="CY76" i="16" s="1"/>
  <c r="CY77" i="16" s="1"/>
  <c r="CY78" i="16" s="1"/>
  <c r="BV64" i="14"/>
  <c r="BV65" i="14" s="1"/>
  <c r="BV66" i="14" s="1"/>
  <c r="BV67" i="14" s="1"/>
  <c r="BV68" i="14" s="1"/>
  <c r="BV69" i="14" s="1"/>
  <c r="BV70" i="14" s="1"/>
  <c r="BV71" i="14" s="1"/>
  <c r="BV72" i="14" s="1"/>
  <c r="BV73" i="14" s="1"/>
  <c r="BV74" i="14" s="1"/>
  <c r="BV75" i="14" s="1"/>
  <c r="BV76" i="14" s="1"/>
  <c r="BV77" i="14" s="1"/>
  <c r="BV78" i="14" s="1"/>
  <c r="T161" i="14" s="1"/>
  <c r="T164" i="14" s="1"/>
  <c r="AJ88" i="15"/>
  <c r="AK88" i="15"/>
  <c r="AY64" i="16"/>
  <c r="AY65" i="16" s="1"/>
  <c r="AY66" i="16" s="1"/>
  <c r="AY67" i="16" s="1"/>
  <c r="AY68" i="16" s="1"/>
  <c r="AY69" i="16" s="1"/>
  <c r="AY70" i="16" s="1"/>
  <c r="AY71" i="16" s="1"/>
  <c r="AY72" i="16" s="1"/>
  <c r="AY73" i="16" s="1"/>
  <c r="AY74" i="16" s="1"/>
  <c r="AY75" i="16" s="1"/>
  <c r="AY76" i="16" s="1"/>
  <c r="AY77" i="16" s="1"/>
  <c r="AY78" i="16" s="1"/>
  <c r="DY64" i="14"/>
  <c r="DY65" i="14" s="1"/>
  <c r="DY66" i="14" s="1"/>
  <c r="DY67" i="14" s="1"/>
  <c r="DY68" i="14" s="1"/>
  <c r="DY69" i="14" s="1"/>
  <c r="DY70" i="14" s="1"/>
  <c r="DY71" i="14" s="1"/>
  <c r="DY72" i="14" s="1"/>
  <c r="DY73" i="14" s="1"/>
  <c r="DY74" i="14" s="1"/>
  <c r="DY75" i="14" s="1"/>
  <c r="DY76" i="14" s="1"/>
  <c r="DY77" i="14" s="1"/>
  <c r="DY78" i="14" s="1"/>
  <c r="DY64" i="15"/>
  <c r="DY65" i="15" s="1"/>
  <c r="DY66" i="15" s="1"/>
  <c r="DY67" i="15" s="1"/>
  <c r="DY68" i="15" s="1"/>
  <c r="DY69" i="15" s="1"/>
  <c r="DY70" i="15" s="1"/>
  <c r="DY71" i="15" s="1"/>
  <c r="DY72" i="15" s="1"/>
  <c r="DY73" i="15" s="1"/>
  <c r="DY74" i="15" s="1"/>
  <c r="DY75" i="15" s="1"/>
  <c r="DY76" i="15" s="1"/>
  <c r="DY77" i="15" s="1"/>
  <c r="DY78" i="15" s="1"/>
  <c r="AY64" i="14"/>
  <c r="AY65" i="14" s="1"/>
  <c r="AY66" i="14" s="1"/>
  <c r="AY67" i="14" s="1"/>
  <c r="AY68" i="14" s="1"/>
  <c r="AY69" i="14" s="1"/>
  <c r="AY70" i="14" s="1"/>
  <c r="AY71" i="14" s="1"/>
  <c r="AY72" i="14" s="1"/>
  <c r="AY73" i="14" s="1"/>
  <c r="AY74" i="14" s="1"/>
  <c r="AY75" i="14" s="1"/>
  <c r="AY76" i="14" s="1"/>
  <c r="AY77" i="14" s="1"/>
  <c r="AY78" i="14" s="1"/>
  <c r="V64" i="16"/>
  <c r="V65" i="16" s="1"/>
  <c r="V66" i="16" s="1"/>
  <c r="V67" i="16" s="1"/>
  <c r="V68" i="16" s="1"/>
  <c r="V69" i="16" s="1"/>
  <c r="V70" i="16" s="1"/>
  <c r="V71" i="16" s="1"/>
  <c r="V72" i="16" s="1"/>
  <c r="V73" i="16" s="1"/>
  <c r="V74" i="16" s="1"/>
  <c r="V75" i="16" s="1"/>
  <c r="V76" i="16" s="1"/>
  <c r="V77" i="16" s="1"/>
  <c r="V78" i="16" s="1"/>
  <c r="R161" i="16" s="1"/>
  <c r="R164" i="16" s="1"/>
  <c r="F43" i="12" s="1"/>
  <c r="BP13" i="16"/>
  <c r="BP14" i="16" s="1"/>
  <c r="BP15" i="16" s="1"/>
  <c r="BP16" i="16" s="1"/>
  <c r="BP17" i="16" s="1"/>
  <c r="BP18" i="16" s="1"/>
  <c r="BP19" i="16" s="1"/>
  <c r="BP20" i="16" s="1"/>
  <c r="BP21" i="16" s="1"/>
  <c r="BP22" i="16" s="1"/>
  <c r="BP23" i="16" s="1"/>
  <c r="BP24" i="16" s="1"/>
  <c r="BP25" i="16" s="1"/>
  <c r="BP26" i="16" s="1"/>
  <c r="BP27" i="16" s="1"/>
  <c r="J161" i="16" s="1"/>
  <c r="BS88" i="16"/>
  <c r="BS89" i="16" s="1"/>
  <c r="BS90" i="16" s="1"/>
  <c r="BS91" i="16" s="1"/>
  <c r="BS92" i="16" s="1"/>
  <c r="BS93" i="16" s="1"/>
  <c r="BS94" i="16" s="1"/>
  <c r="BS95" i="16" s="1"/>
  <c r="BS96" i="16" s="1"/>
  <c r="BS97" i="16" s="1"/>
  <c r="BS98" i="16" s="1"/>
  <c r="BS99" i="16" s="1"/>
  <c r="BS100" i="16" s="1"/>
  <c r="BS101" i="16" s="1"/>
  <c r="BS102" i="16" s="1"/>
  <c r="BS103" i="16" s="1"/>
  <c r="BV64" i="16"/>
  <c r="BV65" i="16" s="1"/>
  <c r="BV66" i="16" s="1"/>
  <c r="BV67" i="16" s="1"/>
  <c r="BV68" i="16" s="1"/>
  <c r="BV69" i="16" s="1"/>
  <c r="BV70" i="16" s="1"/>
  <c r="BV71" i="16" s="1"/>
  <c r="BV72" i="16" s="1"/>
  <c r="BV73" i="16" s="1"/>
  <c r="BV74" i="16" s="1"/>
  <c r="BV75" i="16" s="1"/>
  <c r="BV76" i="16" s="1"/>
  <c r="BV77" i="16" s="1"/>
  <c r="BV78" i="16" s="1"/>
  <c r="T161" i="16" s="1"/>
  <c r="T164" i="16" s="1"/>
  <c r="E43" i="12" s="1"/>
  <c r="Y64" i="16"/>
  <c r="Y65" i="16" s="1"/>
  <c r="Y66" i="16" s="1"/>
  <c r="Y67" i="16" s="1"/>
  <c r="Y68" i="16" s="1"/>
  <c r="Y69" i="16" s="1"/>
  <c r="Y70" i="16" s="1"/>
  <c r="Y71" i="16" s="1"/>
  <c r="Y72" i="16" s="1"/>
  <c r="Y73" i="16" s="1"/>
  <c r="Y74" i="16" s="1"/>
  <c r="Y75" i="16" s="1"/>
  <c r="Y76" i="16" s="1"/>
  <c r="Y77" i="16" s="1"/>
  <c r="Y78" i="16" s="1"/>
  <c r="DN88" i="16"/>
  <c r="DN89" i="16" s="1"/>
  <c r="DN90" i="16" s="1"/>
  <c r="DN91" i="16" s="1"/>
  <c r="DN92" i="16" s="1"/>
  <c r="DN93" i="16" s="1"/>
  <c r="DN94" i="16" s="1"/>
  <c r="DN95" i="16" s="1"/>
  <c r="DN96" i="16" s="1"/>
  <c r="DN97" i="16" s="1"/>
  <c r="DN98" i="16" s="1"/>
  <c r="DN99" i="16" s="1"/>
  <c r="DN100" i="16" s="1"/>
  <c r="DN101" i="16" s="1"/>
  <c r="DN102" i="16" s="1"/>
  <c r="DN103" i="16" s="1"/>
  <c r="Y64" i="14"/>
  <c r="Y65" i="14" s="1"/>
  <c r="Y66" i="14" s="1"/>
  <c r="Y67" i="14" s="1"/>
  <c r="Y68" i="14" s="1"/>
  <c r="Y69" i="14" s="1"/>
  <c r="Y70" i="14" s="1"/>
  <c r="Y71" i="14" s="1"/>
  <c r="Y72" i="14" s="1"/>
  <c r="Y73" i="14" s="1"/>
  <c r="Y74" i="14" s="1"/>
  <c r="Y75" i="14" s="1"/>
  <c r="Y76" i="14" s="1"/>
  <c r="Y77" i="14" s="1"/>
  <c r="Y78" i="14" s="1"/>
  <c r="BR88" i="16"/>
  <c r="BR89" i="16" s="1"/>
  <c r="BR90" i="16" s="1"/>
  <c r="BR91" i="16" s="1"/>
  <c r="BR92" i="16" s="1"/>
  <c r="BR93" i="16" s="1"/>
  <c r="BR94" i="16" s="1"/>
  <c r="BR95" i="16" s="1"/>
  <c r="BR96" i="16" s="1"/>
  <c r="BR97" i="16" s="1"/>
  <c r="BR98" i="16" s="1"/>
  <c r="BR99" i="16" s="1"/>
  <c r="BR100" i="16" s="1"/>
  <c r="BR101" i="16" s="1"/>
  <c r="BR102" i="16" s="1"/>
  <c r="BR103" i="16" s="1"/>
  <c r="AS88" i="15"/>
  <c r="AS89" i="15" s="1"/>
  <c r="AS90" i="15" s="1"/>
  <c r="AS91" i="15" s="1"/>
  <c r="AS92" i="15" s="1"/>
  <c r="AS93" i="15" s="1"/>
  <c r="AS94" i="15" s="1"/>
  <c r="AS95" i="15" s="1"/>
  <c r="AS96" i="15" s="1"/>
  <c r="AS97" i="15" s="1"/>
  <c r="AS98" i="15" s="1"/>
  <c r="AS99" i="15" s="1"/>
  <c r="AS100" i="15" s="1"/>
  <c r="AS101" i="15" s="1"/>
  <c r="AS102" i="15" s="1"/>
  <c r="AS103" i="15" s="1"/>
  <c r="X162" i="15" s="1"/>
  <c r="AV64" i="16"/>
  <c r="AV65" i="16" s="1"/>
  <c r="AV66" i="16" s="1"/>
  <c r="AV67" i="16" s="1"/>
  <c r="AV68" i="16" s="1"/>
  <c r="AV69" i="16" s="1"/>
  <c r="AV70" i="16" s="1"/>
  <c r="AV71" i="16" s="1"/>
  <c r="AV72" i="16" s="1"/>
  <c r="AV73" i="16" s="1"/>
  <c r="AV74" i="16" s="1"/>
  <c r="AV75" i="16" s="1"/>
  <c r="AV76" i="16" s="1"/>
  <c r="AV77" i="16" s="1"/>
  <c r="AV78" i="16" s="1"/>
  <c r="S161" i="16" s="1"/>
  <c r="S164" i="16" s="1"/>
  <c r="G43" i="12" s="1"/>
  <c r="DV64" i="14"/>
  <c r="DV65" i="14" s="1"/>
  <c r="DV66" i="14" s="1"/>
  <c r="DV67" i="14" s="1"/>
  <c r="DV68" i="14" s="1"/>
  <c r="DV69" i="14" s="1"/>
  <c r="DV70" i="14" s="1"/>
  <c r="DV71" i="14" s="1"/>
  <c r="DV72" i="14" s="1"/>
  <c r="DV73" i="14" s="1"/>
  <c r="DV74" i="14" s="1"/>
  <c r="DV75" i="14" s="1"/>
  <c r="DV76" i="14" s="1"/>
  <c r="DV77" i="14" s="1"/>
  <c r="DV78" i="14" s="1"/>
  <c r="V161" i="14" s="1"/>
  <c r="V164" i="14" s="1"/>
  <c r="DV64" i="15"/>
  <c r="DV65" i="15" s="1"/>
  <c r="DV66" i="15" s="1"/>
  <c r="DV67" i="15" s="1"/>
  <c r="DV68" i="15" s="1"/>
  <c r="DV69" i="15" s="1"/>
  <c r="DV70" i="15" s="1"/>
  <c r="DV71" i="15" s="1"/>
  <c r="DV72" i="15" s="1"/>
  <c r="DV73" i="15" s="1"/>
  <c r="DV74" i="15" s="1"/>
  <c r="DV75" i="15" s="1"/>
  <c r="DV76" i="15" s="1"/>
  <c r="DV77" i="15" s="1"/>
  <c r="DV78" i="15" s="1"/>
  <c r="V161" i="15" s="1"/>
  <c r="V164" i="15" s="1"/>
  <c r="AV64" i="13"/>
  <c r="CN13" i="16"/>
  <c r="CN14" i="16" s="1"/>
  <c r="CN15" i="16" s="1"/>
  <c r="CN16" i="16" s="1"/>
  <c r="CN17" i="16" s="1"/>
  <c r="CN18" i="16" s="1"/>
  <c r="CN19" i="16" s="1"/>
  <c r="CN20" i="16" s="1"/>
  <c r="CN21" i="16" s="1"/>
  <c r="CN22" i="16" s="1"/>
  <c r="CN23" i="16" s="1"/>
  <c r="CN24" i="16" s="1"/>
  <c r="CN25" i="16" s="1"/>
  <c r="CN26" i="16" s="1"/>
  <c r="CN27" i="16" s="1"/>
  <c r="K161" i="16" s="1"/>
  <c r="AY64" i="13"/>
  <c r="AY65" i="13" s="1"/>
  <c r="AY66" i="13" s="1"/>
  <c r="AY67" i="13" s="1"/>
  <c r="AY68" i="13" s="1"/>
  <c r="AY69" i="13" s="1"/>
  <c r="AY70" i="13" s="1"/>
  <c r="AY71" i="13" s="1"/>
  <c r="AY72" i="13" s="1"/>
  <c r="AY73" i="13" s="1"/>
  <c r="AY74" i="13" s="1"/>
  <c r="AY75" i="13" s="1"/>
  <c r="AY76" i="13" s="1"/>
  <c r="AY77" i="13" s="1"/>
  <c r="AY78" i="13" s="1"/>
  <c r="DV64" i="13"/>
  <c r="DV65" i="13" s="1"/>
  <c r="DV66" i="13" s="1"/>
  <c r="DV67" i="13" s="1"/>
  <c r="DV68" i="13" s="1"/>
  <c r="DV69" i="13" s="1"/>
  <c r="DV70" i="13" s="1"/>
  <c r="DV71" i="13" s="1"/>
  <c r="DV72" i="13" s="1"/>
  <c r="DV73" i="13" s="1"/>
  <c r="DV74" i="13" s="1"/>
  <c r="DV75" i="13" s="1"/>
  <c r="DV76" i="13" s="1"/>
  <c r="DV77" i="13" s="1"/>
  <c r="DV78" i="13" s="1"/>
  <c r="V161" i="13" s="1"/>
  <c r="V164" i="13" s="1"/>
  <c r="AV65" i="13"/>
  <c r="AV66" i="13" s="1"/>
  <c r="AV67" i="13" s="1"/>
  <c r="AV68" i="13" s="1"/>
  <c r="AV69" i="13" s="1"/>
  <c r="AV70" i="13" s="1"/>
  <c r="AV71" i="13" s="1"/>
  <c r="AV72" i="13" s="1"/>
  <c r="AV73" i="13" s="1"/>
  <c r="AV74" i="13" s="1"/>
  <c r="AV75" i="13" s="1"/>
  <c r="AV76" i="13" s="1"/>
  <c r="AV77" i="13" s="1"/>
  <c r="AV78" i="13" s="1"/>
  <c r="S161" i="13" s="1"/>
  <c r="S164" i="13" s="1"/>
  <c r="DY64" i="13"/>
  <c r="DY65" i="13" s="1"/>
  <c r="DY66" i="13" s="1"/>
  <c r="DY67" i="13" s="1"/>
  <c r="DY68" i="13" s="1"/>
  <c r="DY69" i="13" s="1"/>
  <c r="DY70" i="13" s="1"/>
  <c r="DY71" i="13" s="1"/>
  <c r="DY72" i="13" s="1"/>
  <c r="DY73" i="13" s="1"/>
  <c r="DY74" i="13" s="1"/>
  <c r="DY75" i="13" s="1"/>
  <c r="DY76" i="13" s="1"/>
  <c r="DY77" i="13" s="1"/>
  <c r="DY78" i="13" s="1"/>
  <c r="Y64" i="13"/>
  <c r="Y65" i="13" s="1"/>
  <c r="Y66" i="13" s="1"/>
  <c r="Y67" i="13" s="1"/>
  <c r="Y68" i="13" s="1"/>
  <c r="Y69" i="13" s="1"/>
  <c r="Y70" i="13" s="1"/>
  <c r="Y71" i="13" s="1"/>
  <c r="Y72" i="13" s="1"/>
  <c r="Y73" i="13" s="1"/>
  <c r="Y74" i="13" s="1"/>
  <c r="Y75" i="13" s="1"/>
  <c r="Y76" i="13" s="1"/>
  <c r="Y77" i="13" s="1"/>
  <c r="Y78" i="13" s="1"/>
  <c r="V64" i="13"/>
  <c r="V65" i="13" s="1"/>
  <c r="V66" i="13" s="1"/>
  <c r="V67" i="13" s="1"/>
  <c r="V68" i="13" s="1"/>
  <c r="V69" i="13" s="1"/>
  <c r="V70" i="13" s="1"/>
  <c r="V71" i="13" s="1"/>
  <c r="V72" i="13" s="1"/>
  <c r="V73" i="13" s="1"/>
  <c r="V74" i="13" s="1"/>
  <c r="V75" i="13" s="1"/>
  <c r="V76" i="13" s="1"/>
  <c r="V77" i="13" s="1"/>
  <c r="V78" i="13" s="1"/>
  <c r="CY64" i="13"/>
  <c r="CY65" i="13" s="1"/>
  <c r="CY66" i="13" s="1"/>
  <c r="CY67" i="13" s="1"/>
  <c r="CY68" i="13" s="1"/>
  <c r="CY69" i="13" s="1"/>
  <c r="CY70" i="13" s="1"/>
  <c r="CY71" i="13" s="1"/>
  <c r="CY72" i="13" s="1"/>
  <c r="CY73" i="13" s="1"/>
  <c r="CY74" i="13" s="1"/>
  <c r="CY75" i="13" s="1"/>
  <c r="CY76" i="13" s="1"/>
  <c r="CY77" i="13" s="1"/>
  <c r="CY78" i="13" s="1"/>
  <c r="CV64" i="13"/>
  <c r="CV65" i="13" s="1"/>
  <c r="CV66" i="13" s="1"/>
  <c r="CV67" i="13" s="1"/>
  <c r="CV68" i="13" s="1"/>
  <c r="CV69" i="13" s="1"/>
  <c r="CV70" i="13" s="1"/>
  <c r="CV71" i="13" s="1"/>
  <c r="CV72" i="13" s="1"/>
  <c r="CV73" i="13" s="1"/>
  <c r="CV74" i="13" s="1"/>
  <c r="CV75" i="13" s="1"/>
  <c r="CV76" i="13" s="1"/>
  <c r="CV77" i="13" s="1"/>
  <c r="CV78" i="13" s="1"/>
  <c r="U161" i="13" s="1"/>
  <c r="U164" i="13" s="1"/>
  <c r="CN13" i="15"/>
  <c r="CN14" i="15" s="1"/>
  <c r="CN15" i="15" s="1"/>
  <c r="CN16" i="15" s="1"/>
  <c r="CN17" i="15" s="1"/>
  <c r="CN18" i="15" s="1"/>
  <c r="CN19" i="15" s="1"/>
  <c r="CN20" i="15" s="1"/>
  <c r="CN21" i="15" s="1"/>
  <c r="CN22" i="15" s="1"/>
  <c r="CN23" i="15" s="1"/>
  <c r="CN24" i="15" s="1"/>
  <c r="CN25" i="15" s="1"/>
  <c r="CN26" i="15" s="1"/>
  <c r="CN27" i="15" s="1"/>
  <c r="K161" i="15" s="1"/>
  <c r="AH13" i="10"/>
  <c r="D61" i="22"/>
  <c r="AH39" i="10"/>
  <c r="E61" i="22"/>
  <c r="AI13" i="10"/>
  <c r="J61" i="22"/>
  <c r="AI40" i="10"/>
  <c r="K81" i="22"/>
  <c r="CG12" i="15"/>
  <c r="DE12" i="15"/>
  <c r="BI12" i="13"/>
  <c r="R29" i="8"/>
  <c r="R27" i="8" s="1"/>
  <c r="Q29" i="8"/>
  <c r="Q27" i="8" s="1"/>
  <c r="Q26" i="8" s="1"/>
  <c r="AR13" i="15"/>
  <c r="AR14" i="15" s="1"/>
  <c r="AR15" i="15" s="1"/>
  <c r="AR16" i="15" s="1"/>
  <c r="AR17" i="15" s="1"/>
  <c r="AR18" i="15" s="1"/>
  <c r="AR19" i="15" s="1"/>
  <c r="AR20" i="15" s="1"/>
  <c r="AR21" i="15" s="1"/>
  <c r="AR22" i="15" s="1"/>
  <c r="AR23" i="15" s="1"/>
  <c r="AR24" i="15" s="1"/>
  <c r="AR25" i="15" s="1"/>
  <c r="AR26" i="15" s="1"/>
  <c r="AR27" i="15" s="1"/>
  <c r="I161" i="15" s="1"/>
  <c r="CN13" i="14"/>
  <c r="CN14" i="14" s="1"/>
  <c r="CN15" i="14" s="1"/>
  <c r="CN16" i="14" s="1"/>
  <c r="CN17" i="14" s="1"/>
  <c r="CN18" i="14" s="1"/>
  <c r="CN19" i="14" s="1"/>
  <c r="CN20" i="14" s="1"/>
  <c r="CN21" i="14" s="1"/>
  <c r="CN22" i="14" s="1"/>
  <c r="CN23" i="14" s="1"/>
  <c r="CN24" i="14" s="1"/>
  <c r="CN25" i="14" s="1"/>
  <c r="CN26" i="14" s="1"/>
  <c r="CN27" i="14" s="1"/>
  <c r="K161" i="14" s="1"/>
  <c r="BP13" i="14"/>
  <c r="BP14" i="14" s="1"/>
  <c r="BP15" i="14" s="1"/>
  <c r="BP16" i="14" s="1"/>
  <c r="BP17" i="14" s="1"/>
  <c r="BP18" i="14" s="1"/>
  <c r="BP19" i="14" s="1"/>
  <c r="BP20" i="14" s="1"/>
  <c r="BP21" i="14" s="1"/>
  <c r="BP22" i="14" s="1"/>
  <c r="BP23" i="14" s="1"/>
  <c r="BP24" i="14" s="1"/>
  <c r="BP25" i="14" s="1"/>
  <c r="BP26" i="14" s="1"/>
  <c r="BP27" i="14" s="1"/>
  <c r="J161" i="14" s="1"/>
  <c r="T13" i="15"/>
  <c r="T14" i="15" s="1"/>
  <c r="T15" i="15" s="1"/>
  <c r="T16" i="15" s="1"/>
  <c r="T17" i="15" s="1"/>
  <c r="T18" i="15" s="1"/>
  <c r="T19" i="15" s="1"/>
  <c r="T20" i="15" s="1"/>
  <c r="T21" i="15" s="1"/>
  <c r="T22" i="15" s="1"/>
  <c r="T23" i="15" s="1"/>
  <c r="T24" i="15" s="1"/>
  <c r="T25" i="15" s="1"/>
  <c r="T26" i="15" s="1"/>
  <c r="T27" i="15" s="1"/>
  <c r="H161" i="15" s="1"/>
  <c r="DL13" i="15"/>
  <c r="DL14" i="15" s="1"/>
  <c r="DL15" i="15" s="1"/>
  <c r="DL16" i="15" s="1"/>
  <c r="DL17" i="15" s="1"/>
  <c r="DL18" i="15" s="1"/>
  <c r="DL19" i="15" s="1"/>
  <c r="DL20" i="15" s="1"/>
  <c r="DL21" i="15" s="1"/>
  <c r="DL22" i="15" s="1"/>
  <c r="DL23" i="15" s="1"/>
  <c r="DL24" i="15" s="1"/>
  <c r="DL25" i="15" s="1"/>
  <c r="DL26" i="15" s="1"/>
  <c r="DL27" i="15" s="1"/>
  <c r="L161" i="15" s="1"/>
  <c r="BP13" i="15"/>
  <c r="BP14" i="15" s="1"/>
  <c r="BP15" i="15" s="1"/>
  <c r="BP16" i="15" s="1"/>
  <c r="BP17" i="15" s="1"/>
  <c r="BP18" i="15" s="1"/>
  <c r="BP19" i="15" s="1"/>
  <c r="BP20" i="15" s="1"/>
  <c r="BP21" i="15" s="1"/>
  <c r="BP22" i="15" s="1"/>
  <c r="BP23" i="15" s="1"/>
  <c r="BP24" i="15" s="1"/>
  <c r="BP25" i="15" s="1"/>
  <c r="BP26" i="15" s="1"/>
  <c r="BP27" i="15" s="1"/>
  <c r="J161" i="15" s="1"/>
  <c r="DL13" i="14"/>
  <c r="DL14" i="14" s="1"/>
  <c r="DL15" i="14" s="1"/>
  <c r="DL16" i="14" s="1"/>
  <c r="DL17" i="14" s="1"/>
  <c r="DL18" i="14" s="1"/>
  <c r="DL19" i="14" s="1"/>
  <c r="DL20" i="14" s="1"/>
  <c r="DL21" i="14" s="1"/>
  <c r="DL22" i="14" s="1"/>
  <c r="DL23" i="14" s="1"/>
  <c r="DL24" i="14" s="1"/>
  <c r="DL25" i="14" s="1"/>
  <c r="DL26" i="14" s="1"/>
  <c r="DL27" i="14" s="1"/>
  <c r="L161" i="14" s="1"/>
  <c r="DL13" i="16"/>
  <c r="DL14" i="16" s="1"/>
  <c r="DL15" i="16" s="1"/>
  <c r="DL16" i="16" s="1"/>
  <c r="DL17" i="16" s="1"/>
  <c r="DL18" i="16" s="1"/>
  <c r="DL19" i="16" s="1"/>
  <c r="DL20" i="16" s="1"/>
  <c r="DL21" i="16" s="1"/>
  <c r="DL22" i="16" s="1"/>
  <c r="DL23" i="16" s="1"/>
  <c r="DL24" i="16" s="1"/>
  <c r="DL25" i="16" s="1"/>
  <c r="DL26" i="16" s="1"/>
  <c r="DL27" i="16" s="1"/>
  <c r="L161" i="16" s="1"/>
  <c r="T13" i="13"/>
  <c r="T14" i="13" s="1"/>
  <c r="T15" i="13" s="1"/>
  <c r="T16" i="13" s="1"/>
  <c r="T17" i="13" s="1"/>
  <c r="T18" i="13" s="1"/>
  <c r="T19" i="13" s="1"/>
  <c r="T20" i="13" s="1"/>
  <c r="T21" i="13" s="1"/>
  <c r="T22" i="13" s="1"/>
  <c r="T23" i="13" s="1"/>
  <c r="T24" i="13" s="1"/>
  <c r="T25" i="13" s="1"/>
  <c r="T26" i="13" s="1"/>
  <c r="T27" i="13" s="1"/>
  <c r="H161" i="13" s="1"/>
  <c r="DL13" i="13"/>
  <c r="DL14" i="13" s="1"/>
  <c r="DL15" i="13" s="1"/>
  <c r="DL16" i="13" s="1"/>
  <c r="DL17" i="13" s="1"/>
  <c r="DL18" i="13" s="1"/>
  <c r="DL19" i="13" s="1"/>
  <c r="DL20" i="13" s="1"/>
  <c r="DL21" i="13" s="1"/>
  <c r="DL22" i="13" s="1"/>
  <c r="DL23" i="13" s="1"/>
  <c r="DL24" i="13" s="1"/>
  <c r="DL25" i="13" s="1"/>
  <c r="DL26" i="13" s="1"/>
  <c r="DL27" i="13" s="1"/>
  <c r="L161" i="13" s="1"/>
  <c r="CZ38" i="13"/>
  <c r="DC38" i="13" s="1"/>
  <c r="BD38" i="13"/>
  <c r="BG38" i="13" s="1"/>
  <c r="AF38" i="15"/>
  <c r="AI38" i="15" s="1"/>
  <c r="CB38" i="14"/>
  <c r="CE38" i="14" s="1"/>
  <c r="H38" i="16"/>
  <c r="K38" i="16" s="1"/>
  <c r="AF38" i="14"/>
  <c r="AI38" i="14" s="1"/>
  <c r="CZ38" i="15"/>
  <c r="DC38" i="15" s="1"/>
  <c r="CZ38" i="16"/>
  <c r="DC38" i="16" s="1"/>
  <c r="BD38" i="16"/>
  <c r="BG38" i="16" s="1"/>
  <c r="BD38" i="15"/>
  <c r="BG38" i="15" s="1"/>
  <c r="CB38" i="13"/>
  <c r="CE38" i="13" s="1"/>
  <c r="AF38" i="13"/>
  <c r="AI38" i="13" s="1"/>
  <c r="H38" i="15"/>
  <c r="K38" i="15" s="1"/>
  <c r="H38" i="14"/>
  <c r="K38" i="14" s="1"/>
  <c r="H38" i="13"/>
  <c r="K38" i="13" s="1"/>
  <c r="CB38" i="16"/>
  <c r="CE38" i="16" s="1"/>
  <c r="CB38" i="15"/>
  <c r="CE38" i="15" s="1"/>
  <c r="AF38" i="16"/>
  <c r="AI38" i="16" s="1"/>
  <c r="CZ38" i="14"/>
  <c r="DC38" i="14" s="1"/>
  <c r="BD38" i="14"/>
  <c r="BG38" i="14" s="1"/>
  <c r="I91" i="10"/>
  <c r="W91" i="10" s="1"/>
  <c r="AB91" i="10" s="1"/>
  <c r="M12" i="15"/>
  <c r="DE12" i="16"/>
  <c r="AK12" i="13"/>
  <c r="BI12" i="14"/>
  <c r="M12" i="16"/>
  <c r="M12" i="14"/>
  <c r="DE12" i="14"/>
  <c r="BI12" i="16"/>
  <c r="CG12" i="13"/>
  <c r="AS12" i="14"/>
  <c r="AS13" i="14" s="1"/>
  <c r="AS14" i="14" s="1"/>
  <c r="AS15" i="14" s="1"/>
  <c r="AS16" i="14" s="1"/>
  <c r="AS17" i="14" s="1"/>
  <c r="AS18" i="14" s="1"/>
  <c r="AS19" i="14" s="1"/>
  <c r="AS20" i="14" s="1"/>
  <c r="AS21" i="14" s="1"/>
  <c r="AS22" i="14" s="1"/>
  <c r="AS23" i="14" s="1"/>
  <c r="AS24" i="14" s="1"/>
  <c r="AS25" i="14" s="1"/>
  <c r="AS26" i="14" s="1"/>
  <c r="AS27" i="14" s="1"/>
  <c r="I162" i="14" s="1"/>
  <c r="I163" i="14" s="1"/>
  <c r="AJ12" i="14"/>
  <c r="DM12" i="14"/>
  <c r="DM13" i="14" s="1"/>
  <c r="DM14" i="14" s="1"/>
  <c r="DM15" i="14" s="1"/>
  <c r="DM16" i="14" s="1"/>
  <c r="DM17" i="14" s="1"/>
  <c r="DM18" i="14" s="1"/>
  <c r="DM19" i="14" s="1"/>
  <c r="DM20" i="14" s="1"/>
  <c r="DM21" i="14" s="1"/>
  <c r="DM22" i="14" s="1"/>
  <c r="DM23" i="14" s="1"/>
  <c r="DM24" i="14" s="1"/>
  <c r="DM25" i="14" s="1"/>
  <c r="DM26" i="14" s="1"/>
  <c r="DM27" i="14" s="1"/>
  <c r="L162" i="14" s="1"/>
  <c r="L163" i="14" s="1"/>
  <c r="DD12" i="14"/>
  <c r="U12" i="16"/>
  <c r="U13" i="16" s="1"/>
  <c r="U14" i="16" s="1"/>
  <c r="U15" i="16" s="1"/>
  <c r="U16" i="16" s="1"/>
  <c r="U17" i="16" s="1"/>
  <c r="U18" i="16" s="1"/>
  <c r="U19" i="16" s="1"/>
  <c r="U20" i="16" s="1"/>
  <c r="U21" i="16" s="1"/>
  <c r="U22" i="16" s="1"/>
  <c r="U23" i="16" s="1"/>
  <c r="U24" i="16" s="1"/>
  <c r="U25" i="16" s="1"/>
  <c r="U26" i="16" s="1"/>
  <c r="U27" i="16" s="1"/>
  <c r="H162" i="16" s="1"/>
  <c r="L12" i="16"/>
  <c r="CO12" i="13"/>
  <c r="CO13" i="13" s="1"/>
  <c r="CO14" i="13" s="1"/>
  <c r="CO15" i="13" s="1"/>
  <c r="CO16" i="13" s="1"/>
  <c r="CO17" i="13" s="1"/>
  <c r="CO18" i="13" s="1"/>
  <c r="CO19" i="13" s="1"/>
  <c r="CO20" i="13" s="1"/>
  <c r="CO21" i="13" s="1"/>
  <c r="CO22" i="13" s="1"/>
  <c r="CO23" i="13" s="1"/>
  <c r="CO24" i="13" s="1"/>
  <c r="CO25" i="13" s="1"/>
  <c r="CO26" i="13" s="1"/>
  <c r="CO27" i="13" s="1"/>
  <c r="K162" i="13" s="1"/>
  <c r="K163" i="13" s="1"/>
  <c r="CF12" i="13"/>
  <c r="CO12" i="14"/>
  <c r="CO13" i="14" s="1"/>
  <c r="CO14" i="14" s="1"/>
  <c r="CO15" i="14" s="1"/>
  <c r="CO16" i="14" s="1"/>
  <c r="CO17" i="14" s="1"/>
  <c r="CO18" i="14" s="1"/>
  <c r="CO19" i="14" s="1"/>
  <c r="CO20" i="14" s="1"/>
  <c r="CO21" i="14" s="1"/>
  <c r="CO22" i="14" s="1"/>
  <c r="CO23" i="14" s="1"/>
  <c r="CO24" i="14" s="1"/>
  <c r="CO25" i="14" s="1"/>
  <c r="CO26" i="14" s="1"/>
  <c r="CO27" i="14" s="1"/>
  <c r="K162" i="14" s="1"/>
  <c r="CF12" i="14"/>
  <c r="CG12" i="16"/>
  <c r="U12" i="14"/>
  <c r="U13" i="14" s="1"/>
  <c r="U14" i="14" s="1"/>
  <c r="U15" i="14" s="1"/>
  <c r="U16" i="14" s="1"/>
  <c r="U17" i="14" s="1"/>
  <c r="U18" i="14" s="1"/>
  <c r="U19" i="14" s="1"/>
  <c r="U20" i="14" s="1"/>
  <c r="U21" i="14" s="1"/>
  <c r="U22" i="14" s="1"/>
  <c r="U23" i="14" s="1"/>
  <c r="U24" i="14" s="1"/>
  <c r="U25" i="14" s="1"/>
  <c r="U26" i="14" s="1"/>
  <c r="U27" i="14" s="1"/>
  <c r="H162" i="14" s="1"/>
  <c r="L12" i="14"/>
  <c r="AS12" i="13"/>
  <c r="AS13" i="13" s="1"/>
  <c r="AS14" i="13" s="1"/>
  <c r="AS15" i="13" s="1"/>
  <c r="AS16" i="13" s="1"/>
  <c r="AS17" i="13" s="1"/>
  <c r="AS18" i="13" s="1"/>
  <c r="AS19" i="13" s="1"/>
  <c r="AS20" i="13" s="1"/>
  <c r="AS21" i="13" s="1"/>
  <c r="AS22" i="13" s="1"/>
  <c r="AS23" i="13" s="1"/>
  <c r="AS24" i="13" s="1"/>
  <c r="AS25" i="13" s="1"/>
  <c r="AS26" i="13" s="1"/>
  <c r="AS27" i="13" s="1"/>
  <c r="I162" i="13" s="1"/>
  <c r="I163" i="13" s="1"/>
  <c r="AJ12" i="13"/>
  <c r="DM12" i="16"/>
  <c r="DM13" i="16" s="1"/>
  <c r="DM14" i="16" s="1"/>
  <c r="DM15" i="16" s="1"/>
  <c r="DM16" i="16" s="1"/>
  <c r="DM17" i="16" s="1"/>
  <c r="DM18" i="16" s="1"/>
  <c r="DM19" i="16" s="1"/>
  <c r="DM20" i="16" s="1"/>
  <c r="DM21" i="16" s="1"/>
  <c r="DM22" i="16" s="1"/>
  <c r="DM23" i="16" s="1"/>
  <c r="DM24" i="16" s="1"/>
  <c r="DM25" i="16" s="1"/>
  <c r="DM26" i="16" s="1"/>
  <c r="DM27" i="16" s="1"/>
  <c r="L162" i="16" s="1"/>
  <c r="L163" i="16" s="1"/>
  <c r="DD12" i="16"/>
  <c r="BQ12" i="14"/>
  <c r="BQ13" i="14" s="1"/>
  <c r="BQ14" i="14" s="1"/>
  <c r="BQ15" i="14" s="1"/>
  <c r="BQ16" i="14" s="1"/>
  <c r="BQ17" i="14" s="1"/>
  <c r="BQ18" i="14" s="1"/>
  <c r="BQ19" i="14" s="1"/>
  <c r="BQ20" i="14" s="1"/>
  <c r="BQ21" i="14" s="1"/>
  <c r="BQ22" i="14" s="1"/>
  <c r="BQ23" i="14" s="1"/>
  <c r="BQ24" i="14" s="1"/>
  <c r="BQ25" i="14" s="1"/>
  <c r="BQ26" i="14" s="1"/>
  <c r="BQ27" i="14" s="1"/>
  <c r="J162" i="14" s="1"/>
  <c r="J163" i="14" s="1"/>
  <c r="BH12" i="14"/>
  <c r="DM12" i="13"/>
  <c r="DM13" i="13" s="1"/>
  <c r="DM14" i="13" s="1"/>
  <c r="DM15" i="13" s="1"/>
  <c r="DM16" i="13" s="1"/>
  <c r="DM17" i="13" s="1"/>
  <c r="DM18" i="13" s="1"/>
  <c r="DM19" i="13" s="1"/>
  <c r="DM20" i="13" s="1"/>
  <c r="DM21" i="13" s="1"/>
  <c r="DM22" i="13" s="1"/>
  <c r="DM23" i="13" s="1"/>
  <c r="DM24" i="13" s="1"/>
  <c r="DM25" i="13" s="1"/>
  <c r="DM26" i="13" s="1"/>
  <c r="DM27" i="13" s="1"/>
  <c r="L162" i="13" s="1"/>
  <c r="L163" i="13" s="1"/>
  <c r="DD12" i="13"/>
  <c r="U12" i="13"/>
  <c r="U13" i="13" s="1"/>
  <c r="U14" i="13" s="1"/>
  <c r="U15" i="13" s="1"/>
  <c r="U16" i="13" s="1"/>
  <c r="U17" i="13" s="1"/>
  <c r="U18" i="13" s="1"/>
  <c r="U19" i="13" s="1"/>
  <c r="U20" i="13" s="1"/>
  <c r="U21" i="13" s="1"/>
  <c r="U22" i="13" s="1"/>
  <c r="U23" i="13" s="1"/>
  <c r="U24" i="13" s="1"/>
  <c r="U25" i="13" s="1"/>
  <c r="U26" i="13" s="1"/>
  <c r="U27" i="13" s="1"/>
  <c r="H162" i="13" s="1"/>
  <c r="L12" i="13"/>
  <c r="AK12" i="16"/>
  <c r="AK12" i="14"/>
  <c r="M12" i="13"/>
  <c r="U12" i="15"/>
  <c r="U13" i="15" s="1"/>
  <c r="U14" i="15" s="1"/>
  <c r="U15" i="15" s="1"/>
  <c r="U16" i="15" s="1"/>
  <c r="U17" i="15" s="1"/>
  <c r="U18" i="15" s="1"/>
  <c r="U19" i="15" s="1"/>
  <c r="U20" i="15" s="1"/>
  <c r="U21" i="15" s="1"/>
  <c r="U22" i="15" s="1"/>
  <c r="U23" i="15" s="1"/>
  <c r="U24" i="15" s="1"/>
  <c r="U25" i="15" s="1"/>
  <c r="U26" i="15" s="1"/>
  <c r="U27" i="15" s="1"/>
  <c r="H162" i="15" s="1"/>
  <c r="L12" i="15"/>
  <c r="BQ12" i="13"/>
  <c r="BQ13" i="13" s="1"/>
  <c r="BQ14" i="13" s="1"/>
  <c r="BQ15" i="13" s="1"/>
  <c r="BQ16" i="13" s="1"/>
  <c r="BQ17" i="13" s="1"/>
  <c r="BQ18" i="13" s="1"/>
  <c r="BQ19" i="13" s="1"/>
  <c r="BQ20" i="13" s="1"/>
  <c r="BQ21" i="13" s="1"/>
  <c r="BQ22" i="13" s="1"/>
  <c r="BQ23" i="13" s="1"/>
  <c r="BQ24" i="13" s="1"/>
  <c r="BQ25" i="13" s="1"/>
  <c r="BQ26" i="13" s="1"/>
  <c r="BQ27" i="13" s="1"/>
  <c r="J162" i="13" s="1"/>
  <c r="J163" i="13" s="1"/>
  <c r="BH12" i="13"/>
  <c r="DM12" i="15"/>
  <c r="DM13" i="15" s="1"/>
  <c r="DM14" i="15" s="1"/>
  <c r="DM15" i="15" s="1"/>
  <c r="DM16" i="15" s="1"/>
  <c r="DM17" i="15" s="1"/>
  <c r="DM18" i="15" s="1"/>
  <c r="DM19" i="15" s="1"/>
  <c r="DM20" i="15" s="1"/>
  <c r="DM21" i="15" s="1"/>
  <c r="DM22" i="15" s="1"/>
  <c r="DM23" i="15" s="1"/>
  <c r="DM24" i="15" s="1"/>
  <c r="DM25" i="15" s="1"/>
  <c r="DM26" i="15" s="1"/>
  <c r="DM27" i="15" s="1"/>
  <c r="L162" i="15" s="1"/>
  <c r="L163" i="15" s="1"/>
  <c r="DD12" i="15"/>
  <c r="CO12" i="16"/>
  <c r="CO13" i="16" s="1"/>
  <c r="CO14" i="16" s="1"/>
  <c r="CO15" i="16" s="1"/>
  <c r="CO16" i="16" s="1"/>
  <c r="CO17" i="16" s="1"/>
  <c r="CO18" i="16" s="1"/>
  <c r="CO19" i="16" s="1"/>
  <c r="CO20" i="16" s="1"/>
  <c r="CO21" i="16" s="1"/>
  <c r="CO22" i="16" s="1"/>
  <c r="CO23" i="16" s="1"/>
  <c r="CO24" i="16" s="1"/>
  <c r="CO25" i="16" s="1"/>
  <c r="CO26" i="16" s="1"/>
  <c r="CO27" i="16" s="1"/>
  <c r="K162" i="16" s="1"/>
  <c r="K163" i="16" s="1"/>
  <c r="CF12" i="16"/>
  <c r="AS12" i="16"/>
  <c r="AS13" i="16" s="1"/>
  <c r="AS14" i="16" s="1"/>
  <c r="AS15" i="16" s="1"/>
  <c r="AS16" i="16" s="1"/>
  <c r="AS17" i="16" s="1"/>
  <c r="AS18" i="16" s="1"/>
  <c r="AS19" i="16" s="1"/>
  <c r="AS20" i="16" s="1"/>
  <c r="AS21" i="16" s="1"/>
  <c r="AS22" i="16" s="1"/>
  <c r="AS23" i="16" s="1"/>
  <c r="AS24" i="16" s="1"/>
  <c r="AS25" i="16" s="1"/>
  <c r="AS26" i="16" s="1"/>
  <c r="AS27" i="16" s="1"/>
  <c r="I162" i="16" s="1"/>
  <c r="I163" i="16" s="1"/>
  <c r="AJ12" i="16"/>
  <c r="CG12" i="14"/>
  <c r="BQ12" i="16"/>
  <c r="BQ13" i="16" s="1"/>
  <c r="BQ14" i="16" s="1"/>
  <c r="BQ15" i="16" s="1"/>
  <c r="BQ16" i="16" s="1"/>
  <c r="BQ17" i="16" s="1"/>
  <c r="BQ18" i="16" s="1"/>
  <c r="BQ19" i="16" s="1"/>
  <c r="BQ20" i="16" s="1"/>
  <c r="BQ21" i="16" s="1"/>
  <c r="BQ22" i="16" s="1"/>
  <c r="BQ23" i="16" s="1"/>
  <c r="BQ24" i="16" s="1"/>
  <c r="BQ25" i="16" s="1"/>
  <c r="BQ26" i="16" s="1"/>
  <c r="BH12" i="16"/>
  <c r="DE12" i="13"/>
  <c r="BI12" i="15"/>
  <c r="CO12" i="15"/>
  <c r="CO13" i="15" s="1"/>
  <c r="CO14" i="15" s="1"/>
  <c r="CO15" i="15" s="1"/>
  <c r="CO16" i="15" s="1"/>
  <c r="CO17" i="15" s="1"/>
  <c r="CO18" i="15" s="1"/>
  <c r="CO19" i="15" s="1"/>
  <c r="CO20" i="15" s="1"/>
  <c r="CO21" i="15" s="1"/>
  <c r="CO22" i="15" s="1"/>
  <c r="CO23" i="15" s="1"/>
  <c r="CO24" i="15" s="1"/>
  <c r="CO25" i="15" s="1"/>
  <c r="CO26" i="15" s="1"/>
  <c r="CO27" i="15" s="1"/>
  <c r="K162" i="15" s="1"/>
  <c r="K163" i="15" s="1"/>
  <c r="CF12" i="15"/>
  <c r="M7" i="11"/>
  <c r="AR13" i="16"/>
  <c r="AR14" i="16" s="1"/>
  <c r="AR15" i="16" s="1"/>
  <c r="AR16" i="16" s="1"/>
  <c r="AR17" i="16" s="1"/>
  <c r="AR18" i="16" s="1"/>
  <c r="AR19" i="16" s="1"/>
  <c r="AR20" i="16" s="1"/>
  <c r="AR21" i="16" s="1"/>
  <c r="AR22" i="16" s="1"/>
  <c r="AR23" i="16" s="1"/>
  <c r="AR24" i="16" s="1"/>
  <c r="AR25" i="16" s="1"/>
  <c r="AR26" i="16" s="1"/>
  <c r="AR27" i="16" s="1"/>
  <c r="I161" i="16" s="1"/>
  <c r="AR13" i="14"/>
  <c r="AR14" i="14" s="1"/>
  <c r="AR15" i="14" s="1"/>
  <c r="AR16" i="14" s="1"/>
  <c r="AR17" i="14" s="1"/>
  <c r="AR18" i="14" s="1"/>
  <c r="AR19" i="14" s="1"/>
  <c r="AR20" i="14" s="1"/>
  <c r="AR21" i="14" s="1"/>
  <c r="AR22" i="14" s="1"/>
  <c r="AR23" i="14" s="1"/>
  <c r="AR24" i="14" s="1"/>
  <c r="AR25" i="14" s="1"/>
  <c r="AR26" i="14" s="1"/>
  <c r="AR27" i="14" s="1"/>
  <c r="I161" i="14" s="1"/>
  <c r="BI27" i="16"/>
  <c r="T13" i="14"/>
  <c r="T14" i="14" s="1"/>
  <c r="T15" i="14" s="1"/>
  <c r="T16" i="14" s="1"/>
  <c r="T17" i="14" s="1"/>
  <c r="T18" i="14" s="1"/>
  <c r="T19" i="14" s="1"/>
  <c r="T20" i="14" s="1"/>
  <c r="T21" i="14" s="1"/>
  <c r="T22" i="14" s="1"/>
  <c r="T23" i="14" s="1"/>
  <c r="T24" i="14" s="1"/>
  <c r="T25" i="14" s="1"/>
  <c r="T26" i="14" s="1"/>
  <c r="T27" i="14" s="1"/>
  <c r="H161" i="14" s="1"/>
  <c r="T13" i="16"/>
  <c r="T14" i="16" s="1"/>
  <c r="T15" i="16" s="1"/>
  <c r="T16" i="16" s="1"/>
  <c r="T17" i="16" s="1"/>
  <c r="T18" i="16" s="1"/>
  <c r="T19" i="16" s="1"/>
  <c r="T20" i="16" s="1"/>
  <c r="T21" i="16" s="1"/>
  <c r="T22" i="16" s="1"/>
  <c r="T23" i="16" s="1"/>
  <c r="T24" i="16" s="1"/>
  <c r="T25" i="16" s="1"/>
  <c r="T26" i="16" s="1"/>
  <c r="T27" i="16" s="1"/>
  <c r="H161" i="16" s="1"/>
  <c r="AR13" i="13"/>
  <c r="AR14" i="13" s="1"/>
  <c r="AR15" i="13" s="1"/>
  <c r="AR16" i="13" s="1"/>
  <c r="AR17" i="13" s="1"/>
  <c r="AR18" i="13" s="1"/>
  <c r="AR19" i="13" s="1"/>
  <c r="AR20" i="13" s="1"/>
  <c r="AR21" i="13" s="1"/>
  <c r="AR22" i="13" s="1"/>
  <c r="AR23" i="13" s="1"/>
  <c r="AR24" i="13" s="1"/>
  <c r="AR25" i="13" s="1"/>
  <c r="AR26" i="13" s="1"/>
  <c r="AR27" i="13" s="1"/>
  <c r="I161" i="13" s="1"/>
  <c r="CN13" i="13"/>
  <c r="CN14" i="13" s="1"/>
  <c r="CN15" i="13" s="1"/>
  <c r="CN16" i="13" s="1"/>
  <c r="CN17" i="13" s="1"/>
  <c r="CN18" i="13" s="1"/>
  <c r="CN19" i="13" s="1"/>
  <c r="CN20" i="13" s="1"/>
  <c r="CN21" i="13" s="1"/>
  <c r="CN22" i="13" s="1"/>
  <c r="CN23" i="13" s="1"/>
  <c r="CN24" i="13" s="1"/>
  <c r="CN25" i="13" s="1"/>
  <c r="CN26" i="13" s="1"/>
  <c r="CN27" i="13" s="1"/>
  <c r="K161" i="13" s="1"/>
  <c r="BP13" i="13"/>
  <c r="BP14" i="13" s="1"/>
  <c r="BP15" i="13" s="1"/>
  <c r="BP16" i="13" s="1"/>
  <c r="BP17" i="13" s="1"/>
  <c r="BP18" i="13" s="1"/>
  <c r="BP19" i="13" s="1"/>
  <c r="BP20" i="13" s="1"/>
  <c r="BP21" i="13" s="1"/>
  <c r="BP22" i="13" s="1"/>
  <c r="BP23" i="13" s="1"/>
  <c r="BP24" i="13" s="1"/>
  <c r="BP25" i="13" s="1"/>
  <c r="BP26" i="13" s="1"/>
  <c r="BP27" i="13" s="1"/>
  <c r="J161" i="13" s="1"/>
  <c r="K10" i="11"/>
  <c r="K12" i="11" s="1"/>
  <c r="K14" i="11" s="1"/>
  <c r="Y69" i="2"/>
  <c r="U24" i="8" s="1"/>
  <c r="AE71" i="2"/>
  <c r="K70" i="2"/>
  <c r="Q28" i="8" s="1"/>
  <c r="R68" i="2"/>
  <c r="S23" i="8" s="1"/>
  <c r="R71" i="2"/>
  <c r="S29" i="8" s="1"/>
  <c r="AF41" i="2"/>
  <c r="W19" i="8" s="1"/>
  <c r="AF69" i="2"/>
  <c r="W24" i="8" s="1"/>
  <c r="Y41" i="2"/>
  <c r="U19" i="8" s="1"/>
  <c r="AE164" i="15" l="1"/>
  <c r="AF164" i="15"/>
  <c r="AF166" i="15" s="1"/>
  <c r="AF168" i="15" s="1"/>
  <c r="AT12" i="14"/>
  <c r="AT13" i="14" s="1"/>
  <c r="AT14" i="14" s="1"/>
  <c r="AT15" i="14" s="1"/>
  <c r="AT16" i="14" s="1"/>
  <c r="AT17" i="14" s="1"/>
  <c r="AT18" i="14" s="1"/>
  <c r="AT19" i="14" s="1"/>
  <c r="AT20" i="14" s="1"/>
  <c r="AT21" i="14" s="1"/>
  <c r="AT22" i="14" s="1"/>
  <c r="AT23" i="14" s="1"/>
  <c r="AT24" i="14" s="1"/>
  <c r="AT25" i="14" s="1"/>
  <c r="AT26" i="14" s="1"/>
  <c r="AT27" i="14" s="1"/>
  <c r="CP12" i="16"/>
  <c r="CP13" i="16" s="1"/>
  <c r="CP14" i="16" s="1"/>
  <c r="CP15" i="16" s="1"/>
  <c r="CP16" i="16" s="1"/>
  <c r="CP17" i="16" s="1"/>
  <c r="CP18" i="16" s="1"/>
  <c r="CP19" i="16" s="1"/>
  <c r="CP20" i="16" s="1"/>
  <c r="CP21" i="16" s="1"/>
  <c r="CP22" i="16" s="1"/>
  <c r="CP23" i="16" s="1"/>
  <c r="CP24" i="16" s="1"/>
  <c r="CP25" i="16" s="1"/>
  <c r="CP26" i="16" s="1"/>
  <c r="CP27" i="16" s="1"/>
  <c r="V12" i="16"/>
  <c r="V13" i="16" s="1"/>
  <c r="V14" i="16" s="1"/>
  <c r="V15" i="16" s="1"/>
  <c r="V16" i="16" s="1"/>
  <c r="V17" i="16" s="1"/>
  <c r="V18" i="16" s="1"/>
  <c r="V19" i="16" s="1"/>
  <c r="V20" i="16" s="1"/>
  <c r="V21" i="16" s="1"/>
  <c r="V22" i="16" s="1"/>
  <c r="V23" i="16" s="1"/>
  <c r="V24" i="16" s="1"/>
  <c r="V25" i="16" s="1"/>
  <c r="V26" i="16" s="1"/>
  <c r="V27" i="16" s="1"/>
  <c r="AT88" i="15"/>
  <c r="AT89" i="15" s="1"/>
  <c r="AT90" i="15" s="1"/>
  <c r="AT91" i="15" s="1"/>
  <c r="AT92" i="15" s="1"/>
  <c r="AT93" i="15" s="1"/>
  <c r="AT94" i="15" s="1"/>
  <c r="AT95" i="15" s="1"/>
  <c r="AT96" i="15" s="1"/>
  <c r="AT97" i="15" s="1"/>
  <c r="AT98" i="15" s="1"/>
  <c r="AT99" i="15" s="1"/>
  <c r="AT100" i="15" s="1"/>
  <c r="AT101" i="15" s="1"/>
  <c r="AT102" i="15" s="1"/>
  <c r="AT103" i="15" s="1"/>
  <c r="BS113" i="15"/>
  <c r="BS114" i="15" s="1"/>
  <c r="BS115" i="15" s="1"/>
  <c r="BS116" i="15" s="1"/>
  <c r="BS117" i="15" s="1"/>
  <c r="BS118" i="15" s="1"/>
  <c r="BS119" i="15" s="1"/>
  <c r="BS120" i="15" s="1"/>
  <c r="BS121" i="15" s="1"/>
  <c r="BS122" i="15" s="1"/>
  <c r="BS123" i="15" s="1"/>
  <c r="BS124" i="15" s="1"/>
  <c r="BS125" i="15" s="1"/>
  <c r="BS126" i="15" s="1"/>
  <c r="BS127" i="15" s="1"/>
  <c r="BS128" i="15" s="1"/>
  <c r="DO113" i="15"/>
  <c r="DO114" i="15" s="1"/>
  <c r="DO115" i="15" s="1"/>
  <c r="DO116" i="15" s="1"/>
  <c r="DO117" i="15" s="1"/>
  <c r="DO118" i="15" s="1"/>
  <c r="DO119" i="15" s="1"/>
  <c r="DO120" i="15" s="1"/>
  <c r="DO121" i="15" s="1"/>
  <c r="DO122" i="15" s="1"/>
  <c r="DO123" i="15" s="1"/>
  <c r="DO124" i="15" s="1"/>
  <c r="DO125" i="15" s="1"/>
  <c r="DO126" i="15" s="1"/>
  <c r="DO127" i="15" s="1"/>
  <c r="DO128" i="15" s="1"/>
  <c r="CQ12" i="14"/>
  <c r="CQ13" i="14" s="1"/>
  <c r="CQ14" i="14" s="1"/>
  <c r="CQ15" i="14" s="1"/>
  <c r="CQ16" i="14" s="1"/>
  <c r="CQ17" i="14" s="1"/>
  <c r="CQ18" i="14" s="1"/>
  <c r="CQ19" i="14" s="1"/>
  <c r="CQ20" i="14" s="1"/>
  <c r="CQ21" i="14" s="1"/>
  <c r="CQ22" i="14" s="1"/>
  <c r="CQ23" i="14" s="1"/>
  <c r="CQ24" i="14" s="1"/>
  <c r="CQ25" i="14" s="1"/>
  <c r="CQ26" i="14" s="1"/>
  <c r="CQ27" i="14" s="1"/>
  <c r="W12" i="14"/>
  <c r="W13" i="14" s="1"/>
  <c r="W14" i="14" s="1"/>
  <c r="W15" i="14" s="1"/>
  <c r="W16" i="14" s="1"/>
  <c r="W17" i="14" s="1"/>
  <c r="W18" i="14" s="1"/>
  <c r="W19" i="14" s="1"/>
  <c r="W20" i="14" s="1"/>
  <c r="W21" i="14" s="1"/>
  <c r="W22" i="14" s="1"/>
  <c r="W23" i="14" s="1"/>
  <c r="W24" i="14" s="1"/>
  <c r="W25" i="14" s="1"/>
  <c r="W26" i="14" s="1"/>
  <c r="W27" i="14" s="1"/>
  <c r="DO12" i="16"/>
  <c r="DO13" i="16" s="1"/>
  <c r="DO14" i="16" s="1"/>
  <c r="DO15" i="16" s="1"/>
  <c r="DO16" i="16" s="1"/>
  <c r="DO17" i="16" s="1"/>
  <c r="DO18" i="16" s="1"/>
  <c r="DO19" i="16" s="1"/>
  <c r="DO20" i="16" s="1"/>
  <c r="DO21" i="16" s="1"/>
  <c r="DO22" i="16" s="1"/>
  <c r="DO23" i="16" s="1"/>
  <c r="DO24" i="16" s="1"/>
  <c r="DO25" i="16" s="1"/>
  <c r="DO26" i="16" s="1"/>
  <c r="DO27" i="16" s="1"/>
  <c r="BS12" i="13"/>
  <c r="BS13" i="13" s="1"/>
  <c r="BS14" i="13" s="1"/>
  <c r="BS15" i="13" s="1"/>
  <c r="BS16" i="13" s="1"/>
  <c r="BS17" i="13" s="1"/>
  <c r="BS18" i="13" s="1"/>
  <c r="BS19" i="13" s="1"/>
  <c r="BS20" i="13" s="1"/>
  <c r="BS21" i="13" s="1"/>
  <c r="BS22" i="13" s="1"/>
  <c r="BS23" i="13" s="1"/>
  <c r="BS24" i="13" s="1"/>
  <c r="BS25" i="13" s="1"/>
  <c r="BS26" i="13" s="1"/>
  <c r="BS27" i="13" s="1"/>
  <c r="DO12" i="13"/>
  <c r="DO13" i="13" s="1"/>
  <c r="DO14" i="13" s="1"/>
  <c r="DO15" i="13" s="1"/>
  <c r="DO16" i="13" s="1"/>
  <c r="DO17" i="13" s="1"/>
  <c r="DO18" i="13" s="1"/>
  <c r="DO19" i="13" s="1"/>
  <c r="DO20" i="13" s="1"/>
  <c r="DO21" i="13" s="1"/>
  <c r="DO22" i="13" s="1"/>
  <c r="DO23" i="13" s="1"/>
  <c r="DO24" i="13" s="1"/>
  <c r="DO25" i="13" s="1"/>
  <c r="DO26" i="13" s="1"/>
  <c r="DO27" i="13" s="1"/>
  <c r="AT12" i="16"/>
  <c r="AT13" i="16" s="1"/>
  <c r="AT14" i="16" s="1"/>
  <c r="AT15" i="16" s="1"/>
  <c r="AT16" i="16" s="1"/>
  <c r="AT17" i="16" s="1"/>
  <c r="AT18" i="16" s="1"/>
  <c r="AT19" i="16" s="1"/>
  <c r="AT20" i="16" s="1"/>
  <c r="AT21" i="16" s="1"/>
  <c r="AT22" i="16" s="1"/>
  <c r="AT23" i="16" s="1"/>
  <c r="AT24" i="16" s="1"/>
  <c r="AT25" i="16" s="1"/>
  <c r="AT26" i="16" s="1"/>
  <c r="AT27" i="16" s="1"/>
  <c r="DN12" i="15"/>
  <c r="DN13" i="15" s="1"/>
  <c r="DN14" i="15" s="1"/>
  <c r="DN15" i="15" s="1"/>
  <c r="DN16" i="15" s="1"/>
  <c r="DN17" i="15" s="1"/>
  <c r="DN18" i="15" s="1"/>
  <c r="DN19" i="15" s="1"/>
  <c r="DN20" i="15" s="1"/>
  <c r="DN21" i="15" s="1"/>
  <c r="DN22" i="15" s="1"/>
  <c r="DN23" i="15" s="1"/>
  <c r="DN24" i="15" s="1"/>
  <c r="DN25" i="15" s="1"/>
  <c r="DN26" i="15" s="1"/>
  <c r="DN27" i="15" s="1"/>
  <c r="V12" i="15"/>
  <c r="V13" i="15" s="1"/>
  <c r="V14" i="15" s="1"/>
  <c r="V15" i="15" s="1"/>
  <c r="V16" i="15" s="1"/>
  <c r="V17" i="15" s="1"/>
  <c r="V18" i="15" s="1"/>
  <c r="V19" i="15" s="1"/>
  <c r="V20" i="15" s="1"/>
  <c r="V21" i="15" s="1"/>
  <c r="V22" i="15" s="1"/>
  <c r="V23" i="15" s="1"/>
  <c r="V24" i="15" s="1"/>
  <c r="V25" i="15" s="1"/>
  <c r="V26" i="15" s="1"/>
  <c r="V27" i="15" s="1"/>
  <c r="AU12" i="16"/>
  <c r="AU13" i="16" s="1"/>
  <c r="AU14" i="16" s="1"/>
  <c r="AU15" i="16" s="1"/>
  <c r="AU16" i="16" s="1"/>
  <c r="AU17" i="16" s="1"/>
  <c r="AU18" i="16" s="1"/>
  <c r="AU19" i="16" s="1"/>
  <c r="AU20" i="16" s="1"/>
  <c r="AU21" i="16" s="1"/>
  <c r="AU22" i="16" s="1"/>
  <c r="AU23" i="16" s="1"/>
  <c r="AU24" i="16" s="1"/>
  <c r="AU25" i="16" s="1"/>
  <c r="AU26" i="16" s="1"/>
  <c r="AU27" i="16" s="1"/>
  <c r="CP12" i="13"/>
  <c r="CP13" i="13" s="1"/>
  <c r="CP14" i="13" s="1"/>
  <c r="CP15" i="13" s="1"/>
  <c r="CP16" i="13" s="1"/>
  <c r="CP17" i="13" s="1"/>
  <c r="CP18" i="13" s="1"/>
  <c r="CP19" i="13" s="1"/>
  <c r="CP20" i="13" s="1"/>
  <c r="CP21" i="13" s="1"/>
  <c r="CP22" i="13" s="1"/>
  <c r="CP23" i="13" s="1"/>
  <c r="CP24" i="13" s="1"/>
  <c r="CP25" i="13" s="1"/>
  <c r="CP26" i="13" s="1"/>
  <c r="CP27" i="13" s="1"/>
  <c r="DN12" i="14"/>
  <c r="DN13" i="14" s="1"/>
  <c r="DN14" i="14" s="1"/>
  <c r="DN15" i="14" s="1"/>
  <c r="DN16" i="14" s="1"/>
  <c r="DN17" i="14" s="1"/>
  <c r="DN18" i="14" s="1"/>
  <c r="DN19" i="14" s="1"/>
  <c r="DN20" i="14" s="1"/>
  <c r="DN21" i="14" s="1"/>
  <c r="DN22" i="14" s="1"/>
  <c r="DN23" i="14" s="1"/>
  <c r="DN24" i="14" s="1"/>
  <c r="DN25" i="14" s="1"/>
  <c r="DN26" i="14" s="1"/>
  <c r="DN27" i="14" s="1"/>
  <c r="CQ12" i="13"/>
  <c r="CQ13" i="13" s="1"/>
  <c r="CQ14" i="13" s="1"/>
  <c r="CQ15" i="13" s="1"/>
  <c r="CQ16" i="13" s="1"/>
  <c r="CQ17" i="13" s="1"/>
  <c r="CQ18" i="13" s="1"/>
  <c r="CQ19" i="13" s="1"/>
  <c r="CQ20" i="13" s="1"/>
  <c r="CQ21" i="13" s="1"/>
  <c r="CQ22" i="13" s="1"/>
  <c r="CQ23" i="13" s="1"/>
  <c r="CQ24" i="13" s="1"/>
  <c r="CQ25" i="13" s="1"/>
  <c r="CQ26" i="13" s="1"/>
  <c r="CQ27" i="13" s="1"/>
  <c r="W12" i="16"/>
  <c r="W13" i="16" s="1"/>
  <c r="W14" i="16" s="1"/>
  <c r="W15" i="16" s="1"/>
  <c r="W16" i="16" s="1"/>
  <c r="W17" i="16" s="1"/>
  <c r="W18" i="16" s="1"/>
  <c r="W19" i="16" s="1"/>
  <c r="W20" i="16" s="1"/>
  <c r="W21" i="16" s="1"/>
  <c r="W22" i="16" s="1"/>
  <c r="W23" i="16" s="1"/>
  <c r="W24" i="16" s="1"/>
  <c r="W25" i="16" s="1"/>
  <c r="W26" i="16" s="1"/>
  <c r="W27" i="16" s="1"/>
  <c r="W12" i="15"/>
  <c r="W13" i="15" s="1"/>
  <c r="W14" i="15" s="1"/>
  <c r="W15" i="15" s="1"/>
  <c r="W16" i="15" s="1"/>
  <c r="W17" i="15" s="1"/>
  <c r="W18" i="15" s="1"/>
  <c r="W19" i="15" s="1"/>
  <c r="W20" i="15" s="1"/>
  <c r="W21" i="15" s="1"/>
  <c r="W22" i="15" s="1"/>
  <c r="W23" i="15" s="1"/>
  <c r="W24" i="15" s="1"/>
  <c r="W25" i="15" s="1"/>
  <c r="W26" i="15" s="1"/>
  <c r="W27" i="15" s="1"/>
  <c r="DO12" i="15"/>
  <c r="DO13" i="15" s="1"/>
  <c r="DO14" i="15" s="1"/>
  <c r="DO15" i="15" s="1"/>
  <c r="DO16" i="15" s="1"/>
  <c r="DO17" i="15" s="1"/>
  <c r="DO18" i="15" s="1"/>
  <c r="DO19" i="15" s="1"/>
  <c r="DO20" i="15" s="1"/>
  <c r="DO21" i="15" s="1"/>
  <c r="DO22" i="15" s="1"/>
  <c r="DO23" i="15" s="1"/>
  <c r="DO24" i="15" s="1"/>
  <c r="DO25" i="15" s="1"/>
  <c r="DO26" i="15" s="1"/>
  <c r="DO27" i="15" s="1"/>
  <c r="CP88" i="15"/>
  <c r="CP89" i="15" s="1"/>
  <c r="CP90" i="15" s="1"/>
  <c r="CP91" i="15" s="1"/>
  <c r="CP92" i="15" s="1"/>
  <c r="CP93" i="15" s="1"/>
  <c r="CP94" i="15" s="1"/>
  <c r="CP95" i="15" s="1"/>
  <c r="CP96" i="15" s="1"/>
  <c r="CP97" i="15" s="1"/>
  <c r="CP98" i="15" s="1"/>
  <c r="CP99" i="15" s="1"/>
  <c r="CP100" i="15" s="1"/>
  <c r="CP101" i="15" s="1"/>
  <c r="CP102" i="15" s="1"/>
  <c r="CP103" i="15" s="1"/>
  <c r="AH65" i="10"/>
  <c r="BR12" i="13"/>
  <c r="BR13" i="13" s="1"/>
  <c r="BR14" i="13" s="1"/>
  <c r="BR15" i="13" s="1"/>
  <c r="BR16" i="13" s="1"/>
  <c r="BR17" i="13" s="1"/>
  <c r="BR18" i="13" s="1"/>
  <c r="BR19" i="13" s="1"/>
  <c r="BR20" i="13" s="1"/>
  <c r="BR21" i="13" s="1"/>
  <c r="BR22" i="13" s="1"/>
  <c r="BR23" i="13" s="1"/>
  <c r="BR24" i="13" s="1"/>
  <c r="BR25" i="13" s="1"/>
  <c r="BR26" i="13" s="1"/>
  <c r="BR27" i="13" s="1"/>
  <c r="W12" i="13"/>
  <c r="W13" i="13" s="1"/>
  <c r="W14" i="13" s="1"/>
  <c r="W15" i="13" s="1"/>
  <c r="W16" i="13" s="1"/>
  <c r="W17" i="13" s="1"/>
  <c r="W18" i="13" s="1"/>
  <c r="W19" i="13" s="1"/>
  <c r="W20" i="13" s="1"/>
  <c r="W21" i="13" s="1"/>
  <c r="W22" i="13" s="1"/>
  <c r="W23" i="13" s="1"/>
  <c r="W24" i="13" s="1"/>
  <c r="W25" i="13" s="1"/>
  <c r="W26" i="13" s="1"/>
  <c r="W27" i="13" s="1"/>
  <c r="CP12" i="14"/>
  <c r="CP13" i="14" s="1"/>
  <c r="CP14" i="14" s="1"/>
  <c r="CP15" i="14" s="1"/>
  <c r="CP16" i="14" s="1"/>
  <c r="CP17" i="14" s="1"/>
  <c r="CP18" i="14" s="1"/>
  <c r="CP19" i="14" s="1"/>
  <c r="CP20" i="14" s="1"/>
  <c r="CP21" i="14" s="1"/>
  <c r="CP22" i="14" s="1"/>
  <c r="CP23" i="14" s="1"/>
  <c r="CP24" i="14" s="1"/>
  <c r="CP25" i="14" s="1"/>
  <c r="CP26" i="14" s="1"/>
  <c r="CP27" i="14" s="1"/>
  <c r="DO12" i="14"/>
  <c r="DO13" i="14" s="1"/>
  <c r="DO14" i="14" s="1"/>
  <c r="DO15" i="14" s="1"/>
  <c r="DO16" i="14" s="1"/>
  <c r="DO17" i="14" s="1"/>
  <c r="DO18" i="14" s="1"/>
  <c r="DO19" i="14" s="1"/>
  <c r="DO20" i="14" s="1"/>
  <c r="DO21" i="14" s="1"/>
  <c r="DO22" i="14" s="1"/>
  <c r="DO23" i="14" s="1"/>
  <c r="DO24" i="14" s="1"/>
  <c r="DO25" i="14" s="1"/>
  <c r="DO26" i="14" s="1"/>
  <c r="DO27" i="14" s="1"/>
  <c r="AU12" i="13"/>
  <c r="AU13" i="13" s="1"/>
  <c r="AU14" i="13" s="1"/>
  <c r="AU15" i="13" s="1"/>
  <c r="AU16" i="13" s="1"/>
  <c r="AU17" i="13" s="1"/>
  <c r="AU18" i="13" s="1"/>
  <c r="AU19" i="13" s="1"/>
  <c r="AU20" i="13" s="1"/>
  <c r="AU21" i="13" s="1"/>
  <c r="AU22" i="13" s="1"/>
  <c r="AU23" i="13" s="1"/>
  <c r="AU24" i="13" s="1"/>
  <c r="AU25" i="13" s="1"/>
  <c r="AU26" i="13" s="1"/>
  <c r="AU27" i="13" s="1"/>
  <c r="BS12" i="15"/>
  <c r="BS13" i="15" s="1"/>
  <c r="BS14" i="15" s="1"/>
  <c r="BS15" i="15" s="1"/>
  <c r="BS16" i="15" s="1"/>
  <c r="BS17" i="15" s="1"/>
  <c r="BS18" i="15" s="1"/>
  <c r="BS19" i="15" s="1"/>
  <c r="BS20" i="15" s="1"/>
  <c r="BS21" i="15" s="1"/>
  <c r="BS22" i="15" s="1"/>
  <c r="BS23" i="15" s="1"/>
  <c r="BS24" i="15" s="1"/>
  <c r="BS25" i="15" s="1"/>
  <c r="BS26" i="15" s="1"/>
  <c r="BS27" i="15" s="1"/>
  <c r="AU12" i="14"/>
  <c r="AU13" i="14" s="1"/>
  <c r="AU14" i="14" s="1"/>
  <c r="AU15" i="14" s="1"/>
  <c r="AU16" i="14" s="1"/>
  <c r="AU17" i="14" s="1"/>
  <c r="AU18" i="14" s="1"/>
  <c r="AU19" i="14" s="1"/>
  <c r="AU20" i="14" s="1"/>
  <c r="AU21" i="14" s="1"/>
  <c r="AU22" i="14" s="1"/>
  <c r="AU23" i="14" s="1"/>
  <c r="AU24" i="14" s="1"/>
  <c r="AU25" i="14" s="1"/>
  <c r="AU26" i="14" s="1"/>
  <c r="AU27" i="14" s="1"/>
  <c r="DN12" i="13"/>
  <c r="DN13" i="13" s="1"/>
  <c r="DN14" i="13" s="1"/>
  <c r="DN15" i="13" s="1"/>
  <c r="DN16" i="13" s="1"/>
  <c r="DN17" i="13" s="1"/>
  <c r="DN18" i="13" s="1"/>
  <c r="DN19" i="13" s="1"/>
  <c r="DN20" i="13" s="1"/>
  <c r="DN21" i="13" s="1"/>
  <c r="DN22" i="13" s="1"/>
  <c r="DN23" i="13" s="1"/>
  <c r="DN24" i="13" s="1"/>
  <c r="DN25" i="13" s="1"/>
  <c r="DN26" i="13" s="1"/>
  <c r="DN27" i="13" s="1"/>
  <c r="DN12" i="16"/>
  <c r="DN13" i="16" s="1"/>
  <c r="DN14" i="16" s="1"/>
  <c r="DN15" i="16" s="1"/>
  <c r="DN16" i="16" s="1"/>
  <c r="DN17" i="16" s="1"/>
  <c r="DN18" i="16" s="1"/>
  <c r="DN19" i="16" s="1"/>
  <c r="DN20" i="16" s="1"/>
  <c r="DN21" i="16" s="1"/>
  <c r="DN22" i="16" s="1"/>
  <c r="DN23" i="16" s="1"/>
  <c r="DN24" i="16" s="1"/>
  <c r="DN25" i="16" s="1"/>
  <c r="DN26" i="16" s="1"/>
  <c r="DN27" i="16" s="1"/>
  <c r="V12" i="14"/>
  <c r="V13" i="14" s="1"/>
  <c r="V14" i="14" s="1"/>
  <c r="V15" i="14" s="1"/>
  <c r="V16" i="14" s="1"/>
  <c r="V17" i="14" s="1"/>
  <c r="V18" i="14" s="1"/>
  <c r="V19" i="14" s="1"/>
  <c r="V20" i="14" s="1"/>
  <c r="V21" i="14" s="1"/>
  <c r="V22" i="14" s="1"/>
  <c r="V23" i="14" s="1"/>
  <c r="V24" i="14" s="1"/>
  <c r="V25" i="14" s="1"/>
  <c r="V26" i="14" s="1"/>
  <c r="V27" i="14" s="1"/>
  <c r="CQ88" i="15"/>
  <c r="CQ89" i="15" s="1"/>
  <c r="CQ90" i="15" s="1"/>
  <c r="CQ91" i="15" s="1"/>
  <c r="CQ92" i="15" s="1"/>
  <c r="CQ93" i="15" s="1"/>
  <c r="CQ94" i="15" s="1"/>
  <c r="CQ95" i="15" s="1"/>
  <c r="CQ96" i="15" s="1"/>
  <c r="CQ97" i="15" s="1"/>
  <c r="CQ98" i="15" s="1"/>
  <c r="CQ99" i="15" s="1"/>
  <c r="CQ100" i="15" s="1"/>
  <c r="CQ101" i="15" s="1"/>
  <c r="CQ102" i="15" s="1"/>
  <c r="CQ103" i="15" s="1"/>
  <c r="CP12" i="15"/>
  <c r="CP13" i="15" s="1"/>
  <c r="CP14" i="15" s="1"/>
  <c r="CP15" i="15" s="1"/>
  <c r="CP16" i="15" s="1"/>
  <c r="CP17" i="15" s="1"/>
  <c r="CP18" i="15" s="1"/>
  <c r="CP19" i="15" s="1"/>
  <c r="CP20" i="15" s="1"/>
  <c r="CP21" i="15" s="1"/>
  <c r="CP22" i="15" s="1"/>
  <c r="CP23" i="15" s="1"/>
  <c r="CP24" i="15" s="1"/>
  <c r="CP25" i="15" s="1"/>
  <c r="CP26" i="15" s="1"/>
  <c r="CP27" i="15" s="1"/>
  <c r="BR12" i="16"/>
  <c r="BR13" i="16" s="1"/>
  <c r="BR14" i="16" s="1"/>
  <c r="BR15" i="16" s="1"/>
  <c r="BR16" i="16" s="1"/>
  <c r="BR17" i="16" s="1"/>
  <c r="BR18" i="16" s="1"/>
  <c r="BR19" i="16" s="1"/>
  <c r="BR20" i="16" s="1"/>
  <c r="BR21" i="16" s="1"/>
  <c r="BR22" i="16" s="1"/>
  <c r="BR23" i="16" s="1"/>
  <c r="BR24" i="16" s="1"/>
  <c r="BR25" i="16" s="1"/>
  <c r="BR26" i="16" s="1"/>
  <c r="BR27" i="16" s="1"/>
  <c r="V12" i="13"/>
  <c r="V13" i="13" s="1"/>
  <c r="V14" i="13" s="1"/>
  <c r="V15" i="13" s="1"/>
  <c r="V16" i="13" s="1"/>
  <c r="V17" i="13" s="1"/>
  <c r="V18" i="13" s="1"/>
  <c r="V19" i="13" s="1"/>
  <c r="V20" i="13" s="1"/>
  <c r="V21" i="13" s="1"/>
  <c r="V22" i="13" s="1"/>
  <c r="V23" i="13" s="1"/>
  <c r="V24" i="13" s="1"/>
  <c r="V25" i="13" s="1"/>
  <c r="V26" i="13" s="1"/>
  <c r="V27" i="13" s="1"/>
  <c r="BR12" i="14"/>
  <c r="BR13" i="14" s="1"/>
  <c r="BR14" i="14" s="1"/>
  <c r="BR15" i="14" s="1"/>
  <c r="BR16" i="14" s="1"/>
  <c r="BR17" i="14" s="1"/>
  <c r="BR18" i="14" s="1"/>
  <c r="BR19" i="14" s="1"/>
  <c r="BR20" i="14" s="1"/>
  <c r="BR21" i="14" s="1"/>
  <c r="BR22" i="14" s="1"/>
  <c r="BR23" i="14" s="1"/>
  <c r="BR24" i="14" s="1"/>
  <c r="BR25" i="14" s="1"/>
  <c r="BR26" i="14" s="1"/>
  <c r="BR27" i="14" s="1"/>
  <c r="AT12" i="13"/>
  <c r="AT13" i="13" s="1"/>
  <c r="AT14" i="13" s="1"/>
  <c r="AT15" i="13" s="1"/>
  <c r="AT16" i="13" s="1"/>
  <c r="AT17" i="13" s="1"/>
  <c r="AT18" i="13" s="1"/>
  <c r="AT19" i="13" s="1"/>
  <c r="AT20" i="13" s="1"/>
  <c r="AT21" i="13" s="1"/>
  <c r="AT22" i="13" s="1"/>
  <c r="AT23" i="13" s="1"/>
  <c r="AT24" i="13" s="1"/>
  <c r="AT25" i="13" s="1"/>
  <c r="AT26" i="13" s="1"/>
  <c r="AT27" i="13" s="1"/>
  <c r="CQ12" i="16"/>
  <c r="CQ13" i="16" s="1"/>
  <c r="CQ14" i="16" s="1"/>
  <c r="CQ15" i="16" s="1"/>
  <c r="CQ16" i="16" s="1"/>
  <c r="CQ17" i="16" s="1"/>
  <c r="CQ18" i="16" s="1"/>
  <c r="CQ19" i="16" s="1"/>
  <c r="CQ20" i="16" s="1"/>
  <c r="CQ21" i="16" s="1"/>
  <c r="CQ22" i="16" s="1"/>
  <c r="CQ23" i="16" s="1"/>
  <c r="CQ24" i="16" s="1"/>
  <c r="CQ25" i="16" s="1"/>
  <c r="CQ26" i="16" s="1"/>
  <c r="CQ27" i="16" s="1"/>
  <c r="BS12" i="16"/>
  <c r="BS13" i="16" s="1"/>
  <c r="BS14" i="16" s="1"/>
  <c r="BS15" i="16" s="1"/>
  <c r="BS16" i="16" s="1"/>
  <c r="BS17" i="16" s="1"/>
  <c r="BS18" i="16" s="1"/>
  <c r="BS19" i="16" s="1"/>
  <c r="BS20" i="16" s="1"/>
  <c r="BS21" i="16" s="1"/>
  <c r="BS22" i="16" s="1"/>
  <c r="BS23" i="16" s="1"/>
  <c r="BS24" i="16" s="1"/>
  <c r="BS25" i="16" s="1"/>
  <c r="BS26" i="16" s="1"/>
  <c r="BS27" i="16" s="1"/>
  <c r="BS12" i="14"/>
  <c r="BS13" i="14" s="1"/>
  <c r="BS14" i="14" s="1"/>
  <c r="BS15" i="14" s="1"/>
  <c r="BS16" i="14" s="1"/>
  <c r="BS17" i="14" s="1"/>
  <c r="BS18" i="14" s="1"/>
  <c r="BS19" i="14" s="1"/>
  <c r="BS20" i="14" s="1"/>
  <c r="BS21" i="14" s="1"/>
  <c r="BS22" i="14" s="1"/>
  <c r="BS23" i="14" s="1"/>
  <c r="BS24" i="14" s="1"/>
  <c r="BS25" i="14" s="1"/>
  <c r="BS26" i="14" s="1"/>
  <c r="BS27" i="14" s="1"/>
  <c r="CQ12" i="15"/>
  <c r="CQ13" i="15" s="1"/>
  <c r="CQ14" i="15" s="1"/>
  <c r="CQ15" i="15" s="1"/>
  <c r="CQ16" i="15" s="1"/>
  <c r="CQ17" i="15" s="1"/>
  <c r="CQ18" i="15" s="1"/>
  <c r="CQ19" i="15" s="1"/>
  <c r="CQ20" i="15" s="1"/>
  <c r="CQ21" i="15" s="1"/>
  <c r="CQ22" i="15" s="1"/>
  <c r="CQ23" i="15" s="1"/>
  <c r="CQ24" i="15" s="1"/>
  <c r="CQ25" i="15" s="1"/>
  <c r="CQ26" i="15" s="1"/>
  <c r="CQ27" i="15" s="1"/>
  <c r="AU88" i="15"/>
  <c r="AU89" i="15" s="1"/>
  <c r="AU90" i="15" s="1"/>
  <c r="AU91" i="15" s="1"/>
  <c r="AU92" i="15" s="1"/>
  <c r="AU93" i="15" s="1"/>
  <c r="AU94" i="15" s="1"/>
  <c r="AU95" i="15" s="1"/>
  <c r="AU96" i="15" s="1"/>
  <c r="AU97" i="15" s="1"/>
  <c r="AU98" i="15" s="1"/>
  <c r="AU99" i="15" s="1"/>
  <c r="AU100" i="15" s="1"/>
  <c r="AU101" i="15" s="1"/>
  <c r="AU102" i="15" s="1"/>
  <c r="AU103" i="15" s="1"/>
  <c r="AI65" i="10"/>
  <c r="AT113" i="15"/>
  <c r="AT114" i="15" s="1"/>
  <c r="AT115" i="15" s="1"/>
  <c r="AT116" i="15" s="1"/>
  <c r="AT117" i="15" s="1"/>
  <c r="AT118" i="15" s="1"/>
  <c r="AT119" i="15" s="1"/>
  <c r="AT120" i="15" s="1"/>
  <c r="AT121" i="15" s="1"/>
  <c r="AT122" i="15" s="1"/>
  <c r="AT123" i="15" s="1"/>
  <c r="AT124" i="15" s="1"/>
  <c r="AT125" i="15" s="1"/>
  <c r="AT126" i="15" s="1"/>
  <c r="AT127" i="15" s="1"/>
  <c r="AT128" i="15" s="1"/>
  <c r="CQ113" i="15"/>
  <c r="CQ114" i="15" s="1"/>
  <c r="CQ115" i="15" s="1"/>
  <c r="CQ116" i="15" s="1"/>
  <c r="CQ117" i="15" s="1"/>
  <c r="CQ118" i="15" s="1"/>
  <c r="CQ119" i="15" s="1"/>
  <c r="CQ120" i="15" s="1"/>
  <c r="CQ121" i="15" s="1"/>
  <c r="CQ122" i="15" s="1"/>
  <c r="CQ123" i="15" s="1"/>
  <c r="CQ124" i="15" s="1"/>
  <c r="CQ125" i="15" s="1"/>
  <c r="CQ126" i="15" s="1"/>
  <c r="CQ127" i="15" s="1"/>
  <c r="CQ128" i="15" s="1"/>
  <c r="AU113" i="15"/>
  <c r="AU114" i="15" s="1"/>
  <c r="AU115" i="15" s="1"/>
  <c r="AU116" i="15" s="1"/>
  <c r="AU117" i="15" s="1"/>
  <c r="AU118" i="15" s="1"/>
  <c r="AU119" i="15" s="1"/>
  <c r="AU120" i="15" s="1"/>
  <c r="AU121" i="15" s="1"/>
  <c r="AU122" i="15" s="1"/>
  <c r="AU123" i="15" s="1"/>
  <c r="AU124" i="15" s="1"/>
  <c r="AU125" i="15" s="1"/>
  <c r="AU126" i="15" s="1"/>
  <c r="AU127" i="15" s="1"/>
  <c r="AU128" i="15" s="1"/>
  <c r="AD163" i="14"/>
  <c r="AD165" i="14" s="1"/>
  <c r="AD167" i="14" s="1"/>
  <c r="AD164" i="14"/>
  <c r="AD166" i="14" s="1"/>
  <c r="AD168" i="14" s="1"/>
  <c r="AD166" i="13"/>
  <c r="AD168" i="13" s="1"/>
  <c r="F25" i="12"/>
  <c r="AF166" i="14"/>
  <c r="AF168" i="14" s="1"/>
  <c r="G17" i="12"/>
  <c r="E31" i="12"/>
  <c r="Z166" i="14"/>
  <c r="Z168" i="14" s="1"/>
  <c r="I39" i="12"/>
  <c r="I40" i="12"/>
  <c r="X163" i="15"/>
  <c r="X165" i="15" s="1"/>
  <c r="X167" i="15" s="1"/>
  <c r="X164" i="15"/>
  <c r="Y166" i="14"/>
  <c r="Y168" i="14" s="1"/>
  <c r="E24" i="12"/>
  <c r="Y166" i="13"/>
  <c r="Y168" i="13" s="1"/>
  <c r="E17" i="12"/>
  <c r="AB166" i="15"/>
  <c r="AB168" i="15" s="1"/>
  <c r="F32" i="12"/>
  <c r="W166" i="15"/>
  <c r="W168" i="15" s="1"/>
  <c r="F31" i="12"/>
  <c r="AE166" i="14"/>
  <c r="AE168" i="14" s="1"/>
  <c r="H25" i="12"/>
  <c r="I38" i="12"/>
  <c r="AD166" i="15"/>
  <c r="AD168" i="15" s="1"/>
  <c r="E32" i="12"/>
  <c r="AC166" i="14"/>
  <c r="AC168" i="14" s="1"/>
  <c r="G25" i="12"/>
  <c r="AA166" i="13"/>
  <c r="AA168" i="13" s="1"/>
  <c r="D17" i="12"/>
  <c r="AE166" i="15"/>
  <c r="AE168" i="15" s="1"/>
  <c r="H32" i="12"/>
  <c r="W166" i="13"/>
  <c r="W168" i="13" s="1"/>
  <c r="F17" i="12"/>
  <c r="AA166" i="14"/>
  <c r="AA168" i="14" s="1"/>
  <c r="D24" i="12"/>
  <c r="AB166" i="13"/>
  <c r="AB168" i="13" s="1"/>
  <c r="F18" i="12"/>
  <c r="AA166" i="15"/>
  <c r="AA168" i="15" s="1"/>
  <c r="D31" i="12"/>
  <c r="X166" i="14"/>
  <c r="X168" i="14" s="1"/>
  <c r="G24" i="12"/>
  <c r="AF166" i="13"/>
  <c r="AF168" i="13" s="1"/>
  <c r="D18" i="12"/>
  <c r="AE166" i="13"/>
  <c r="AE168" i="13" s="1"/>
  <c r="H18" i="12"/>
  <c r="D32" i="12"/>
  <c r="AC166" i="13"/>
  <c r="AC168" i="13" s="1"/>
  <c r="G18" i="12"/>
  <c r="Z166" i="13"/>
  <c r="Z168" i="13" s="1"/>
  <c r="H17" i="12"/>
  <c r="W166" i="14"/>
  <c r="W168" i="14" s="1"/>
  <c r="F24" i="12"/>
  <c r="AC166" i="15"/>
  <c r="AC168" i="15" s="1"/>
  <c r="G32" i="12"/>
  <c r="Z163" i="15"/>
  <c r="Z165" i="15" s="1"/>
  <c r="Z167" i="15" s="1"/>
  <c r="Z164" i="15"/>
  <c r="G36" i="12"/>
  <c r="S166" i="15"/>
  <c r="S168" i="15" s="1"/>
  <c r="V166" i="15"/>
  <c r="V168" i="15" s="1"/>
  <c r="D36" i="12"/>
  <c r="F36" i="12"/>
  <c r="R166" i="15"/>
  <c r="R168" i="15" s="1"/>
  <c r="R166" i="14"/>
  <c r="R168" i="14" s="1"/>
  <c r="F29" i="12"/>
  <c r="G29" i="12"/>
  <c r="S166" i="14"/>
  <c r="S168" i="14" s="1"/>
  <c r="E29" i="12"/>
  <c r="T166" i="14"/>
  <c r="T168" i="14" s="1"/>
  <c r="U166" i="14"/>
  <c r="U168" i="14" s="1"/>
  <c r="H29" i="12"/>
  <c r="V166" i="14"/>
  <c r="V168" i="14" s="1"/>
  <c r="D29" i="12"/>
  <c r="E36" i="12"/>
  <c r="T166" i="15"/>
  <c r="T168" i="15" s="1"/>
  <c r="U166" i="15"/>
  <c r="U168" i="15" s="1"/>
  <c r="H36" i="12"/>
  <c r="I43" i="12"/>
  <c r="R161" i="13"/>
  <c r="R164" i="13" s="1"/>
  <c r="S166" i="13"/>
  <c r="S168" i="13" s="1"/>
  <c r="G22" i="12"/>
  <c r="U166" i="13"/>
  <c r="U168" i="13" s="1"/>
  <c r="H22" i="12"/>
  <c r="V166" i="13"/>
  <c r="V168" i="13" s="1"/>
  <c r="D22" i="12"/>
  <c r="T166" i="13"/>
  <c r="T168" i="13" s="1"/>
  <c r="E22" i="12"/>
  <c r="BQ27" i="16"/>
  <c r="J162" i="16" s="1"/>
  <c r="J163" i="16" s="1"/>
  <c r="AI14" i="10"/>
  <c r="J81" i="22"/>
  <c r="F61" i="22"/>
  <c r="AH40" i="10"/>
  <c r="E81" i="22"/>
  <c r="AI41" i="10"/>
  <c r="K82" i="22"/>
  <c r="AH14" i="10"/>
  <c r="D81" i="22"/>
  <c r="V29" i="8"/>
  <c r="V27" i="8" s="1"/>
  <c r="BQ38" i="14"/>
  <c r="BQ39" i="14" s="1"/>
  <c r="BQ40" i="14" s="1"/>
  <c r="BQ41" i="14" s="1"/>
  <c r="BQ42" i="14" s="1"/>
  <c r="BQ43" i="14" s="1"/>
  <c r="BQ44" i="14" s="1"/>
  <c r="BQ45" i="14" s="1"/>
  <c r="BQ46" i="14" s="1"/>
  <c r="BQ47" i="14" s="1"/>
  <c r="BQ48" i="14" s="1"/>
  <c r="BQ49" i="14" s="1"/>
  <c r="BQ50" i="14" s="1"/>
  <c r="BQ51" i="14" s="1"/>
  <c r="BQ52" i="14" s="1"/>
  <c r="BQ53" i="14" s="1"/>
  <c r="O162" i="14" s="1"/>
  <c r="BH38" i="14"/>
  <c r="BI38" i="14"/>
  <c r="AS38" i="15"/>
  <c r="AJ38" i="15"/>
  <c r="AK38" i="15"/>
  <c r="BQ38" i="15"/>
  <c r="BQ39" i="15" s="1"/>
  <c r="BQ40" i="15" s="1"/>
  <c r="BQ41" i="15" s="1"/>
  <c r="BQ42" i="15" s="1"/>
  <c r="BQ43" i="15" s="1"/>
  <c r="BQ44" i="15" s="1"/>
  <c r="BQ45" i="15" s="1"/>
  <c r="BQ46" i="15" s="1"/>
  <c r="BQ47" i="15" s="1"/>
  <c r="BQ48" i="15" s="1"/>
  <c r="BQ49" i="15" s="1"/>
  <c r="BQ50" i="15" s="1"/>
  <c r="BQ51" i="15" s="1"/>
  <c r="BQ52" i="15" s="1"/>
  <c r="BQ53" i="15" s="1"/>
  <c r="O162" i="15" s="1"/>
  <c r="BH38" i="15"/>
  <c r="BI38" i="15"/>
  <c r="BQ38" i="13"/>
  <c r="BQ39" i="13" s="1"/>
  <c r="BQ40" i="13" s="1"/>
  <c r="BQ41" i="13" s="1"/>
  <c r="BQ42" i="13" s="1"/>
  <c r="BQ43" i="13" s="1"/>
  <c r="BQ44" i="13" s="1"/>
  <c r="BQ45" i="13" s="1"/>
  <c r="BQ46" i="13" s="1"/>
  <c r="BQ47" i="13" s="1"/>
  <c r="BQ48" i="13" s="1"/>
  <c r="BQ49" i="13" s="1"/>
  <c r="BQ50" i="13" s="1"/>
  <c r="BQ51" i="13" s="1"/>
  <c r="BQ52" i="13" s="1"/>
  <c r="BQ53" i="13" s="1"/>
  <c r="O162" i="13" s="1"/>
  <c r="BH38" i="13"/>
  <c r="BI38" i="13"/>
  <c r="CO38" i="15"/>
  <c r="CO39" i="15" s="1"/>
  <c r="CO40" i="15" s="1"/>
  <c r="CO41" i="15" s="1"/>
  <c r="CO42" i="15" s="1"/>
  <c r="CO43" i="15" s="1"/>
  <c r="CO44" i="15" s="1"/>
  <c r="CO45" i="15" s="1"/>
  <c r="CO46" i="15" s="1"/>
  <c r="CO47" i="15" s="1"/>
  <c r="CO48" i="15" s="1"/>
  <c r="CO49" i="15" s="1"/>
  <c r="CO50" i="15" s="1"/>
  <c r="CO51" i="15" s="1"/>
  <c r="CO52" i="15" s="1"/>
  <c r="CO53" i="15" s="1"/>
  <c r="P162" i="15" s="1"/>
  <c r="CF38" i="15"/>
  <c r="CG38" i="15"/>
  <c r="BQ38" i="16"/>
  <c r="BQ39" i="16" s="1"/>
  <c r="BQ40" i="16" s="1"/>
  <c r="BQ41" i="16" s="1"/>
  <c r="BQ42" i="16" s="1"/>
  <c r="BQ43" i="16" s="1"/>
  <c r="BQ44" i="16" s="1"/>
  <c r="BQ45" i="16" s="1"/>
  <c r="BQ46" i="16" s="1"/>
  <c r="BQ47" i="16" s="1"/>
  <c r="BQ48" i="16" s="1"/>
  <c r="BQ49" i="16" s="1"/>
  <c r="BQ50" i="16" s="1"/>
  <c r="BQ51" i="16" s="1"/>
  <c r="BQ52" i="16" s="1"/>
  <c r="BQ53" i="16" s="1"/>
  <c r="O162" i="16" s="1"/>
  <c r="BH38" i="16"/>
  <c r="BI38" i="16"/>
  <c r="DM38" i="13"/>
  <c r="DM39" i="13" s="1"/>
  <c r="DM40" i="13" s="1"/>
  <c r="DM41" i="13" s="1"/>
  <c r="DM42" i="13" s="1"/>
  <c r="DM43" i="13" s="1"/>
  <c r="DM44" i="13" s="1"/>
  <c r="DM45" i="13" s="1"/>
  <c r="DM46" i="13" s="1"/>
  <c r="DM47" i="13" s="1"/>
  <c r="DM48" i="13" s="1"/>
  <c r="DM49" i="13" s="1"/>
  <c r="DM50" i="13" s="1"/>
  <c r="DM51" i="13" s="1"/>
  <c r="DM52" i="13" s="1"/>
  <c r="DM53" i="13" s="1"/>
  <c r="Q162" i="13" s="1"/>
  <c r="DD38" i="13"/>
  <c r="DE38" i="13"/>
  <c r="DM38" i="14"/>
  <c r="DM39" i="14" s="1"/>
  <c r="DM40" i="14" s="1"/>
  <c r="DM41" i="14" s="1"/>
  <c r="DM42" i="14" s="1"/>
  <c r="DM43" i="14" s="1"/>
  <c r="DM44" i="14" s="1"/>
  <c r="DM45" i="14" s="1"/>
  <c r="DM46" i="14" s="1"/>
  <c r="DM47" i="14" s="1"/>
  <c r="DM48" i="14" s="1"/>
  <c r="DM49" i="14" s="1"/>
  <c r="DM50" i="14" s="1"/>
  <c r="DM51" i="14" s="1"/>
  <c r="DM52" i="14" s="1"/>
  <c r="DM53" i="14" s="1"/>
  <c r="Q162" i="14" s="1"/>
  <c r="DD38" i="14"/>
  <c r="DE38" i="14"/>
  <c r="CO38" i="16"/>
  <c r="CO39" i="16" s="1"/>
  <c r="CO40" i="16" s="1"/>
  <c r="CO41" i="16" s="1"/>
  <c r="CO42" i="16" s="1"/>
  <c r="CO43" i="16" s="1"/>
  <c r="CO44" i="16" s="1"/>
  <c r="CO45" i="16" s="1"/>
  <c r="CO46" i="16" s="1"/>
  <c r="CO47" i="16" s="1"/>
  <c r="CO48" i="16" s="1"/>
  <c r="CO49" i="16" s="1"/>
  <c r="CO50" i="16" s="1"/>
  <c r="CO51" i="16" s="1"/>
  <c r="CO52" i="16" s="1"/>
  <c r="CO53" i="16" s="1"/>
  <c r="P162" i="16" s="1"/>
  <c r="CF38" i="16"/>
  <c r="CG38" i="16"/>
  <c r="U38" i="13"/>
  <c r="U39" i="13" s="1"/>
  <c r="U40" i="13" s="1"/>
  <c r="U41" i="13" s="1"/>
  <c r="U42" i="13" s="1"/>
  <c r="U43" i="13" s="1"/>
  <c r="U44" i="13" s="1"/>
  <c r="U45" i="13" s="1"/>
  <c r="U46" i="13" s="1"/>
  <c r="U47" i="13" s="1"/>
  <c r="U48" i="13" s="1"/>
  <c r="U49" i="13" s="1"/>
  <c r="U50" i="13" s="1"/>
  <c r="U51" i="13" s="1"/>
  <c r="U52" i="13" s="1"/>
  <c r="U53" i="13" s="1"/>
  <c r="M162" i="13" s="1"/>
  <c r="L38" i="13"/>
  <c r="M38" i="13"/>
  <c r="DM38" i="15"/>
  <c r="DM39" i="15" s="1"/>
  <c r="DM40" i="15" s="1"/>
  <c r="DM41" i="15" s="1"/>
  <c r="DM42" i="15" s="1"/>
  <c r="DM43" i="15" s="1"/>
  <c r="DM44" i="15" s="1"/>
  <c r="DM45" i="15" s="1"/>
  <c r="DM46" i="15" s="1"/>
  <c r="DM47" i="15" s="1"/>
  <c r="DM48" i="15" s="1"/>
  <c r="DM49" i="15" s="1"/>
  <c r="DM50" i="15" s="1"/>
  <c r="DM51" i="15" s="1"/>
  <c r="DM52" i="15" s="1"/>
  <c r="DM53" i="15" s="1"/>
  <c r="Q162" i="15" s="1"/>
  <c r="DD38" i="15"/>
  <c r="DE38" i="15"/>
  <c r="CO38" i="14"/>
  <c r="CO39" i="14" s="1"/>
  <c r="CO40" i="14" s="1"/>
  <c r="CO41" i="14" s="1"/>
  <c r="CO42" i="14" s="1"/>
  <c r="CO43" i="14" s="1"/>
  <c r="CO44" i="14" s="1"/>
  <c r="CO45" i="14" s="1"/>
  <c r="CO46" i="14" s="1"/>
  <c r="CO47" i="14" s="1"/>
  <c r="CO48" i="14" s="1"/>
  <c r="CO49" i="14" s="1"/>
  <c r="CO50" i="14" s="1"/>
  <c r="CO51" i="14" s="1"/>
  <c r="CO52" i="14" s="1"/>
  <c r="CO53" i="14" s="1"/>
  <c r="P162" i="14" s="1"/>
  <c r="CF38" i="14"/>
  <c r="CG38" i="14"/>
  <c r="DM38" i="16"/>
  <c r="DM39" i="16" s="1"/>
  <c r="DM40" i="16" s="1"/>
  <c r="DM41" i="16" s="1"/>
  <c r="DM42" i="16" s="1"/>
  <c r="DM43" i="16" s="1"/>
  <c r="DM44" i="16" s="1"/>
  <c r="DM45" i="16" s="1"/>
  <c r="DM46" i="16" s="1"/>
  <c r="DM47" i="16" s="1"/>
  <c r="DM48" i="16" s="1"/>
  <c r="DM49" i="16" s="1"/>
  <c r="DM50" i="16" s="1"/>
  <c r="DM51" i="16" s="1"/>
  <c r="DM52" i="16" s="1"/>
  <c r="DM53" i="16" s="1"/>
  <c r="Q162" i="16" s="1"/>
  <c r="DD38" i="16"/>
  <c r="DE38" i="16"/>
  <c r="U38" i="14"/>
  <c r="U39" i="14" s="1"/>
  <c r="U40" i="14" s="1"/>
  <c r="U41" i="14" s="1"/>
  <c r="U42" i="14" s="1"/>
  <c r="U43" i="14" s="1"/>
  <c r="U44" i="14" s="1"/>
  <c r="U45" i="14" s="1"/>
  <c r="U46" i="14" s="1"/>
  <c r="U47" i="14" s="1"/>
  <c r="U48" i="14" s="1"/>
  <c r="U49" i="14" s="1"/>
  <c r="U50" i="14" s="1"/>
  <c r="U51" i="14" s="1"/>
  <c r="U52" i="14" s="1"/>
  <c r="U53" i="14" s="1"/>
  <c r="M162" i="14" s="1"/>
  <c r="L38" i="14"/>
  <c r="M38" i="14"/>
  <c r="AS38" i="14"/>
  <c r="AJ38" i="14"/>
  <c r="AK38" i="14"/>
  <c r="AS38" i="13"/>
  <c r="AJ38" i="13"/>
  <c r="AK38" i="13"/>
  <c r="CO38" i="13"/>
  <c r="CO39" i="13" s="1"/>
  <c r="CO40" i="13" s="1"/>
  <c r="CO41" i="13" s="1"/>
  <c r="CO42" i="13" s="1"/>
  <c r="CO43" i="13" s="1"/>
  <c r="CO44" i="13" s="1"/>
  <c r="CO45" i="13" s="1"/>
  <c r="CO46" i="13" s="1"/>
  <c r="CO47" i="13" s="1"/>
  <c r="CO48" i="13" s="1"/>
  <c r="CO49" i="13" s="1"/>
  <c r="CO50" i="13" s="1"/>
  <c r="CO51" i="13" s="1"/>
  <c r="CO52" i="13" s="1"/>
  <c r="CO53" i="13" s="1"/>
  <c r="P162" i="13" s="1"/>
  <c r="CF38" i="13"/>
  <c r="CG38" i="13"/>
  <c r="AS38" i="16"/>
  <c r="AS39" i="16" s="1"/>
  <c r="AS40" i="16" s="1"/>
  <c r="AS41" i="16" s="1"/>
  <c r="AS42" i="16" s="1"/>
  <c r="AS43" i="16" s="1"/>
  <c r="AS44" i="16" s="1"/>
  <c r="AS45" i="16" s="1"/>
  <c r="AS46" i="16" s="1"/>
  <c r="AS47" i="16" s="1"/>
  <c r="AS48" i="16" s="1"/>
  <c r="AS49" i="16" s="1"/>
  <c r="AS50" i="16" s="1"/>
  <c r="AS51" i="16" s="1"/>
  <c r="AS52" i="16" s="1"/>
  <c r="AS53" i="16" s="1"/>
  <c r="N162" i="16" s="1"/>
  <c r="AJ38" i="16"/>
  <c r="AK38" i="16"/>
  <c r="AG91" i="10"/>
  <c r="AG92" i="10" s="1"/>
  <c r="AG93" i="10" s="1"/>
  <c r="AG94" i="10" s="1"/>
  <c r="AG95" i="10" s="1"/>
  <c r="AG96" i="10" s="1"/>
  <c r="AG97" i="10" s="1"/>
  <c r="AG98" i="10" s="1"/>
  <c r="AG99" i="10" s="1"/>
  <c r="AG100" i="10" s="1"/>
  <c r="AG101" i="10" s="1"/>
  <c r="AG102" i="10" s="1"/>
  <c r="AG103" i="10" s="1"/>
  <c r="AG104" i="10" s="1"/>
  <c r="AG105" i="10" s="1"/>
  <c r="AG106" i="10" s="1"/>
  <c r="X91" i="10"/>
  <c r="Y91" i="10"/>
  <c r="U38" i="15"/>
  <c r="U39" i="15" s="1"/>
  <c r="U40" i="15" s="1"/>
  <c r="U41" i="15" s="1"/>
  <c r="U42" i="15" s="1"/>
  <c r="U43" i="15" s="1"/>
  <c r="U44" i="15" s="1"/>
  <c r="U45" i="15" s="1"/>
  <c r="U46" i="15" s="1"/>
  <c r="U47" i="15" s="1"/>
  <c r="U48" i="15" s="1"/>
  <c r="U49" i="15" s="1"/>
  <c r="U50" i="15" s="1"/>
  <c r="U51" i="15" s="1"/>
  <c r="U52" i="15" s="1"/>
  <c r="U53" i="15" s="1"/>
  <c r="M162" i="15" s="1"/>
  <c r="L38" i="15"/>
  <c r="M38" i="15"/>
  <c r="U38" i="16"/>
  <c r="U39" i="16" s="1"/>
  <c r="U40" i="16" s="1"/>
  <c r="U41" i="16" s="1"/>
  <c r="U42" i="16" s="1"/>
  <c r="U43" i="16" s="1"/>
  <c r="U44" i="16" s="1"/>
  <c r="U45" i="16" s="1"/>
  <c r="U46" i="16" s="1"/>
  <c r="U47" i="16" s="1"/>
  <c r="U48" i="16" s="1"/>
  <c r="U49" i="16" s="1"/>
  <c r="U50" i="16" s="1"/>
  <c r="U51" i="16" s="1"/>
  <c r="U52" i="16" s="1"/>
  <c r="U53" i="16" s="1"/>
  <c r="M162" i="16" s="1"/>
  <c r="L38" i="16"/>
  <c r="M38" i="16"/>
  <c r="K164" i="13"/>
  <c r="I164" i="13"/>
  <c r="J164" i="13"/>
  <c r="E20" i="12" s="1"/>
  <c r="K164" i="15"/>
  <c r="L164" i="14"/>
  <c r="K163" i="14"/>
  <c r="K164" i="14"/>
  <c r="I165" i="14"/>
  <c r="I167" i="14" s="1"/>
  <c r="L165" i="13"/>
  <c r="L167" i="13" s="1"/>
  <c r="K164" i="16"/>
  <c r="H41" i="12" s="1"/>
  <c r="I165" i="13"/>
  <c r="I167" i="13" s="1"/>
  <c r="K165" i="15"/>
  <c r="K167" i="15" s="1"/>
  <c r="J165" i="14"/>
  <c r="J167" i="14" s="1"/>
  <c r="L164" i="13"/>
  <c r="AS12" i="15"/>
  <c r="AS13" i="15" s="1"/>
  <c r="AS14" i="15" s="1"/>
  <c r="AS15" i="15" s="1"/>
  <c r="AS16" i="15" s="1"/>
  <c r="AS17" i="15" s="1"/>
  <c r="AS18" i="15" s="1"/>
  <c r="AS19" i="15" s="1"/>
  <c r="AS20" i="15" s="1"/>
  <c r="AS21" i="15" s="1"/>
  <c r="AS22" i="15" s="1"/>
  <c r="AS23" i="15" s="1"/>
  <c r="AS24" i="15" s="1"/>
  <c r="AS25" i="15" s="1"/>
  <c r="AS26" i="15" s="1"/>
  <c r="AS27" i="15" s="1"/>
  <c r="I162" i="15" s="1"/>
  <c r="AJ12" i="15"/>
  <c r="K165" i="13"/>
  <c r="K167" i="13" s="1"/>
  <c r="L164" i="15"/>
  <c r="I164" i="16"/>
  <c r="G41" i="12" s="1"/>
  <c r="J165" i="13"/>
  <c r="J167" i="13" s="1"/>
  <c r="AK12" i="15"/>
  <c r="L8" i="11"/>
  <c r="L9" i="11" s="1"/>
  <c r="H163" i="14"/>
  <c r="H165" i="14" s="1"/>
  <c r="H167" i="14" s="1"/>
  <c r="H163" i="16"/>
  <c r="H163" i="15"/>
  <c r="H165" i="15" s="1"/>
  <c r="H167" i="15" s="1"/>
  <c r="H163" i="13"/>
  <c r="H165" i="13" s="1"/>
  <c r="H167" i="13" s="1"/>
  <c r="I164" i="14"/>
  <c r="L165" i="15"/>
  <c r="L167" i="15" s="1"/>
  <c r="L165" i="14"/>
  <c r="L167" i="14" s="1"/>
  <c r="J164" i="14"/>
  <c r="L164" i="16"/>
  <c r="D41" i="12" s="1"/>
  <c r="BQ12" i="15"/>
  <c r="BQ13" i="15" s="1"/>
  <c r="BQ14" i="15" s="1"/>
  <c r="BQ15" i="15" s="1"/>
  <c r="BQ16" i="15" s="1"/>
  <c r="BQ17" i="15" s="1"/>
  <c r="BQ18" i="15" s="1"/>
  <c r="BQ19" i="15" s="1"/>
  <c r="BQ20" i="15" s="1"/>
  <c r="BQ21" i="15" s="1"/>
  <c r="BQ22" i="15" s="1"/>
  <c r="BQ23" i="15" s="1"/>
  <c r="BQ24" i="15" s="1"/>
  <c r="BQ25" i="15" s="1"/>
  <c r="BQ26" i="15" s="1"/>
  <c r="BQ27" i="15" s="1"/>
  <c r="J162" i="15" s="1"/>
  <c r="J163" i="15" s="1"/>
  <c r="BH12" i="15"/>
  <c r="L7" i="11"/>
  <c r="R70" i="2"/>
  <c r="S28" i="8" s="1"/>
  <c r="S27" i="8"/>
  <c r="S26" i="8" s="1"/>
  <c r="Y71" i="2"/>
  <c r="Y68" i="2"/>
  <c r="U23" i="8" s="1"/>
  <c r="AF68" i="2"/>
  <c r="W23" i="8" s="1"/>
  <c r="AF71" i="2"/>
  <c r="W29" i="8" s="1"/>
  <c r="L61" i="22" l="1"/>
  <c r="E25" i="12"/>
  <c r="W38" i="15"/>
  <c r="W39" i="15" s="1"/>
  <c r="W40" i="15" s="1"/>
  <c r="W41" i="15" s="1"/>
  <c r="W42" i="15" s="1"/>
  <c r="W43" i="15" s="1"/>
  <c r="W44" i="15" s="1"/>
  <c r="W45" i="15" s="1"/>
  <c r="W46" i="15" s="1"/>
  <c r="W47" i="15" s="1"/>
  <c r="W48" i="15" s="1"/>
  <c r="W49" i="15" s="1"/>
  <c r="W50" i="15" s="1"/>
  <c r="W51" i="15" s="1"/>
  <c r="W52" i="15" s="1"/>
  <c r="W53" i="15" s="1"/>
  <c r="CQ38" i="14"/>
  <c r="CQ39" i="14" s="1"/>
  <c r="CQ40" i="14" s="1"/>
  <c r="CQ41" i="14" s="1"/>
  <c r="CQ42" i="14" s="1"/>
  <c r="CQ43" i="14" s="1"/>
  <c r="CQ44" i="14" s="1"/>
  <c r="CQ45" i="14" s="1"/>
  <c r="CQ46" i="14" s="1"/>
  <c r="CQ47" i="14" s="1"/>
  <c r="CQ48" i="14" s="1"/>
  <c r="CQ49" i="14" s="1"/>
  <c r="CQ50" i="14" s="1"/>
  <c r="CQ51" i="14" s="1"/>
  <c r="CQ52" i="14" s="1"/>
  <c r="CQ53" i="14" s="1"/>
  <c r="DN38" i="15"/>
  <c r="DN39" i="15" s="1"/>
  <c r="DN40" i="15" s="1"/>
  <c r="DN41" i="15" s="1"/>
  <c r="DN42" i="15" s="1"/>
  <c r="DN43" i="15" s="1"/>
  <c r="DN44" i="15" s="1"/>
  <c r="DN45" i="15" s="1"/>
  <c r="DN46" i="15" s="1"/>
  <c r="DN47" i="15" s="1"/>
  <c r="DN48" i="15" s="1"/>
  <c r="DN49" i="15" s="1"/>
  <c r="DN50" i="15" s="1"/>
  <c r="DN51" i="15" s="1"/>
  <c r="DN52" i="15" s="1"/>
  <c r="DN53" i="15" s="1"/>
  <c r="DO38" i="14"/>
  <c r="DO39" i="14" s="1"/>
  <c r="DO40" i="14" s="1"/>
  <c r="DO41" i="14" s="1"/>
  <c r="DO42" i="14" s="1"/>
  <c r="DO43" i="14" s="1"/>
  <c r="DO44" i="14" s="1"/>
  <c r="DO45" i="14" s="1"/>
  <c r="DO46" i="14" s="1"/>
  <c r="DO47" i="14" s="1"/>
  <c r="DO48" i="14" s="1"/>
  <c r="DO49" i="14" s="1"/>
  <c r="DO50" i="14" s="1"/>
  <c r="DO51" i="14" s="1"/>
  <c r="DO52" i="14" s="1"/>
  <c r="DO53" i="14" s="1"/>
  <c r="DN38" i="13"/>
  <c r="DN39" i="13" s="1"/>
  <c r="DN40" i="13" s="1"/>
  <c r="DN41" i="13" s="1"/>
  <c r="DN42" i="13" s="1"/>
  <c r="DN43" i="13" s="1"/>
  <c r="DN44" i="13" s="1"/>
  <c r="DN45" i="13" s="1"/>
  <c r="DN46" i="13" s="1"/>
  <c r="DN47" i="13" s="1"/>
  <c r="DN48" i="13" s="1"/>
  <c r="DN49" i="13" s="1"/>
  <c r="DN50" i="13" s="1"/>
  <c r="DN51" i="13" s="1"/>
  <c r="DN52" i="13" s="1"/>
  <c r="DN53" i="13" s="1"/>
  <c r="AT12" i="15"/>
  <c r="AT13" i="15" s="1"/>
  <c r="AT14" i="15" s="1"/>
  <c r="AT15" i="15" s="1"/>
  <c r="AT16" i="15" s="1"/>
  <c r="AT17" i="15" s="1"/>
  <c r="AT18" i="15" s="1"/>
  <c r="AT19" i="15" s="1"/>
  <c r="AT20" i="15" s="1"/>
  <c r="AT21" i="15" s="1"/>
  <c r="AT22" i="15" s="1"/>
  <c r="AT23" i="15" s="1"/>
  <c r="AT24" i="15" s="1"/>
  <c r="AT25" i="15" s="1"/>
  <c r="AT26" i="15" s="1"/>
  <c r="AT27" i="15" s="1"/>
  <c r="W38" i="16"/>
  <c r="W39" i="16" s="1"/>
  <c r="W40" i="16" s="1"/>
  <c r="W41" i="16" s="1"/>
  <c r="W42" i="16" s="1"/>
  <c r="W43" i="16" s="1"/>
  <c r="W44" i="16" s="1"/>
  <c r="W45" i="16" s="1"/>
  <c r="W46" i="16" s="1"/>
  <c r="W47" i="16" s="1"/>
  <c r="W48" i="16" s="1"/>
  <c r="W49" i="16" s="1"/>
  <c r="W50" i="16" s="1"/>
  <c r="W51" i="16" s="1"/>
  <c r="W52" i="16" s="1"/>
  <c r="W53" i="16" s="1"/>
  <c r="V38" i="15"/>
  <c r="V39" i="15" s="1"/>
  <c r="V40" i="15" s="1"/>
  <c r="V41" i="15" s="1"/>
  <c r="V42" i="15" s="1"/>
  <c r="V43" i="15" s="1"/>
  <c r="V44" i="15" s="1"/>
  <c r="V45" i="15" s="1"/>
  <c r="V46" i="15" s="1"/>
  <c r="V47" i="15" s="1"/>
  <c r="V48" i="15" s="1"/>
  <c r="V49" i="15" s="1"/>
  <c r="V50" i="15" s="1"/>
  <c r="V51" i="15" s="1"/>
  <c r="V52" i="15" s="1"/>
  <c r="V53" i="15" s="1"/>
  <c r="CQ38" i="13"/>
  <c r="CQ39" i="13" s="1"/>
  <c r="CQ40" i="13" s="1"/>
  <c r="CQ41" i="13" s="1"/>
  <c r="CQ42" i="13" s="1"/>
  <c r="CQ43" i="13" s="1"/>
  <c r="CQ44" i="13" s="1"/>
  <c r="CQ45" i="13" s="1"/>
  <c r="CQ46" i="13" s="1"/>
  <c r="CQ47" i="13" s="1"/>
  <c r="CQ48" i="13" s="1"/>
  <c r="CQ49" i="13" s="1"/>
  <c r="CQ50" i="13" s="1"/>
  <c r="CQ51" i="13" s="1"/>
  <c r="CQ52" i="13" s="1"/>
  <c r="CQ53" i="13" s="1"/>
  <c r="AT38" i="13"/>
  <c r="AT39" i="13" s="1"/>
  <c r="AT40" i="13" s="1"/>
  <c r="AT41" i="13" s="1"/>
  <c r="AT42" i="13" s="1"/>
  <c r="AT43" i="13" s="1"/>
  <c r="AT44" i="13" s="1"/>
  <c r="AT45" i="13" s="1"/>
  <c r="AT46" i="13" s="1"/>
  <c r="AT47" i="13" s="1"/>
  <c r="AT48" i="13" s="1"/>
  <c r="AT49" i="13" s="1"/>
  <c r="AT50" i="13" s="1"/>
  <c r="AT51" i="13" s="1"/>
  <c r="AT52" i="13" s="1"/>
  <c r="AT53" i="13" s="1"/>
  <c r="DO38" i="16"/>
  <c r="DO39" i="16" s="1"/>
  <c r="DO40" i="16" s="1"/>
  <c r="DO41" i="16" s="1"/>
  <c r="DO42" i="16" s="1"/>
  <c r="DO43" i="16" s="1"/>
  <c r="DO44" i="16" s="1"/>
  <c r="DO45" i="16" s="1"/>
  <c r="DO46" i="16" s="1"/>
  <c r="DO47" i="16" s="1"/>
  <c r="DO48" i="16" s="1"/>
  <c r="DO49" i="16" s="1"/>
  <c r="DO50" i="16" s="1"/>
  <c r="DO51" i="16" s="1"/>
  <c r="DO52" i="16" s="1"/>
  <c r="DO53" i="16" s="1"/>
  <c r="CP38" i="14"/>
  <c r="CP39" i="14" s="1"/>
  <c r="CP40" i="14" s="1"/>
  <c r="CP41" i="14" s="1"/>
  <c r="CP42" i="14" s="1"/>
  <c r="CP43" i="14" s="1"/>
  <c r="CP44" i="14" s="1"/>
  <c r="CP45" i="14" s="1"/>
  <c r="CP46" i="14" s="1"/>
  <c r="CP47" i="14" s="1"/>
  <c r="CP48" i="14" s="1"/>
  <c r="CP49" i="14" s="1"/>
  <c r="CP50" i="14" s="1"/>
  <c r="CP51" i="14" s="1"/>
  <c r="CP52" i="14" s="1"/>
  <c r="CP53" i="14" s="1"/>
  <c r="CQ38" i="16"/>
  <c r="CQ39" i="16" s="1"/>
  <c r="CQ40" i="16" s="1"/>
  <c r="CQ41" i="16" s="1"/>
  <c r="CQ42" i="16" s="1"/>
  <c r="CQ43" i="16" s="1"/>
  <c r="CQ44" i="16" s="1"/>
  <c r="CQ45" i="16" s="1"/>
  <c r="CQ46" i="16" s="1"/>
  <c r="CQ47" i="16" s="1"/>
  <c r="CQ48" i="16" s="1"/>
  <c r="CQ49" i="16" s="1"/>
  <c r="CQ50" i="16" s="1"/>
  <c r="CQ51" i="16" s="1"/>
  <c r="CQ52" i="16" s="1"/>
  <c r="CQ53" i="16" s="1"/>
  <c r="DN38" i="14"/>
  <c r="DN39" i="14" s="1"/>
  <c r="DN40" i="14" s="1"/>
  <c r="DN41" i="14" s="1"/>
  <c r="DN42" i="14" s="1"/>
  <c r="DN43" i="14" s="1"/>
  <c r="DN44" i="14" s="1"/>
  <c r="DN45" i="14" s="1"/>
  <c r="DN46" i="14" s="1"/>
  <c r="DN47" i="14" s="1"/>
  <c r="DN48" i="14" s="1"/>
  <c r="DN49" i="14" s="1"/>
  <c r="DN50" i="14" s="1"/>
  <c r="DN51" i="14" s="1"/>
  <c r="DN52" i="14" s="1"/>
  <c r="DN53" i="14" s="1"/>
  <c r="CQ38" i="15"/>
  <c r="CQ39" i="15" s="1"/>
  <c r="CQ40" i="15" s="1"/>
  <c r="CQ41" i="15" s="1"/>
  <c r="CQ42" i="15" s="1"/>
  <c r="CQ43" i="15" s="1"/>
  <c r="CQ44" i="15" s="1"/>
  <c r="CQ45" i="15" s="1"/>
  <c r="CQ46" i="15" s="1"/>
  <c r="CQ47" i="15" s="1"/>
  <c r="CQ48" i="15" s="1"/>
  <c r="CQ49" i="15" s="1"/>
  <c r="CQ50" i="15" s="1"/>
  <c r="CQ51" i="15" s="1"/>
  <c r="CQ52" i="15" s="1"/>
  <c r="CQ53" i="15" s="1"/>
  <c r="BR38" i="13"/>
  <c r="BR39" i="13" s="1"/>
  <c r="BR40" i="13" s="1"/>
  <c r="BR41" i="13" s="1"/>
  <c r="BR42" i="13" s="1"/>
  <c r="BR43" i="13" s="1"/>
  <c r="BR44" i="13" s="1"/>
  <c r="BR45" i="13" s="1"/>
  <c r="BR46" i="13" s="1"/>
  <c r="BR47" i="13" s="1"/>
  <c r="BR48" i="13" s="1"/>
  <c r="BR49" i="13" s="1"/>
  <c r="BR50" i="13" s="1"/>
  <c r="BR51" i="13" s="1"/>
  <c r="BR52" i="13" s="1"/>
  <c r="BR53" i="13" s="1"/>
  <c r="BS38" i="14"/>
  <c r="BS39" i="14" s="1"/>
  <c r="BS40" i="14" s="1"/>
  <c r="BS41" i="14" s="1"/>
  <c r="BS42" i="14" s="1"/>
  <c r="BS43" i="14" s="1"/>
  <c r="BS44" i="14" s="1"/>
  <c r="BS45" i="14" s="1"/>
  <c r="BS46" i="14" s="1"/>
  <c r="BS47" i="14" s="1"/>
  <c r="BS48" i="14" s="1"/>
  <c r="BS49" i="14" s="1"/>
  <c r="BS50" i="14" s="1"/>
  <c r="BS51" i="14" s="1"/>
  <c r="BS52" i="14" s="1"/>
  <c r="BS53" i="14" s="1"/>
  <c r="AU12" i="15"/>
  <c r="AU13" i="15" s="1"/>
  <c r="AU14" i="15" s="1"/>
  <c r="AU15" i="15" s="1"/>
  <c r="AU16" i="15" s="1"/>
  <c r="AU17" i="15" s="1"/>
  <c r="AU18" i="15" s="1"/>
  <c r="AU19" i="15" s="1"/>
  <c r="AU20" i="15" s="1"/>
  <c r="AU21" i="15" s="1"/>
  <c r="AU22" i="15" s="1"/>
  <c r="AU23" i="15" s="1"/>
  <c r="AU24" i="15" s="1"/>
  <c r="AU25" i="15" s="1"/>
  <c r="AU26" i="15" s="1"/>
  <c r="AU27" i="15" s="1"/>
  <c r="BR38" i="15"/>
  <c r="BR39" i="15" s="1"/>
  <c r="BR40" i="15" s="1"/>
  <c r="BR41" i="15" s="1"/>
  <c r="BR42" i="15" s="1"/>
  <c r="BR43" i="15" s="1"/>
  <c r="BR44" i="15" s="1"/>
  <c r="BR45" i="15" s="1"/>
  <c r="BR46" i="15" s="1"/>
  <c r="BR47" i="15" s="1"/>
  <c r="BR48" i="15" s="1"/>
  <c r="BR49" i="15" s="1"/>
  <c r="BR50" i="15" s="1"/>
  <c r="BR51" i="15" s="1"/>
  <c r="BR52" i="15" s="1"/>
  <c r="BR53" i="15" s="1"/>
  <c r="V38" i="16"/>
  <c r="V39" i="16" s="1"/>
  <c r="V40" i="16" s="1"/>
  <c r="V41" i="16" s="1"/>
  <c r="V42" i="16" s="1"/>
  <c r="V43" i="16" s="1"/>
  <c r="V44" i="16" s="1"/>
  <c r="V45" i="16" s="1"/>
  <c r="V46" i="16" s="1"/>
  <c r="V47" i="16" s="1"/>
  <c r="V48" i="16" s="1"/>
  <c r="V49" i="16" s="1"/>
  <c r="V50" i="16" s="1"/>
  <c r="V51" i="16" s="1"/>
  <c r="V52" i="16" s="1"/>
  <c r="V53" i="16" s="1"/>
  <c r="AU38" i="16"/>
  <c r="AU39" i="16" s="1"/>
  <c r="AU40" i="16" s="1"/>
  <c r="AU41" i="16" s="1"/>
  <c r="AU42" i="16" s="1"/>
  <c r="AU43" i="16" s="1"/>
  <c r="AU44" i="16" s="1"/>
  <c r="AU45" i="16" s="1"/>
  <c r="AU46" i="16" s="1"/>
  <c r="AU47" i="16" s="1"/>
  <c r="AU48" i="16" s="1"/>
  <c r="AU49" i="16" s="1"/>
  <c r="AU50" i="16" s="1"/>
  <c r="AU51" i="16" s="1"/>
  <c r="AU52" i="16" s="1"/>
  <c r="AU53" i="16" s="1"/>
  <c r="CP38" i="13"/>
  <c r="CP39" i="13" s="1"/>
  <c r="CP40" i="13" s="1"/>
  <c r="CP41" i="13" s="1"/>
  <c r="CP42" i="13" s="1"/>
  <c r="CP43" i="13" s="1"/>
  <c r="CP44" i="13" s="1"/>
  <c r="CP45" i="13" s="1"/>
  <c r="CP46" i="13" s="1"/>
  <c r="CP47" i="13" s="1"/>
  <c r="CP48" i="13" s="1"/>
  <c r="CP49" i="13" s="1"/>
  <c r="CP50" i="13" s="1"/>
  <c r="CP51" i="13" s="1"/>
  <c r="CP52" i="13" s="1"/>
  <c r="CP53" i="13" s="1"/>
  <c r="W38" i="14"/>
  <c r="W39" i="14" s="1"/>
  <c r="W40" i="14" s="1"/>
  <c r="W41" i="14" s="1"/>
  <c r="W42" i="14" s="1"/>
  <c r="W43" i="14" s="1"/>
  <c r="W44" i="14" s="1"/>
  <c r="W45" i="14" s="1"/>
  <c r="W46" i="14" s="1"/>
  <c r="W47" i="14" s="1"/>
  <c r="W48" i="14" s="1"/>
  <c r="W49" i="14" s="1"/>
  <c r="W50" i="14" s="1"/>
  <c r="W51" i="14" s="1"/>
  <c r="W52" i="14" s="1"/>
  <c r="W53" i="14" s="1"/>
  <c r="DN38" i="16"/>
  <c r="DN39" i="16" s="1"/>
  <c r="DN40" i="16" s="1"/>
  <c r="DN41" i="16" s="1"/>
  <c r="DN42" i="16" s="1"/>
  <c r="DN43" i="16" s="1"/>
  <c r="DN44" i="16" s="1"/>
  <c r="DN45" i="16" s="1"/>
  <c r="DN46" i="16" s="1"/>
  <c r="DN47" i="16" s="1"/>
  <c r="DN48" i="16" s="1"/>
  <c r="DN49" i="16" s="1"/>
  <c r="DN50" i="16" s="1"/>
  <c r="DN51" i="16" s="1"/>
  <c r="DN52" i="16" s="1"/>
  <c r="DN53" i="16" s="1"/>
  <c r="W38" i="13"/>
  <c r="W39" i="13" s="1"/>
  <c r="W40" i="13" s="1"/>
  <c r="W41" i="13" s="1"/>
  <c r="W42" i="13" s="1"/>
  <c r="W43" i="13" s="1"/>
  <c r="W44" i="13" s="1"/>
  <c r="W45" i="13" s="1"/>
  <c r="W46" i="13" s="1"/>
  <c r="W47" i="13" s="1"/>
  <c r="W48" i="13" s="1"/>
  <c r="W49" i="13" s="1"/>
  <c r="W50" i="13" s="1"/>
  <c r="W51" i="13" s="1"/>
  <c r="W52" i="13" s="1"/>
  <c r="W53" i="13" s="1"/>
  <c r="CP38" i="16"/>
  <c r="CP39" i="16" s="1"/>
  <c r="CP40" i="16" s="1"/>
  <c r="CP41" i="16" s="1"/>
  <c r="CP42" i="16" s="1"/>
  <c r="CP43" i="16" s="1"/>
  <c r="CP44" i="16" s="1"/>
  <c r="CP45" i="16" s="1"/>
  <c r="CP46" i="16" s="1"/>
  <c r="CP47" i="16" s="1"/>
  <c r="CP48" i="16" s="1"/>
  <c r="CP49" i="16" s="1"/>
  <c r="CP50" i="16" s="1"/>
  <c r="CP51" i="16" s="1"/>
  <c r="CP52" i="16" s="1"/>
  <c r="CP53" i="16" s="1"/>
  <c r="BS38" i="16"/>
  <c r="BS39" i="16" s="1"/>
  <c r="BS40" i="16" s="1"/>
  <c r="BS41" i="16" s="1"/>
  <c r="BS42" i="16" s="1"/>
  <c r="BS43" i="16" s="1"/>
  <c r="BS44" i="16" s="1"/>
  <c r="BS45" i="16" s="1"/>
  <c r="BS46" i="16" s="1"/>
  <c r="BS47" i="16" s="1"/>
  <c r="BS48" i="16" s="1"/>
  <c r="BS49" i="16" s="1"/>
  <c r="BS50" i="16" s="1"/>
  <c r="BS51" i="16" s="1"/>
  <c r="BS52" i="16" s="1"/>
  <c r="BS53" i="16" s="1"/>
  <c r="CP38" i="15"/>
  <c r="CP39" i="15" s="1"/>
  <c r="CP40" i="15" s="1"/>
  <c r="CP41" i="15" s="1"/>
  <c r="CP42" i="15" s="1"/>
  <c r="CP43" i="15" s="1"/>
  <c r="CP44" i="15" s="1"/>
  <c r="CP45" i="15" s="1"/>
  <c r="CP46" i="15" s="1"/>
  <c r="CP47" i="15" s="1"/>
  <c r="CP48" i="15" s="1"/>
  <c r="CP49" i="15" s="1"/>
  <c r="CP50" i="15" s="1"/>
  <c r="CP51" i="15" s="1"/>
  <c r="CP52" i="15" s="1"/>
  <c r="CP53" i="15" s="1"/>
  <c r="AU38" i="15"/>
  <c r="AU39" i="15" s="1"/>
  <c r="AU40" i="15" s="1"/>
  <c r="AU41" i="15" s="1"/>
  <c r="AU42" i="15" s="1"/>
  <c r="AU43" i="15" s="1"/>
  <c r="AU44" i="15" s="1"/>
  <c r="AU45" i="15" s="1"/>
  <c r="AU46" i="15" s="1"/>
  <c r="AU47" i="15" s="1"/>
  <c r="AU48" i="15" s="1"/>
  <c r="AU49" i="15" s="1"/>
  <c r="AU50" i="15" s="1"/>
  <c r="AU51" i="15" s="1"/>
  <c r="AU52" i="15" s="1"/>
  <c r="AU53" i="15" s="1"/>
  <c r="BR38" i="14"/>
  <c r="BR39" i="14" s="1"/>
  <c r="BR40" i="14" s="1"/>
  <c r="BR41" i="14" s="1"/>
  <c r="BR42" i="14" s="1"/>
  <c r="BR43" i="14" s="1"/>
  <c r="BR44" i="14" s="1"/>
  <c r="BR45" i="14" s="1"/>
  <c r="BR46" i="14" s="1"/>
  <c r="BR47" i="14" s="1"/>
  <c r="BR48" i="14" s="1"/>
  <c r="BR49" i="14" s="1"/>
  <c r="BR50" i="14" s="1"/>
  <c r="BR51" i="14" s="1"/>
  <c r="BR52" i="14" s="1"/>
  <c r="BR53" i="14" s="1"/>
  <c r="BR12" i="15"/>
  <c r="BR13" i="15" s="1"/>
  <c r="BR14" i="15" s="1"/>
  <c r="BR15" i="15" s="1"/>
  <c r="BR16" i="15" s="1"/>
  <c r="BR17" i="15" s="1"/>
  <c r="BR18" i="15" s="1"/>
  <c r="BR19" i="15" s="1"/>
  <c r="BR20" i="15" s="1"/>
  <c r="BR21" i="15" s="1"/>
  <c r="BR22" i="15" s="1"/>
  <c r="BR23" i="15" s="1"/>
  <c r="BR24" i="15" s="1"/>
  <c r="BR25" i="15" s="1"/>
  <c r="BR26" i="15" s="1"/>
  <c r="BR27" i="15" s="1"/>
  <c r="AU38" i="13"/>
  <c r="AU39" i="13" s="1"/>
  <c r="AU40" i="13" s="1"/>
  <c r="AU41" i="13" s="1"/>
  <c r="AU42" i="13" s="1"/>
  <c r="AU43" i="13" s="1"/>
  <c r="AU44" i="13" s="1"/>
  <c r="AU45" i="13" s="1"/>
  <c r="AU46" i="13" s="1"/>
  <c r="AU47" i="13" s="1"/>
  <c r="AU48" i="13" s="1"/>
  <c r="AU49" i="13" s="1"/>
  <c r="AU50" i="13" s="1"/>
  <c r="AU51" i="13" s="1"/>
  <c r="AU52" i="13" s="1"/>
  <c r="AU53" i="13" s="1"/>
  <c r="AT38" i="14"/>
  <c r="AT39" i="14" s="1"/>
  <c r="AT40" i="14" s="1"/>
  <c r="AT41" i="14" s="1"/>
  <c r="AT42" i="14" s="1"/>
  <c r="AT43" i="14" s="1"/>
  <c r="AT44" i="14" s="1"/>
  <c r="AT45" i="14" s="1"/>
  <c r="AT46" i="14" s="1"/>
  <c r="AT47" i="14" s="1"/>
  <c r="AT48" i="14" s="1"/>
  <c r="AT49" i="14" s="1"/>
  <c r="AT50" i="14" s="1"/>
  <c r="AT51" i="14" s="1"/>
  <c r="AT52" i="14" s="1"/>
  <c r="AT53" i="14" s="1"/>
  <c r="BS38" i="13"/>
  <c r="BS39" i="13" s="1"/>
  <c r="BS40" i="13" s="1"/>
  <c r="BS41" i="13" s="1"/>
  <c r="BS42" i="13" s="1"/>
  <c r="BS43" i="13" s="1"/>
  <c r="BS44" i="13" s="1"/>
  <c r="BS45" i="13" s="1"/>
  <c r="BS46" i="13" s="1"/>
  <c r="BS47" i="13" s="1"/>
  <c r="BS48" i="13" s="1"/>
  <c r="BS49" i="13" s="1"/>
  <c r="BS50" i="13" s="1"/>
  <c r="BS51" i="13" s="1"/>
  <c r="BS52" i="13" s="1"/>
  <c r="BS53" i="13" s="1"/>
  <c r="AT38" i="16"/>
  <c r="AT39" i="16" s="1"/>
  <c r="AT40" i="16" s="1"/>
  <c r="AT41" i="16" s="1"/>
  <c r="AT42" i="16" s="1"/>
  <c r="AT43" i="16" s="1"/>
  <c r="AT44" i="16" s="1"/>
  <c r="AT45" i="16" s="1"/>
  <c r="AT46" i="16" s="1"/>
  <c r="AT47" i="16" s="1"/>
  <c r="AT48" i="16" s="1"/>
  <c r="AT49" i="16" s="1"/>
  <c r="AT50" i="16" s="1"/>
  <c r="AT51" i="16" s="1"/>
  <c r="AT52" i="16" s="1"/>
  <c r="AT53" i="16" s="1"/>
  <c r="AU38" i="14"/>
  <c r="AU39" i="14" s="1"/>
  <c r="AU40" i="14" s="1"/>
  <c r="AU41" i="14" s="1"/>
  <c r="AU42" i="14" s="1"/>
  <c r="AU43" i="14" s="1"/>
  <c r="AU44" i="14" s="1"/>
  <c r="AU45" i="14" s="1"/>
  <c r="AU46" i="14" s="1"/>
  <c r="AU47" i="14" s="1"/>
  <c r="AU48" i="14" s="1"/>
  <c r="AU49" i="14" s="1"/>
  <c r="AU50" i="14" s="1"/>
  <c r="AU51" i="14" s="1"/>
  <c r="AU52" i="14" s="1"/>
  <c r="AU53" i="14" s="1"/>
  <c r="V38" i="14"/>
  <c r="V39" i="14" s="1"/>
  <c r="V40" i="14" s="1"/>
  <c r="V41" i="14" s="1"/>
  <c r="V42" i="14" s="1"/>
  <c r="V43" i="14" s="1"/>
  <c r="V44" i="14" s="1"/>
  <c r="V45" i="14" s="1"/>
  <c r="V46" i="14" s="1"/>
  <c r="V47" i="14" s="1"/>
  <c r="V48" i="14" s="1"/>
  <c r="V49" i="14" s="1"/>
  <c r="V50" i="14" s="1"/>
  <c r="V51" i="14" s="1"/>
  <c r="V52" i="14" s="1"/>
  <c r="V53" i="14" s="1"/>
  <c r="DO38" i="15"/>
  <c r="DO39" i="15" s="1"/>
  <c r="DO40" i="15" s="1"/>
  <c r="DO41" i="15" s="1"/>
  <c r="DO42" i="15" s="1"/>
  <c r="DO43" i="15" s="1"/>
  <c r="DO44" i="15" s="1"/>
  <c r="DO45" i="15" s="1"/>
  <c r="DO46" i="15" s="1"/>
  <c r="DO47" i="15" s="1"/>
  <c r="DO48" i="15" s="1"/>
  <c r="DO49" i="15" s="1"/>
  <c r="DO50" i="15" s="1"/>
  <c r="DO51" i="15" s="1"/>
  <c r="DO52" i="15" s="1"/>
  <c r="DO53" i="15" s="1"/>
  <c r="V38" i="13"/>
  <c r="V39" i="13" s="1"/>
  <c r="V40" i="13" s="1"/>
  <c r="V41" i="13" s="1"/>
  <c r="V42" i="13" s="1"/>
  <c r="V43" i="13" s="1"/>
  <c r="V44" i="13" s="1"/>
  <c r="V45" i="13" s="1"/>
  <c r="V46" i="13" s="1"/>
  <c r="V47" i="13" s="1"/>
  <c r="V48" i="13" s="1"/>
  <c r="V49" i="13" s="1"/>
  <c r="V50" i="13" s="1"/>
  <c r="V51" i="13" s="1"/>
  <c r="V52" i="13" s="1"/>
  <c r="V53" i="13" s="1"/>
  <c r="DO38" i="13"/>
  <c r="DO39" i="13" s="1"/>
  <c r="DO40" i="13" s="1"/>
  <c r="DO41" i="13" s="1"/>
  <c r="DO42" i="13" s="1"/>
  <c r="DO43" i="13" s="1"/>
  <c r="DO44" i="13" s="1"/>
  <c r="DO45" i="13" s="1"/>
  <c r="DO46" i="13" s="1"/>
  <c r="DO47" i="13" s="1"/>
  <c r="DO48" i="13" s="1"/>
  <c r="DO49" i="13" s="1"/>
  <c r="DO50" i="13" s="1"/>
  <c r="DO51" i="13" s="1"/>
  <c r="DO52" i="13" s="1"/>
  <c r="DO53" i="13" s="1"/>
  <c r="BR38" i="16"/>
  <c r="BR39" i="16" s="1"/>
  <c r="BR40" i="16" s="1"/>
  <c r="BR41" i="16" s="1"/>
  <c r="BR42" i="16" s="1"/>
  <c r="BR43" i="16" s="1"/>
  <c r="BR44" i="16" s="1"/>
  <c r="BR45" i="16" s="1"/>
  <c r="BR46" i="16" s="1"/>
  <c r="BR47" i="16" s="1"/>
  <c r="BR48" i="16" s="1"/>
  <c r="BR49" i="16" s="1"/>
  <c r="BR50" i="16" s="1"/>
  <c r="BR51" i="16" s="1"/>
  <c r="BR52" i="16" s="1"/>
  <c r="BR53" i="16" s="1"/>
  <c r="BS38" i="15"/>
  <c r="BS39" i="15" s="1"/>
  <c r="BS40" i="15" s="1"/>
  <c r="BS41" i="15" s="1"/>
  <c r="BS42" i="15" s="1"/>
  <c r="BS43" i="15" s="1"/>
  <c r="BS44" i="15" s="1"/>
  <c r="BS45" i="15" s="1"/>
  <c r="BS46" i="15" s="1"/>
  <c r="BS47" i="15" s="1"/>
  <c r="BS48" i="15" s="1"/>
  <c r="BS49" i="15" s="1"/>
  <c r="BS50" i="15" s="1"/>
  <c r="BS51" i="15" s="1"/>
  <c r="BS52" i="15" s="1"/>
  <c r="BS53" i="15" s="1"/>
  <c r="AT38" i="15"/>
  <c r="AT39" i="15" s="1"/>
  <c r="AT40" i="15" s="1"/>
  <c r="AT41" i="15" s="1"/>
  <c r="AT42" i="15" s="1"/>
  <c r="AT43" i="15" s="1"/>
  <c r="AT44" i="15" s="1"/>
  <c r="AT45" i="15" s="1"/>
  <c r="AT46" i="15" s="1"/>
  <c r="AT47" i="15" s="1"/>
  <c r="AT48" i="15" s="1"/>
  <c r="AT49" i="15" s="1"/>
  <c r="AT50" i="15" s="1"/>
  <c r="AT51" i="15" s="1"/>
  <c r="AT52" i="15" s="1"/>
  <c r="AT53" i="15" s="1"/>
  <c r="I25" i="12"/>
  <c r="I33" i="12"/>
  <c r="I19" i="12"/>
  <c r="I26" i="12"/>
  <c r="I32" i="12"/>
  <c r="X166" i="15"/>
  <c r="X168" i="15" s="1"/>
  <c r="G31" i="12"/>
  <c r="I17" i="12"/>
  <c r="I18" i="12"/>
  <c r="I24" i="12"/>
  <c r="Z166" i="15"/>
  <c r="Z168" i="15" s="1"/>
  <c r="H31" i="12"/>
  <c r="I29" i="12"/>
  <c r="I36" i="12"/>
  <c r="R166" i="13"/>
  <c r="R168" i="13" s="1"/>
  <c r="F22" i="12"/>
  <c r="I22" i="12" s="1"/>
  <c r="L166" i="13"/>
  <c r="L168" i="13" s="1"/>
  <c r="D20" i="12"/>
  <c r="J166" i="13"/>
  <c r="J168" i="13" s="1"/>
  <c r="I166" i="13"/>
  <c r="I168" i="13" s="1"/>
  <c r="G20" i="12"/>
  <c r="K166" i="13"/>
  <c r="K168" i="13" s="1"/>
  <c r="H20" i="12"/>
  <c r="L166" i="15"/>
  <c r="L168" i="15" s="1"/>
  <c r="D34" i="12"/>
  <c r="K166" i="15"/>
  <c r="K168" i="15" s="1"/>
  <c r="H34" i="12"/>
  <c r="J166" i="14"/>
  <c r="J168" i="14" s="1"/>
  <c r="E27" i="12"/>
  <c r="L166" i="14"/>
  <c r="L168" i="14" s="1"/>
  <c r="D27" i="12"/>
  <c r="K166" i="14"/>
  <c r="K168" i="14" s="1"/>
  <c r="H27" i="12"/>
  <c r="I166" i="14"/>
  <c r="I168" i="14" s="1"/>
  <c r="G27" i="12"/>
  <c r="AH91" i="10"/>
  <c r="G61" i="22"/>
  <c r="Q7" i="23" s="1"/>
  <c r="AH66" i="10"/>
  <c r="F81" i="22"/>
  <c r="AI42" i="10"/>
  <c r="K83" i="22"/>
  <c r="AH15" i="10"/>
  <c r="D82" i="22"/>
  <c r="AI91" i="10"/>
  <c r="M61" i="22"/>
  <c r="R7" i="23" s="1"/>
  <c r="AI66" i="10"/>
  <c r="L81" i="22"/>
  <c r="AH41" i="10"/>
  <c r="E82" i="22"/>
  <c r="AI15" i="10"/>
  <c r="J82" i="22"/>
  <c r="U29" i="8"/>
  <c r="U27" i="8" s="1"/>
  <c r="U26" i="8" s="1"/>
  <c r="Q163" i="16"/>
  <c r="Q164" i="16"/>
  <c r="D42" i="12" s="1"/>
  <c r="P163" i="16"/>
  <c r="P164" i="16"/>
  <c r="H42" i="12" s="1"/>
  <c r="O163" i="14"/>
  <c r="O164" i="14"/>
  <c r="P163" i="14"/>
  <c r="P164" i="14"/>
  <c r="AS39" i="13"/>
  <c r="AS40" i="13" s="1"/>
  <c r="AS41" i="13" s="1"/>
  <c r="AS42" i="13" s="1"/>
  <c r="AS43" i="13" s="1"/>
  <c r="AS44" i="13" s="1"/>
  <c r="AS45" i="13" s="1"/>
  <c r="AS46" i="13" s="1"/>
  <c r="AS47" i="13" s="1"/>
  <c r="AS48" i="13" s="1"/>
  <c r="AS49" i="13" s="1"/>
  <c r="AS50" i="13" s="1"/>
  <c r="AS51" i="13" s="1"/>
  <c r="AS52" i="13" s="1"/>
  <c r="AS53" i="13" s="1"/>
  <c r="N162" i="13" s="1"/>
  <c r="Q163" i="13"/>
  <c r="Q164" i="13"/>
  <c r="AS39" i="15"/>
  <c r="AS40" i="15" s="1"/>
  <c r="AS41" i="15" s="1"/>
  <c r="AS42" i="15" s="1"/>
  <c r="AS43" i="15" s="1"/>
  <c r="AS44" i="15" s="1"/>
  <c r="AS45" i="15" s="1"/>
  <c r="AS46" i="15" s="1"/>
  <c r="AS47" i="15" s="1"/>
  <c r="AS48" i="15" s="1"/>
  <c r="AS49" i="15" s="1"/>
  <c r="AS50" i="15" s="1"/>
  <c r="AS51" i="15" s="1"/>
  <c r="AS52" i="15" s="1"/>
  <c r="AS53" i="15" s="1"/>
  <c r="N162" i="15" s="1"/>
  <c r="O163" i="15"/>
  <c r="O164" i="15"/>
  <c r="P163" i="15"/>
  <c r="P164" i="15"/>
  <c r="Q163" i="15"/>
  <c r="Q164" i="15"/>
  <c r="O163" i="13"/>
  <c r="O164" i="13"/>
  <c r="AS39" i="14"/>
  <c r="AS40" i="14" s="1"/>
  <c r="AS41" i="14" s="1"/>
  <c r="AS42" i="14" s="1"/>
  <c r="AS43" i="14" s="1"/>
  <c r="AS44" i="14" s="1"/>
  <c r="AS45" i="14" s="1"/>
  <c r="AS46" i="14" s="1"/>
  <c r="AS47" i="14" s="1"/>
  <c r="AS48" i="14" s="1"/>
  <c r="AS49" i="14" s="1"/>
  <c r="AS50" i="14" s="1"/>
  <c r="AS51" i="14" s="1"/>
  <c r="AS52" i="14" s="1"/>
  <c r="AS53" i="14" s="1"/>
  <c r="N162" i="14" s="1"/>
  <c r="O163" i="16"/>
  <c r="O164" i="16"/>
  <c r="E42" i="12" s="1"/>
  <c r="M8" i="11"/>
  <c r="N163" i="16"/>
  <c r="N164" i="16"/>
  <c r="G42" i="12" s="1"/>
  <c r="P163" i="13"/>
  <c r="P164" i="13"/>
  <c r="Q163" i="14"/>
  <c r="Q164" i="14"/>
  <c r="J164" i="16"/>
  <c r="E41" i="12" s="1"/>
  <c r="L10" i="11"/>
  <c r="H164" i="13"/>
  <c r="H164" i="14"/>
  <c r="J165" i="15"/>
  <c r="J167" i="15" s="1"/>
  <c r="H164" i="15"/>
  <c r="J164" i="15"/>
  <c r="L11" i="11"/>
  <c r="L13" i="11" s="1"/>
  <c r="I163" i="15"/>
  <c r="I164" i="15"/>
  <c r="H164" i="16"/>
  <c r="F41" i="12" s="1"/>
  <c r="K165" i="14"/>
  <c r="K167" i="14" s="1"/>
  <c r="Y70" i="2"/>
  <c r="U28" i="8" s="1"/>
  <c r="AF70" i="2"/>
  <c r="W28" i="8" s="1"/>
  <c r="W27" i="8"/>
  <c r="W26" i="8" s="1"/>
  <c r="P13" i="9"/>
  <c r="P14" i="9" s="1"/>
  <c r="P15" i="9" s="1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D6" i="11" s="1"/>
  <c r="P39" i="9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E6" i="11" s="1"/>
  <c r="P65" i="9"/>
  <c r="P66" i="9" s="1"/>
  <c r="P67" i="9" s="1"/>
  <c r="P68" i="9" s="1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F6" i="11" s="1"/>
  <c r="P91" i="9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P104" i="9" s="1"/>
  <c r="P105" i="9" s="1"/>
  <c r="P106" i="9" s="1"/>
  <c r="G6" i="11" s="1"/>
  <c r="P117" i="9"/>
  <c r="P118" i="9" s="1"/>
  <c r="P119" i="9" s="1"/>
  <c r="P120" i="9" s="1"/>
  <c r="P121" i="9" s="1"/>
  <c r="P122" i="9" s="1"/>
  <c r="P123" i="9" s="1"/>
  <c r="P124" i="9" s="1"/>
  <c r="P125" i="9" s="1"/>
  <c r="P126" i="9" s="1"/>
  <c r="P127" i="9" s="1"/>
  <c r="P128" i="9" s="1"/>
  <c r="P129" i="9" s="1"/>
  <c r="P130" i="9" s="1"/>
  <c r="P131" i="9" s="1"/>
  <c r="P132" i="9" s="1"/>
  <c r="H6" i="11" s="1"/>
  <c r="Q13" i="9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D7" i="11" s="1"/>
  <c r="Q39" i="9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E7" i="11" s="1"/>
  <c r="Q65" i="9"/>
  <c r="Q66" i="9" s="1"/>
  <c r="Q67" i="9" s="1"/>
  <c r="Q68" i="9" s="1"/>
  <c r="Q69" i="9" s="1"/>
  <c r="Q70" i="9" s="1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F7" i="11" s="1"/>
  <c r="Q91" i="9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Q103" i="9" s="1"/>
  <c r="Q104" i="9" s="1"/>
  <c r="Q105" i="9" s="1"/>
  <c r="Q106" i="9" s="1"/>
  <c r="G7" i="11" s="1"/>
  <c r="Q117" i="9"/>
  <c r="Q118" i="9" s="1"/>
  <c r="Q119" i="9" s="1"/>
  <c r="Q120" i="9" s="1"/>
  <c r="Q121" i="9" s="1"/>
  <c r="Q122" i="9" s="1"/>
  <c r="Q123" i="9" s="1"/>
  <c r="Q124" i="9" s="1"/>
  <c r="Q125" i="9" s="1"/>
  <c r="Q126" i="9" s="1"/>
  <c r="Q127" i="9" s="1"/>
  <c r="Q128" i="9" s="1"/>
  <c r="Q129" i="9" s="1"/>
  <c r="Q130" i="9" s="1"/>
  <c r="Q131" i="9" s="1"/>
  <c r="Q132" i="9" s="1"/>
  <c r="H7" i="11" s="1"/>
  <c r="R13" i="9"/>
  <c r="R14" i="9" s="1"/>
  <c r="R15" i="9" s="1"/>
  <c r="R16" i="9" s="1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D8" i="11" s="1"/>
  <c r="R39" i="9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E8" i="11" s="1"/>
  <c r="R65" i="9"/>
  <c r="R66" i="9" s="1"/>
  <c r="R67" i="9" s="1"/>
  <c r="R68" i="9" s="1"/>
  <c r="R69" i="9" s="1"/>
  <c r="R70" i="9" s="1"/>
  <c r="R71" i="9" s="1"/>
  <c r="R72" i="9" s="1"/>
  <c r="R73" i="9" s="1"/>
  <c r="R74" i="9" s="1"/>
  <c r="R75" i="9" s="1"/>
  <c r="R76" i="9" s="1"/>
  <c r="R77" i="9" s="1"/>
  <c r="R78" i="9" s="1"/>
  <c r="R79" i="9" s="1"/>
  <c r="R80" i="9" s="1"/>
  <c r="F8" i="11" s="1"/>
  <c r="R91" i="9"/>
  <c r="R92" i="9" s="1"/>
  <c r="R93" i="9" s="1"/>
  <c r="R94" i="9" s="1"/>
  <c r="R95" i="9" s="1"/>
  <c r="R96" i="9" s="1"/>
  <c r="R97" i="9" s="1"/>
  <c r="R98" i="9" s="1"/>
  <c r="R99" i="9" s="1"/>
  <c r="R100" i="9" s="1"/>
  <c r="R101" i="9" s="1"/>
  <c r="R102" i="9" s="1"/>
  <c r="R103" i="9" s="1"/>
  <c r="R104" i="9" s="1"/>
  <c r="R105" i="9" s="1"/>
  <c r="R106" i="9" s="1"/>
  <c r="G8" i="11" s="1"/>
  <c r="S13" i="9"/>
  <c r="T13" i="9"/>
  <c r="S39" i="9"/>
  <c r="T39" i="9"/>
  <c r="T65" i="9"/>
  <c r="S65" i="9"/>
  <c r="L12" i="11" l="1"/>
  <c r="L14" i="11" s="1"/>
  <c r="I31" i="12"/>
  <c r="I41" i="12"/>
  <c r="P166" i="13"/>
  <c r="P168" i="13" s="1"/>
  <c r="H21" i="12"/>
  <c r="H166" i="14"/>
  <c r="H168" i="14" s="1"/>
  <c r="F27" i="12"/>
  <c r="I27" i="12" s="1"/>
  <c r="H166" i="15"/>
  <c r="H168" i="15" s="1"/>
  <c r="F34" i="12"/>
  <c r="H166" i="13"/>
  <c r="H168" i="13" s="1"/>
  <c r="F20" i="12"/>
  <c r="I20" i="12" s="1"/>
  <c r="O166" i="13"/>
  <c r="O168" i="13" s="1"/>
  <c r="E21" i="12"/>
  <c r="Q166" i="13"/>
  <c r="Q168" i="13" s="1"/>
  <c r="D21" i="12"/>
  <c r="J166" i="15"/>
  <c r="J168" i="15" s="1"/>
  <c r="E34" i="12"/>
  <c r="O166" i="15"/>
  <c r="O168" i="15" s="1"/>
  <c r="E35" i="12"/>
  <c r="Q166" i="15"/>
  <c r="Q168" i="15" s="1"/>
  <c r="D35" i="12"/>
  <c r="P166" i="15"/>
  <c r="P168" i="15" s="1"/>
  <c r="H35" i="12"/>
  <c r="I166" i="15"/>
  <c r="I168" i="15" s="1"/>
  <c r="G34" i="12"/>
  <c r="Q166" i="14"/>
  <c r="Q168" i="14" s="1"/>
  <c r="D28" i="12"/>
  <c r="P166" i="14"/>
  <c r="P168" i="14" s="1"/>
  <c r="H28" i="12"/>
  <c r="O166" i="14"/>
  <c r="O168" i="14" s="1"/>
  <c r="E28" i="12"/>
  <c r="AH42" i="10"/>
  <c r="E83" i="22"/>
  <c r="AI67" i="10"/>
  <c r="L82" i="22"/>
  <c r="AI92" i="10"/>
  <c r="M81" i="22"/>
  <c r="T7" i="23" s="1"/>
  <c r="AH67" i="10"/>
  <c r="F82" i="22"/>
  <c r="AI43" i="10"/>
  <c r="K84" i="22"/>
  <c r="J83" i="22"/>
  <c r="D83" i="22"/>
  <c r="AH92" i="10"/>
  <c r="G81" i="22"/>
  <c r="S7" i="23" s="1"/>
  <c r="T66" i="9"/>
  <c r="M53" i="18"/>
  <c r="T40" i="9"/>
  <c r="L53" i="18"/>
  <c r="T14" i="9"/>
  <c r="K53" i="18"/>
  <c r="S7" i="17" s="1"/>
  <c r="S66" i="9"/>
  <c r="F53" i="18"/>
  <c r="S14" i="9"/>
  <c r="D53" i="18"/>
  <c r="R7" i="17" s="1"/>
  <c r="S40" i="9"/>
  <c r="E53" i="18"/>
  <c r="M163" i="16"/>
  <c r="M164" i="16"/>
  <c r="F42" i="12" s="1"/>
  <c r="P165" i="14"/>
  <c r="P167" i="14" s="1"/>
  <c r="M163" i="14"/>
  <c r="M165" i="14" s="1"/>
  <c r="M167" i="14" s="1"/>
  <c r="M164" i="14"/>
  <c r="O165" i="13"/>
  <c r="O167" i="13" s="1"/>
  <c r="N163" i="15"/>
  <c r="N164" i="15"/>
  <c r="O165" i="14"/>
  <c r="O167" i="14" s="1"/>
  <c r="Q165" i="14"/>
  <c r="Q167" i="14" s="1"/>
  <c r="M163" i="15"/>
  <c r="M165" i="15" s="1"/>
  <c r="M167" i="15" s="1"/>
  <c r="M164" i="15"/>
  <c r="M9" i="11"/>
  <c r="M10" i="11"/>
  <c r="Q165" i="15"/>
  <c r="Q167" i="15" s="1"/>
  <c r="Q165" i="13"/>
  <c r="Q167" i="13" s="1"/>
  <c r="O165" i="15"/>
  <c r="O167" i="15" s="1"/>
  <c r="N163" i="14"/>
  <c r="N164" i="14"/>
  <c r="M163" i="13"/>
  <c r="M165" i="13" s="1"/>
  <c r="M167" i="13" s="1"/>
  <c r="M164" i="13"/>
  <c r="P165" i="13"/>
  <c r="P167" i="13" s="1"/>
  <c r="P165" i="15"/>
  <c r="P167" i="15" s="1"/>
  <c r="N163" i="13"/>
  <c r="N164" i="13"/>
  <c r="I165" i="15"/>
  <c r="I167" i="15" s="1"/>
  <c r="H9" i="11"/>
  <c r="H11" i="11" s="1"/>
  <c r="H13" i="11" s="1"/>
  <c r="H10" i="11"/>
  <c r="H12" i="11" s="1"/>
  <c r="H14" i="11" s="1"/>
  <c r="F9" i="11"/>
  <c r="F11" i="11" s="1"/>
  <c r="F13" i="11" s="1"/>
  <c r="F10" i="11"/>
  <c r="F12" i="11" s="1"/>
  <c r="F14" i="11" s="1"/>
  <c r="E10" i="11"/>
  <c r="E12" i="11" s="1"/>
  <c r="E14" i="11" s="1"/>
  <c r="E9" i="11"/>
  <c r="E11" i="11" s="1"/>
  <c r="E13" i="11" s="1"/>
  <c r="G10" i="11"/>
  <c r="G12" i="11" s="1"/>
  <c r="G14" i="11" s="1"/>
  <c r="G9" i="11"/>
  <c r="G11" i="11" s="1"/>
  <c r="G13" i="11" s="1"/>
  <c r="D9" i="11"/>
  <c r="D11" i="11" s="1"/>
  <c r="D13" i="11" s="1"/>
  <c r="D10" i="11"/>
  <c r="D12" i="11" s="1"/>
  <c r="D14" i="11" s="1"/>
  <c r="S91" i="9"/>
  <c r="T91" i="9"/>
  <c r="S117" i="9"/>
  <c r="T117" i="9"/>
  <c r="M12" i="11" l="1"/>
  <c r="M14" i="11" s="1"/>
  <c r="I34" i="12"/>
  <c r="M166" i="15"/>
  <c r="M168" i="15" s="1"/>
  <c r="F35" i="12"/>
  <c r="M166" i="13"/>
  <c r="M168" i="13" s="1"/>
  <c r="F21" i="12"/>
  <c r="N166" i="13"/>
  <c r="N168" i="13" s="1"/>
  <c r="G21" i="12"/>
  <c r="M166" i="14"/>
  <c r="M168" i="14" s="1"/>
  <c r="F28" i="12"/>
  <c r="N166" i="15"/>
  <c r="N168" i="15" s="1"/>
  <c r="G35" i="12"/>
  <c r="N166" i="14"/>
  <c r="N168" i="14" s="1"/>
  <c r="G28" i="12"/>
  <c r="AI93" i="10"/>
  <c r="M82" i="22"/>
  <c r="T8" i="23" s="1"/>
  <c r="AI44" i="10"/>
  <c r="K85" i="22"/>
  <c r="AI68" i="10"/>
  <c r="L83" i="22"/>
  <c r="AH93" i="10"/>
  <c r="G82" i="22"/>
  <c r="S8" i="23" s="1"/>
  <c r="AH68" i="10"/>
  <c r="F83" i="22"/>
  <c r="AH43" i="10"/>
  <c r="E84" i="22"/>
  <c r="O53" i="18"/>
  <c r="S41" i="9"/>
  <c r="E54" i="18"/>
  <c r="T41" i="9"/>
  <c r="L54" i="18"/>
  <c r="S118" i="9"/>
  <c r="H53" i="18"/>
  <c r="S67" i="9"/>
  <c r="F54" i="18"/>
  <c r="T92" i="9"/>
  <c r="N53" i="18"/>
  <c r="S92" i="9"/>
  <c r="G53" i="18"/>
  <c r="T15" i="9"/>
  <c r="K54" i="18"/>
  <c r="S8" i="17" s="1"/>
  <c r="S15" i="9"/>
  <c r="D54" i="18"/>
  <c r="R8" i="17" s="1"/>
  <c r="T67" i="9"/>
  <c r="M54" i="18"/>
  <c r="N165" i="13"/>
  <c r="N167" i="13" s="1"/>
  <c r="N165" i="14"/>
  <c r="N167" i="14" s="1"/>
  <c r="M11" i="11"/>
  <c r="M13" i="11" s="1"/>
  <c r="I42" i="12"/>
  <c r="N165" i="15"/>
  <c r="N167" i="15" s="1"/>
  <c r="T118" i="9"/>
  <c r="Q143" i="9"/>
  <c r="Q144" i="9" s="1"/>
  <c r="Q145" i="9" s="1"/>
  <c r="Q146" i="9" s="1"/>
  <c r="Q147" i="9" s="1"/>
  <c r="Q148" i="9" s="1"/>
  <c r="Q149" i="9" s="1"/>
  <c r="Q150" i="9" s="1"/>
  <c r="Q151" i="9" s="1"/>
  <c r="Q152" i="9" s="1"/>
  <c r="Q153" i="9" s="1"/>
  <c r="Q154" i="9" s="1"/>
  <c r="Q155" i="9" s="1"/>
  <c r="Q156" i="9" s="1"/>
  <c r="Q157" i="9" s="1"/>
  <c r="Q158" i="9" s="1"/>
  <c r="I6" i="11" s="1"/>
  <c r="R143" i="9"/>
  <c r="R144" i="9" s="1"/>
  <c r="R145" i="9" s="1"/>
  <c r="R146" i="9" s="1"/>
  <c r="R147" i="9" s="1"/>
  <c r="R148" i="9" s="1"/>
  <c r="R149" i="9" s="1"/>
  <c r="R150" i="9" s="1"/>
  <c r="R151" i="9" s="1"/>
  <c r="R152" i="9" s="1"/>
  <c r="R153" i="9" s="1"/>
  <c r="R154" i="9" s="1"/>
  <c r="R155" i="9" s="1"/>
  <c r="R156" i="9" s="1"/>
  <c r="R157" i="9" s="1"/>
  <c r="R158" i="9" s="1"/>
  <c r="I7" i="11" s="1"/>
  <c r="S143" i="9"/>
  <c r="S144" i="9" s="1"/>
  <c r="S145" i="9" s="1"/>
  <c r="S146" i="9" s="1"/>
  <c r="S147" i="9" s="1"/>
  <c r="S148" i="9" s="1"/>
  <c r="S149" i="9" s="1"/>
  <c r="S150" i="9" s="1"/>
  <c r="S151" i="9" s="1"/>
  <c r="S152" i="9" s="1"/>
  <c r="S153" i="9" s="1"/>
  <c r="S154" i="9" s="1"/>
  <c r="S155" i="9" s="1"/>
  <c r="S156" i="9" s="1"/>
  <c r="S157" i="9" s="1"/>
  <c r="S158" i="9" s="1"/>
  <c r="I8" i="11" s="1"/>
  <c r="T143" i="9"/>
  <c r="T144" i="9" s="1"/>
  <c r="T145" i="9" s="1"/>
  <c r="T146" i="9" s="1"/>
  <c r="T147" i="9" s="1"/>
  <c r="T148" i="9" s="1"/>
  <c r="T149" i="9" s="1"/>
  <c r="T150" i="9" s="1"/>
  <c r="T151" i="9" s="1"/>
  <c r="T152" i="9" s="1"/>
  <c r="T153" i="9" s="1"/>
  <c r="T154" i="9" s="1"/>
  <c r="T155" i="9" s="1"/>
  <c r="T156" i="9" s="1"/>
  <c r="T157" i="9" s="1"/>
  <c r="T158" i="9" s="1"/>
  <c r="U143" i="9"/>
  <c r="U144" i="9" s="1"/>
  <c r="U145" i="9" s="1"/>
  <c r="U146" i="9" s="1"/>
  <c r="U147" i="9" s="1"/>
  <c r="U148" i="9" s="1"/>
  <c r="U149" i="9" s="1"/>
  <c r="U150" i="9" s="1"/>
  <c r="U151" i="9" s="1"/>
  <c r="U152" i="9" s="1"/>
  <c r="U153" i="9" s="1"/>
  <c r="U154" i="9" s="1"/>
  <c r="U155" i="9" s="1"/>
  <c r="U156" i="9" s="1"/>
  <c r="U157" i="9" s="1"/>
  <c r="U158" i="9" s="1"/>
  <c r="AI45" i="10" l="1"/>
  <c r="K86" i="22"/>
  <c r="AH94" i="10"/>
  <c r="G83" i="22"/>
  <c r="S9" i="23" s="1"/>
  <c r="AI69" i="10"/>
  <c r="L84" i="22"/>
  <c r="AI94" i="10"/>
  <c r="M83" i="22"/>
  <c r="T9" i="23" s="1"/>
  <c r="AH69" i="10"/>
  <c r="F84" i="22"/>
  <c r="AH44" i="10"/>
  <c r="E85" i="22"/>
  <c r="I21" i="12"/>
  <c r="I35" i="12"/>
  <c r="S68" i="9"/>
  <c r="F55" i="18"/>
  <c r="S119" i="9"/>
  <c r="H54" i="18"/>
  <c r="S16" i="9"/>
  <c r="D55" i="18"/>
  <c r="R9" i="17" s="1"/>
  <c r="S93" i="9"/>
  <c r="G54" i="18"/>
  <c r="T42" i="9"/>
  <c r="L55" i="18"/>
  <c r="T119" i="9"/>
  <c r="O54" i="18"/>
  <c r="T16" i="9"/>
  <c r="K55" i="18"/>
  <c r="S9" i="17" s="1"/>
  <c r="T68" i="9"/>
  <c r="M55" i="18"/>
  <c r="T93" i="9"/>
  <c r="N54" i="18"/>
  <c r="S42" i="9"/>
  <c r="E55" i="18"/>
  <c r="I28" i="12"/>
  <c r="I10" i="11"/>
  <c r="I9" i="11"/>
  <c r="I11" i="11" s="1"/>
  <c r="I13" i="11" s="1"/>
  <c r="I12" i="11" l="1"/>
  <c r="I14" i="11" s="1"/>
  <c r="J33" i="12"/>
  <c r="J28" i="12"/>
  <c r="J31" i="12"/>
  <c r="J21" i="12"/>
  <c r="J34" i="12"/>
  <c r="J20" i="12"/>
  <c r="J35" i="12"/>
  <c r="J24" i="12"/>
  <c r="J22" i="12"/>
  <c r="J27" i="12"/>
  <c r="J19" i="12"/>
  <c r="J25" i="12"/>
  <c r="J29" i="12"/>
  <c r="J40" i="12"/>
  <c r="J18" i="12"/>
  <c r="J36" i="12"/>
  <c r="J17" i="12"/>
  <c r="J32" i="12"/>
  <c r="J26" i="12"/>
  <c r="J38" i="12"/>
  <c r="J39" i="12"/>
  <c r="J42" i="12"/>
  <c r="J43" i="12"/>
  <c r="AI70" i="10"/>
  <c r="L85" i="22"/>
  <c r="AH45" i="10"/>
  <c r="E86" i="22"/>
  <c r="AH95" i="10"/>
  <c r="G84" i="22"/>
  <c r="S10" i="23" s="1"/>
  <c r="AH70" i="10"/>
  <c r="F85" i="22"/>
  <c r="AI46" i="10"/>
  <c r="K87" i="22"/>
  <c r="AI95" i="10"/>
  <c r="M84" i="22"/>
  <c r="T10" i="23" s="1"/>
  <c r="T69" i="9"/>
  <c r="M56" i="18"/>
  <c r="S17" i="9"/>
  <c r="D56" i="18"/>
  <c r="R10" i="17" s="1"/>
  <c r="S43" i="9"/>
  <c r="E56" i="18"/>
  <c r="T120" i="9"/>
  <c r="O55" i="18"/>
  <c r="S120" i="9"/>
  <c r="H55" i="18"/>
  <c r="S94" i="9"/>
  <c r="G55" i="18"/>
  <c r="T17" i="9"/>
  <c r="K56" i="18"/>
  <c r="S10" i="17" s="1"/>
  <c r="T94" i="9"/>
  <c r="N55" i="18"/>
  <c r="T43" i="9"/>
  <c r="L56" i="18"/>
  <c r="S69" i="9"/>
  <c r="F56" i="18"/>
  <c r="J41" i="12"/>
  <c r="AI96" i="10" l="1"/>
  <c r="M85" i="22"/>
  <c r="T11" i="23" s="1"/>
  <c r="AI47" i="10"/>
  <c r="K88" i="22"/>
  <c r="AI71" i="10"/>
  <c r="L86" i="22"/>
  <c r="AH96" i="10"/>
  <c r="G85" i="22"/>
  <c r="S11" i="23" s="1"/>
  <c r="AH46" i="10"/>
  <c r="E87" i="22"/>
  <c r="AH71" i="10"/>
  <c r="F86" i="22"/>
  <c r="S18" i="9"/>
  <c r="D57" i="18"/>
  <c r="R11" i="17" s="1"/>
  <c r="T95" i="9"/>
  <c r="N56" i="18"/>
  <c r="S44" i="9"/>
  <c r="E57" i="18"/>
  <c r="S95" i="9"/>
  <c r="G56" i="18"/>
  <c r="T121" i="9"/>
  <c r="O56" i="18"/>
  <c r="T18" i="9"/>
  <c r="K57" i="18"/>
  <c r="S11" i="17" s="1"/>
  <c r="S70" i="9"/>
  <c r="F57" i="18"/>
  <c r="T44" i="9"/>
  <c r="L57" i="18"/>
  <c r="S121" i="9"/>
  <c r="H56" i="18"/>
  <c r="T70" i="9"/>
  <c r="M57" i="18"/>
  <c r="AH72" i="10" l="1"/>
  <c r="F87" i="22"/>
  <c r="AI72" i="10"/>
  <c r="L87" i="22"/>
  <c r="AI48" i="10"/>
  <c r="K89" i="22"/>
  <c r="AH47" i="10"/>
  <c r="E88" i="22"/>
  <c r="AH97" i="10"/>
  <c r="G86" i="22"/>
  <c r="S12" i="23" s="1"/>
  <c r="AI97" i="10"/>
  <c r="M86" i="22"/>
  <c r="T12" i="23" s="1"/>
  <c r="S96" i="9"/>
  <c r="G57" i="18"/>
  <c r="S71" i="9"/>
  <c r="F58" i="18"/>
  <c r="T96" i="9"/>
  <c r="N57" i="18"/>
  <c r="T45" i="9"/>
  <c r="L58" i="18"/>
  <c r="S45" i="9"/>
  <c r="E58" i="18"/>
  <c r="T19" i="9"/>
  <c r="K58" i="18"/>
  <c r="S12" i="17" s="1"/>
  <c r="T71" i="9"/>
  <c r="M58" i="18"/>
  <c r="S122" i="9"/>
  <c r="H57" i="18"/>
  <c r="T122" i="9"/>
  <c r="O57" i="18"/>
  <c r="S19" i="9"/>
  <c r="D58" i="18"/>
  <c r="R12" i="17" s="1"/>
  <c r="AH48" i="10" l="1"/>
  <c r="E89" i="22"/>
  <c r="AI73" i="10"/>
  <c r="L88" i="22"/>
  <c r="AH98" i="10"/>
  <c r="G87" i="22"/>
  <c r="S13" i="23" s="1"/>
  <c r="AH73" i="10"/>
  <c r="F88" i="22"/>
  <c r="AI98" i="10"/>
  <c r="M87" i="22"/>
  <c r="T13" i="23" s="1"/>
  <c r="AI49" i="10"/>
  <c r="K90" i="22"/>
  <c r="S123" i="9"/>
  <c r="H58" i="18"/>
  <c r="T46" i="9"/>
  <c r="L59" i="18"/>
  <c r="S20" i="9"/>
  <c r="D59" i="18"/>
  <c r="R13" i="17" s="1"/>
  <c r="T20" i="9"/>
  <c r="K59" i="18"/>
  <c r="S13" i="17" s="1"/>
  <c r="S72" i="9"/>
  <c r="F59" i="18"/>
  <c r="T72" i="9"/>
  <c r="M59" i="18"/>
  <c r="T97" i="9"/>
  <c r="N58" i="18"/>
  <c r="T123" i="9"/>
  <c r="O58" i="18"/>
  <c r="S46" i="9"/>
  <c r="E59" i="18"/>
  <c r="S97" i="9"/>
  <c r="G58" i="18"/>
  <c r="AI50" i="10" l="1"/>
  <c r="K91" i="22"/>
  <c r="AI99" i="10"/>
  <c r="M88" i="22"/>
  <c r="T14" i="23" s="1"/>
  <c r="AI74" i="10"/>
  <c r="L89" i="22"/>
  <c r="AH74" i="10"/>
  <c r="F89" i="22"/>
  <c r="AH99" i="10"/>
  <c r="G88" i="22"/>
  <c r="S14" i="23" s="1"/>
  <c r="AH49" i="10"/>
  <c r="E90" i="22"/>
  <c r="T124" i="9"/>
  <c r="O59" i="18"/>
  <c r="T21" i="9"/>
  <c r="K60" i="18"/>
  <c r="S14" i="17" s="1"/>
  <c r="T98" i="9"/>
  <c r="N59" i="18"/>
  <c r="S21" i="9"/>
  <c r="D60" i="18"/>
  <c r="R14" i="17" s="1"/>
  <c r="S98" i="9"/>
  <c r="G59" i="18"/>
  <c r="T47" i="9"/>
  <c r="L60" i="18"/>
  <c r="T73" i="9"/>
  <c r="M60" i="18"/>
  <c r="S47" i="9"/>
  <c r="E60" i="18"/>
  <c r="S73" i="9"/>
  <c r="F60" i="18"/>
  <c r="S124" i="9"/>
  <c r="H59" i="18"/>
  <c r="AH100" i="10" l="1"/>
  <c r="G89" i="22"/>
  <c r="S15" i="23" s="1"/>
  <c r="AI100" i="10"/>
  <c r="M89" i="22"/>
  <c r="T15" i="23" s="1"/>
  <c r="AH75" i="10"/>
  <c r="F90" i="22"/>
  <c r="AI75" i="10"/>
  <c r="L90" i="22"/>
  <c r="AH50" i="10"/>
  <c r="E91" i="22"/>
  <c r="AI51" i="10"/>
  <c r="K92" i="22"/>
  <c r="S48" i="9"/>
  <c r="E61" i="18"/>
  <c r="S22" i="9"/>
  <c r="D61" i="18"/>
  <c r="R15" i="17" s="1"/>
  <c r="T74" i="9"/>
  <c r="M61" i="18"/>
  <c r="S125" i="9"/>
  <c r="H60" i="18"/>
  <c r="T22" i="9"/>
  <c r="K61" i="18"/>
  <c r="S15" i="17" s="1"/>
  <c r="T99" i="9"/>
  <c r="N60" i="18"/>
  <c r="T48" i="9"/>
  <c r="L61" i="18"/>
  <c r="S74" i="9"/>
  <c r="F61" i="18"/>
  <c r="S99" i="9"/>
  <c r="G60" i="18"/>
  <c r="T125" i="9"/>
  <c r="O60" i="18"/>
  <c r="AH51" i="10" l="1"/>
  <c r="E92" i="22"/>
  <c r="AI76" i="10"/>
  <c r="L91" i="22"/>
  <c r="AI101" i="10"/>
  <c r="M90" i="22"/>
  <c r="T16" i="23" s="1"/>
  <c r="AH101" i="10"/>
  <c r="G90" i="22"/>
  <c r="S16" i="23" s="1"/>
  <c r="AI52" i="10"/>
  <c r="K93" i="22"/>
  <c r="AH76" i="10"/>
  <c r="F91" i="22"/>
  <c r="T75" i="9"/>
  <c r="M62" i="18"/>
  <c r="S23" i="9"/>
  <c r="D62" i="18"/>
  <c r="R16" i="17" s="1"/>
  <c r="S126" i="9"/>
  <c r="H61" i="18"/>
  <c r="T49" i="9"/>
  <c r="L62" i="18"/>
  <c r="S75" i="9"/>
  <c r="F62" i="18"/>
  <c r="T126" i="9"/>
  <c r="O61" i="18"/>
  <c r="T100" i="9"/>
  <c r="N61" i="18"/>
  <c r="S100" i="9"/>
  <c r="G61" i="18"/>
  <c r="T23" i="9"/>
  <c r="K62" i="18"/>
  <c r="S16" i="17" s="1"/>
  <c r="S49" i="9"/>
  <c r="E62" i="18"/>
  <c r="AI53" i="10" l="1"/>
  <c r="K94" i="22"/>
  <c r="AH102" i="10"/>
  <c r="G91" i="22"/>
  <c r="S17" i="23" s="1"/>
  <c r="AH52" i="10"/>
  <c r="E93" i="22"/>
  <c r="AH77" i="10"/>
  <c r="F92" i="22"/>
  <c r="AI77" i="10"/>
  <c r="L92" i="22"/>
  <c r="AI102" i="10"/>
  <c r="M91" i="22"/>
  <c r="T17" i="23" s="1"/>
  <c r="T50" i="9"/>
  <c r="L63" i="18"/>
  <c r="T101" i="9"/>
  <c r="N62" i="18"/>
  <c r="S24" i="9"/>
  <c r="D63" i="18"/>
  <c r="R17" i="17" s="1"/>
  <c r="S127" i="9"/>
  <c r="H62" i="18"/>
  <c r="S101" i="9"/>
  <c r="G62" i="18"/>
  <c r="S50" i="9"/>
  <c r="E63" i="18"/>
  <c r="T127" i="9"/>
  <c r="O62" i="18"/>
  <c r="T24" i="9"/>
  <c r="K63" i="18"/>
  <c r="S17" i="17" s="1"/>
  <c r="S76" i="9"/>
  <c r="F63" i="18"/>
  <c r="T76" i="9"/>
  <c r="M63" i="18"/>
  <c r="AH53" i="10" l="1"/>
  <c r="E94" i="22"/>
  <c r="AH103" i="10"/>
  <c r="G92" i="22"/>
  <c r="S18" i="23" s="1"/>
  <c r="AI78" i="10"/>
  <c r="L93" i="22"/>
  <c r="AI54" i="10"/>
  <c r="K96" i="22" s="1"/>
  <c r="K95" i="22"/>
  <c r="AI103" i="10"/>
  <c r="M92" i="22"/>
  <c r="T18" i="23" s="1"/>
  <c r="AH78" i="10"/>
  <c r="F93" i="22"/>
  <c r="T102" i="9"/>
  <c r="N63" i="18"/>
  <c r="T25" i="9"/>
  <c r="K64" i="18"/>
  <c r="S18" i="17" s="1"/>
  <c r="S128" i="9"/>
  <c r="H63" i="18"/>
  <c r="S25" i="9"/>
  <c r="D64" i="18"/>
  <c r="R18" i="17" s="1"/>
  <c r="S51" i="9"/>
  <c r="E64" i="18"/>
  <c r="T128" i="9"/>
  <c r="O63" i="18"/>
  <c r="T77" i="9"/>
  <c r="M64" i="18"/>
  <c r="S77" i="9"/>
  <c r="F64" i="18"/>
  <c r="S102" i="9"/>
  <c r="G63" i="18"/>
  <c r="T51" i="9"/>
  <c r="L64" i="18"/>
  <c r="AI104" i="10" l="1"/>
  <c r="M93" i="22"/>
  <c r="T19" i="23" s="1"/>
  <c r="AH104" i="10"/>
  <c r="G93" i="22"/>
  <c r="S19" i="23" s="1"/>
  <c r="AH79" i="10"/>
  <c r="F94" i="22"/>
  <c r="AI79" i="10"/>
  <c r="L94" i="22"/>
  <c r="AH54" i="10"/>
  <c r="E96" i="22" s="1"/>
  <c r="E95" i="22"/>
  <c r="S26" i="9"/>
  <c r="D65" i="18"/>
  <c r="R19" i="17" s="1"/>
  <c r="T52" i="9"/>
  <c r="L65" i="18"/>
  <c r="T26" i="9"/>
  <c r="K65" i="18"/>
  <c r="S19" i="17" s="1"/>
  <c r="S78" i="9"/>
  <c r="F65" i="18"/>
  <c r="T78" i="9"/>
  <c r="M65" i="18"/>
  <c r="S129" i="9"/>
  <c r="H64" i="18"/>
  <c r="T129" i="9"/>
  <c r="O64" i="18"/>
  <c r="S103" i="9"/>
  <c r="G64" i="18"/>
  <c r="S52" i="9"/>
  <c r="E65" i="18"/>
  <c r="T103" i="9"/>
  <c r="N64" i="18"/>
  <c r="AH105" i="10" l="1"/>
  <c r="G94" i="22"/>
  <c r="S20" i="23" s="1"/>
  <c r="AH80" i="10"/>
  <c r="F96" i="22" s="1"/>
  <c r="F95" i="22"/>
  <c r="AI105" i="10"/>
  <c r="M94" i="22"/>
  <c r="T20" i="23" s="1"/>
  <c r="AI80" i="10"/>
  <c r="L96" i="22" s="1"/>
  <c r="L95" i="22"/>
  <c r="S104" i="9"/>
  <c r="G65" i="18"/>
  <c r="T27" i="9"/>
  <c r="K66" i="18"/>
  <c r="S20" i="17" s="1"/>
  <c r="T104" i="9"/>
  <c r="N65" i="18"/>
  <c r="T53" i="9"/>
  <c r="L66" i="18"/>
  <c r="S79" i="9"/>
  <c r="F66" i="18"/>
  <c r="T130" i="9"/>
  <c r="O65" i="18"/>
  <c r="S130" i="9"/>
  <c r="H65" i="18"/>
  <c r="S53" i="9"/>
  <c r="E66" i="18"/>
  <c r="T79" i="9"/>
  <c r="M66" i="18"/>
  <c r="S27" i="9"/>
  <c r="D66" i="18"/>
  <c r="R20" i="17" s="1"/>
  <c r="AI106" i="10" l="1"/>
  <c r="M96" i="22" s="1"/>
  <c r="T22" i="23" s="1"/>
  <c r="M95" i="22"/>
  <c r="T21" i="23" s="1"/>
  <c r="AH106" i="10"/>
  <c r="G96" i="22" s="1"/>
  <c r="S22" i="23" s="1"/>
  <c r="G95" i="22"/>
  <c r="S21" i="23" s="1"/>
  <c r="T54" i="9"/>
  <c r="L67" i="18"/>
  <c r="T105" i="9"/>
  <c r="N66" i="18"/>
  <c r="T28" i="9"/>
  <c r="K67" i="18"/>
  <c r="S21" i="17" s="1"/>
  <c r="S54" i="9"/>
  <c r="E67" i="18"/>
  <c r="S28" i="9"/>
  <c r="D67" i="18"/>
  <c r="R21" i="17" s="1"/>
  <c r="S131" i="9"/>
  <c r="H66" i="18"/>
  <c r="T131" i="9"/>
  <c r="O66" i="18"/>
  <c r="M67" i="18"/>
  <c r="T80" i="9"/>
  <c r="S80" i="9"/>
  <c r="F67" i="18"/>
  <c r="S105" i="9"/>
  <c r="G66" i="18"/>
  <c r="M68" i="18" l="1"/>
  <c r="E68" i="18"/>
  <c r="K68" i="18"/>
  <c r="S22" i="17" s="1"/>
  <c r="F68" i="18"/>
  <c r="D68" i="18"/>
  <c r="R22" i="17" s="1"/>
  <c r="L68" i="18"/>
  <c r="T132" i="9"/>
  <c r="O67" i="18"/>
  <c r="S106" i="9"/>
  <c r="G67" i="18"/>
  <c r="T106" i="9"/>
  <c r="N67" i="18"/>
  <c r="S132" i="9"/>
  <c r="H67" i="18"/>
  <c r="D30" i="17" l="1"/>
  <c r="E30" i="17" s="1"/>
  <c r="F30" i="17" s="1"/>
  <c r="D29" i="17"/>
  <c r="E29" i="17" s="1"/>
  <c r="F29" i="17" s="1"/>
  <c r="H68" i="18"/>
  <c r="G68" i="18"/>
  <c r="O68" i="18"/>
  <c r="N68" i="18"/>
  <c r="D30" i="23" l="1"/>
  <c r="E30" i="23" s="1"/>
  <c r="F30" i="23" s="1"/>
  <c r="D29" i="23"/>
  <c r="E29" i="23" s="1"/>
  <c r="F29" i="23" s="1"/>
  <c r="R10" i="23" l="1"/>
  <c r="R13" i="23"/>
  <c r="R16" i="23"/>
  <c r="R19" i="23"/>
  <c r="R22" i="23"/>
  <c r="J71" i="2"/>
  <c r="P29" i="8" s="1"/>
  <c r="P27" i="8" s="1"/>
  <c r="P22" i="8"/>
  <c r="D46" i="22" l="1"/>
  <c r="D40" i="22"/>
  <c r="W22" i="10"/>
  <c r="AB22" i="10" s="1"/>
  <c r="W28" i="10"/>
  <c r="AB28" i="10" s="1"/>
  <c r="D43" i="22"/>
  <c r="P24" i="8"/>
  <c r="W16" i="10"/>
  <c r="AB16" i="10" s="1"/>
  <c r="W25" i="10"/>
  <c r="AB25" i="10" s="1"/>
  <c r="W19" i="10"/>
  <c r="AB19" i="10" s="1"/>
  <c r="D52" i="22"/>
  <c r="D49" i="22"/>
  <c r="X22" i="10" l="1"/>
  <c r="D70" i="22" s="1"/>
  <c r="Y22" i="10"/>
  <c r="J70" i="22" s="1"/>
  <c r="Y28" i="10"/>
  <c r="J76" i="22" s="1"/>
  <c r="X28" i="10"/>
  <c r="D76" i="22" s="1"/>
  <c r="Y16" i="10"/>
  <c r="X16" i="10"/>
  <c r="AG16" i="10"/>
  <c r="AG17" i="10" s="1"/>
  <c r="AG18" i="10" s="1"/>
  <c r="Y19" i="10"/>
  <c r="J67" i="22" s="1"/>
  <c r="X19" i="10"/>
  <c r="D67" i="22" s="1"/>
  <c r="X25" i="10"/>
  <c r="D73" i="22" s="1"/>
  <c r="Y25" i="10"/>
  <c r="J73" i="22" s="1"/>
  <c r="AG19" i="10" l="1"/>
  <c r="AG20" i="10" s="1"/>
  <c r="AG21" i="10" s="1"/>
  <c r="AG22" i="10" s="1"/>
  <c r="AG23" i="10" s="1"/>
  <c r="AG24" i="10" s="1"/>
  <c r="AG25" i="10" s="1"/>
  <c r="AG26" i="10" s="1"/>
  <c r="AG27" i="10" s="1"/>
  <c r="AG28" i="10" s="1"/>
  <c r="J8" i="11" s="1"/>
  <c r="J9" i="11" s="1"/>
  <c r="J11" i="11" s="1"/>
  <c r="J13" i="11" s="1"/>
  <c r="J64" i="22"/>
  <c r="AI16" i="10"/>
  <c r="AH16" i="10"/>
  <c r="D64" i="22"/>
  <c r="J10" i="11" l="1"/>
  <c r="H15" i="11" s="1"/>
  <c r="J84" i="22"/>
  <c r="AI17" i="10"/>
  <c r="D84" i="22"/>
  <c r="AH17" i="10"/>
  <c r="E15" i="11" l="1"/>
  <c r="J12" i="11"/>
  <c r="J14" i="11" s="1"/>
  <c r="D15" i="11"/>
  <c r="M15" i="11"/>
  <c r="F15" i="11"/>
  <c r="J15" i="11"/>
  <c r="G15" i="11"/>
  <c r="K15" i="11"/>
  <c r="L15" i="11"/>
  <c r="I15" i="11"/>
  <c r="D85" i="22"/>
  <c r="AH18" i="10"/>
  <c r="J85" i="22"/>
  <c r="AI18" i="10"/>
  <c r="J86" i="22" l="1"/>
  <c r="AI19" i="10"/>
  <c r="D86" i="22"/>
  <c r="AH19" i="10"/>
  <c r="AH20" i="10" l="1"/>
  <c r="D87" i="22"/>
  <c r="J87" i="22"/>
  <c r="AI20" i="10"/>
  <c r="J88" i="22" l="1"/>
  <c r="AI21" i="10"/>
  <c r="D88" i="22"/>
  <c r="AH21" i="10"/>
  <c r="D89" i="22" l="1"/>
  <c r="AH22" i="10"/>
  <c r="AI22" i="10"/>
  <c r="J89" i="22"/>
  <c r="AI23" i="10" l="1"/>
  <c r="J90" i="22"/>
  <c r="D90" i="22"/>
  <c r="AH23" i="10"/>
  <c r="AH24" i="10" l="1"/>
  <c r="D91" i="22"/>
  <c r="AI24" i="10"/>
  <c r="J91" i="22"/>
  <c r="J92" i="22" l="1"/>
  <c r="AI25" i="10"/>
  <c r="AH25" i="10"/>
  <c r="D92" i="22"/>
  <c r="AH26" i="10" l="1"/>
  <c r="D93" i="22"/>
  <c r="AI26" i="10"/>
  <c r="J93" i="22"/>
  <c r="J94" i="22" l="1"/>
  <c r="AI27" i="10"/>
  <c r="AH27" i="10"/>
  <c r="D94" i="22"/>
  <c r="AI28" i="10" l="1"/>
  <c r="J96" i="22" s="1"/>
  <c r="J95" i="22"/>
  <c r="D95" i="22"/>
  <c r="AH28" i="10"/>
  <c r="D96" i="22" s="1"/>
</calcChain>
</file>

<file path=xl/comments1.xml><?xml version="1.0" encoding="utf-8"?>
<comments xmlns="http://schemas.openxmlformats.org/spreadsheetml/2006/main">
  <authors>
    <author>Cumplido-Marín, Laura</author>
  </authors>
  <commentList>
    <comment ref="C5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https://www.agricentre.basf.co.uk/en/Crop-Solutions/Crop-overview/Maize/economics-of-the-crop.html</t>
        </r>
      </text>
    </comment>
  </commentList>
</comments>
</file>

<file path=xl/comments2.xml><?xml version="1.0" encoding="utf-8"?>
<comments xmlns="http://schemas.openxmlformats.org/spreadsheetml/2006/main">
  <authors>
    <author>Cumplido-Marín, Laura</author>
  </authors>
  <commentList>
    <comment ref="D4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E4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F4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G4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H4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</commentList>
</comments>
</file>

<file path=xl/comments3.xml><?xml version="1.0" encoding="utf-8"?>
<comments xmlns="http://schemas.openxmlformats.org/spreadsheetml/2006/main">
  <authors>
    <author>Cumplido-Marín, Laura</author>
  </authors>
  <commentList>
    <comment ref="F5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Considering €350 per 1000 seedlings from Dirk</t>
        </r>
      </text>
    </comment>
    <comment ref="G5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Considering seeds at 295€ per 500 g, sowing density 2.5 kg/ha from https://www.energiepflanzen.com/product/durchwachsene-silphie-unbehandeltes-saatgut/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Conisdering planting density of 14000 as advised in https://www.energiepflanzen.com/product/sida-im-4x4cm-presstopf/</t>
        </r>
      </text>
    </comment>
    <comment ref="D8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E8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F8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G8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D82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fixed costs'</t>
        </r>
      </text>
    </comment>
    <comment ref="E82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fixed costs'</t>
        </r>
      </text>
    </comment>
    <comment ref="F82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'calculated in 'Energy fixed costs'</t>
        </r>
      </text>
    </comment>
    <comment ref="G82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fixed costs'</t>
        </r>
      </text>
    </comment>
    <comment ref="D8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E8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8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8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8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8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forage maize (ABC, 2019)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86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87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Miscanthus</t>
        </r>
      </text>
    </comment>
    <comment ref="G87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asummed same as miscanthus</t>
        </r>
      </text>
    </comment>
    <comment ref="D90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E90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F90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G90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E9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9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9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92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92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D9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E9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fixed costs</t>
        </r>
      </text>
    </comment>
    <comment ref="F9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Same as harvesting only of forage maize (ABC, 2019)</t>
        </r>
      </text>
    </comment>
  </commentList>
</comments>
</file>

<file path=xl/sharedStrings.xml><?xml version="1.0" encoding="utf-8"?>
<sst xmlns="http://schemas.openxmlformats.org/spreadsheetml/2006/main" count="8202" uniqueCount="691">
  <si>
    <t>Straw variable costs</t>
  </si>
  <si>
    <t>Production</t>
  </si>
  <si>
    <t>Main crop</t>
  </si>
  <si>
    <t>Straw</t>
  </si>
  <si>
    <t>Wheat</t>
  </si>
  <si>
    <t>Oats</t>
  </si>
  <si>
    <t>OSR</t>
  </si>
  <si>
    <t>Sugar beet</t>
  </si>
  <si>
    <t>Prices</t>
  </si>
  <si>
    <t>Straw price</t>
  </si>
  <si>
    <t>Single farm payment</t>
  </si>
  <si>
    <t>Output</t>
  </si>
  <si>
    <t>Total</t>
  </si>
  <si>
    <t>Variable costs</t>
  </si>
  <si>
    <t xml:space="preserve">Sub-total </t>
  </si>
  <si>
    <t>Nitrogen price</t>
  </si>
  <si>
    <t>Nitrogen rate</t>
  </si>
  <si>
    <t>Phosphorus price</t>
  </si>
  <si>
    <t>Phosphorus rate</t>
  </si>
  <si>
    <t>Pottassium price</t>
  </si>
  <si>
    <t>Pottassium rate</t>
  </si>
  <si>
    <t>Straw units</t>
  </si>
  <si>
    <t>Fixed costs</t>
  </si>
  <si>
    <t>Main crop operations</t>
  </si>
  <si>
    <t>Straw operations costs</t>
  </si>
  <si>
    <t>Labour cost</t>
  </si>
  <si>
    <t>Labour input (grain)</t>
  </si>
  <si>
    <t>(hr)</t>
  </si>
  <si>
    <t>Labour input (straw)</t>
  </si>
  <si>
    <t>Net margins</t>
  </si>
  <si>
    <t>Breakdown of fixed costs (machinary and labour) for different farming operations (included above)</t>
  </si>
  <si>
    <t>Maize</t>
  </si>
  <si>
    <t>Cultivation</t>
  </si>
  <si>
    <t>Fertiliser</t>
  </si>
  <si>
    <t>Drilling</t>
  </si>
  <si>
    <t>Spraying</t>
  </si>
  <si>
    <t>Total fixed costs</t>
  </si>
  <si>
    <t>Total labour cost</t>
  </si>
  <si>
    <t>Total labour input</t>
  </si>
  <si>
    <t>Fixed cost w/out labour</t>
  </si>
  <si>
    <t>Labour rate</t>
  </si>
  <si>
    <t>Cultivations</t>
  </si>
  <si>
    <t>Multiplier</t>
  </si>
  <si>
    <t>Total cost</t>
  </si>
  <si>
    <t>Hours</t>
  </si>
  <si>
    <t>Cost</t>
  </si>
  <si>
    <t>Stubble raking</t>
  </si>
  <si>
    <t>Total cultivation costs</t>
  </si>
  <si>
    <t>Extra for variable rate application</t>
  </si>
  <si>
    <t>Liquid fertiliser</t>
  </si>
  <si>
    <t>Total fertiliser application costs</t>
  </si>
  <si>
    <t>Grass seed (broadcast)</t>
  </si>
  <si>
    <t>Maize precision drilling</t>
  </si>
  <si>
    <t>Sugar beet drilling</t>
  </si>
  <si>
    <t>De-stoning potato land</t>
  </si>
  <si>
    <t>Potato ridging</t>
  </si>
  <si>
    <t>Potato planting</t>
  </si>
  <si>
    <t>Total drilling costs</t>
  </si>
  <si>
    <t>Extra if less than 50 acres (20ha)</t>
  </si>
  <si>
    <t>Spraying (120-150 l/ha 36 boom)</t>
  </si>
  <si>
    <t>Spraying (based on 200 l/ha &amp; 24m boom)</t>
  </si>
  <si>
    <t>Weed wiping</t>
  </si>
  <si>
    <t>Total spraying costs</t>
  </si>
  <si>
    <t>Forage hasvesting only- first cut</t>
  </si>
  <si>
    <t>Combining cereals</t>
  </si>
  <si>
    <t>Crop drying (inc. intake and pre-cleaning) (per tonne)</t>
  </si>
  <si>
    <t>Grass topping</t>
  </si>
  <si>
    <t>Grass mowing</t>
  </si>
  <si>
    <t>Tedding</t>
  </si>
  <si>
    <t>Raking</t>
  </si>
  <si>
    <t>Grain storage (per tonne per month)</t>
  </si>
  <si>
    <t>Handling into store (per tonne)</t>
  </si>
  <si>
    <t>Handling out of store (per tonne)</t>
  </si>
  <si>
    <t>Schedule</t>
  </si>
  <si>
    <t>Start year</t>
  </si>
  <si>
    <t>Events</t>
  </si>
  <si>
    <t>Average annual summary</t>
  </si>
  <si>
    <t>Yield per harvest</t>
  </si>
  <si>
    <t>Woodchips</t>
  </si>
  <si>
    <t xml:space="preserve">Woodchips sub-total </t>
  </si>
  <si>
    <t>Planting subsidy</t>
  </si>
  <si>
    <t>Product output</t>
  </si>
  <si>
    <t>Establishment costs</t>
  </si>
  <si>
    <t>Cuttings/seedlings</t>
  </si>
  <si>
    <t>Planting Material sub-total</t>
  </si>
  <si>
    <t>Planting</t>
  </si>
  <si>
    <t>Cuttback at the end of the first year</t>
  </si>
  <si>
    <t>Total establishment costs</t>
  </si>
  <si>
    <t>Recurring costs</t>
  </si>
  <si>
    <t>Total recurring costs</t>
  </si>
  <si>
    <t>Total costs</t>
  </si>
  <si>
    <r>
      <t>(odt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</si>
  <si>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(t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</si>
  <si>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(kg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</si>
  <si>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t>SRC</t>
  </si>
  <si>
    <t>Miscanthus</t>
  </si>
  <si>
    <t>Sida</t>
  </si>
  <si>
    <t>Silphie</t>
  </si>
  <si>
    <t>Later barn work</t>
  </si>
  <si>
    <t>Drying</t>
  </si>
  <si>
    <t>Contract rate</t>
  </si>
  <si>
    <t>Farmer rate</t>
  </si>
  <si>
    <t>Deep ploughing (&gt; 30cm)</t>
  </si>
  <si>
    <t>Sub-soiling/Flat lifting</t>
  </si>
  <si>
    <t>Mole-ploughing - single leg</t>
  </si>
  <si>
    <t>Spring-time harrowing</t>
  </si>
  <si>
    <t>Pressing</t>
  </si>
  <si>
    <t>Rolling - flat (grassland)</t>
  </si>
  <si>
    <t>Cultivation (Rexus Twin / Culti-press etc)</t>
  </si>
  <si>
    <t>One-pass tillage train (Solo/Discordon etc)</t>
  </si>
  <si>
    <t>Rape drilling with flatlift/subsoiler</t>
  </si>
  <si>
    <t xml:space="preserve">Cereal drilling - conventional </t>
  </si>
  <si>
    <t>Cereal drilling - Combi-drilling</t>
  </si>
  <si>
    <t>Cereal drilling - Cultivator drill (Vaderstad)</t>
  </si>
  <si>
    <t>Direct drilling</t>
  </si>
  <si>
    <t>Carrot/parsnip/onion precision drilling</t>
  </si>
  <si>
    <t>Grass seeding with harrow (e.g. Opico)</t>
  </si>
  <si>
    <t>Cross drilling grass</t>
  </si>
  <si>
    <t>-</t>
  </si>
  <si>
    <t>Chain harrowing</t>
  </si>
  <si>
    <t>Maize drilling under plastic</t>
  </si>
  <si>
    <t>Ploughing - light land</t>
  </si>
  <si>
    <t>Ploughing - heavy land</t>
  </si>
  <si>
    <t>Ploughing - with furrow press</t>
  </si>
  <si>
    <t>Rotavating - grass</t>
  </si>
  <si>
    <t>Rotavating - ploughed land</t>
  </si>
  <si>
    <t>Discing - Deep</t>
  </si>
  <si>
    <t>Discing- Shallow</t>
  </si>
  <si>
    <t>Power harrowing - deep/on ploughing</t>
  </si>
  <si>
    <t>Power harrowing - shallow/seedbed prep</t>
  </si>
  <si>
    <t>Rolling - ring (seedbeds)</t>
  </si>
  <si>
    <t>Lime spreading (per tonne)</t>
  </si>
  <si>
    <t>Irrigation</t>
  </si>
  <si>
    <t>Irrigating (excl. Water costs) per inch</t>
  </si>
  <si>
    <t>Total Irrigation costs</t>
  </si>
  <si>
    <t>ATV spraying</t>
  </si>
  <si>
    <t>Slug-pelleting</t>
  </si>
  <si>
    <t>Avadex spraying</t>
  </si>
  <si>
    <t>Combining cereals - Extra for straw chopper on combine</t>
  </si>
  <si>
    <t>Combining cereals - Extra for seeding (Autocast)</t>
  </si>
  <si>
    <t>Combining cereals - Extra for yield mapping</t>
  </si>
  <si>
    <t>OSR harvesting - out of window</t>
  </si>
  <si>
    <t>OSR harvesting - direct combining</t>
  </si>
  <si>
    <t>Combining peas/beans</t>
  </si>
  <si>
    <t>Combining grain maize</t>
  </si>
  <si>
    <t>Swathing OSR</t>
  </si>
  <si>
    <t>Grain carting to barn (per hour)</t>
  </si>
  <si>
    <t>Fertilising</t>
  </si>
  <si>
    <t>Forage hasvesting only - other cuts</t>
  </si>
  <si>
    <t>Forage harvesting, cart (3 trailers) and clamping (1st cut)</t>
  </si>
  <si>
    <t>Whole crop forage harvesting, cart (3 trailers) and clamping</t>
  </si>
  <si>
    <t>Complete service - mow, rake, forage harvest, cart (3 trailers) and clamp</t>
  </si>
  <si>
    <t>Extra forage trailer (per hour)</t>
  </si>
  <si>
    <t>Flail topping margings (per hour)</t>
  </si>
  <si>
    <t>Forage box (per hour)</t>
  </si>
  <si>
    <t>Baling</t>
  </si>
  <si>
    <t>Baling (per bale) - 'small'</t>
  </si>
  <si>
    <t>Baling (per bale) - 80cm x 90cm</t>
  </si>
  <si>
    <t>Baling (per bale) - 120cm x 70cm</t>
  </si>
  <si>
    <t>Baling (per bale) - 120cm x 90cm</t>
  </si>
  <si>
    <t>Baling (per bale) - 120cm x 130cm</t>
  </si>
  <si>
    <t>Baling (per bale) - Round 120cm</t>
  </si>
  <si>
    <t>Baling (per bale) - Round 150cm</t>
  </si>
  <si>
    <t>Bale wrapping - Round 120cm (6 layers)</t>
  </si>
  <si>
    <t>Bale wrapping - Round 120cm (with 4 layers)</t>
  </si>
  <si>
    <t>Bale wrapping - Round 120cm (wthout plastic)</t>
  </si>
  <si>
    <t>Bale wrapping - Square 120cm x 70cm (6 layers)</t>
  </si>
  <si>
    <t>Bale wrapping - Square 120cm x 70cm (4 layers)</t>
  </si>
  <si>
    <t>Bale wrapping - Square 120cm x 70cm (without plastic)</t>
  </si>
  <si>
    <t>Bale chaser (per hour)</t>
  </si>
  <si>
    <t>Total baling costs</t>
  </si>
  <si>
    <t>Potato harvesting - harvesting only</t>
  </si>
  <si>
    <t>Potato harvesting - harvesting and carting</t>
  </si>
  <si>
    <t>Sugar beet harvesting - harvesting only</t>
  </si>
  <si>
    <t>Sugar beet harvesting - harvesting and carting</t>
  </si>
  <si>
    <t>Root crops irrigation (25 mm application / ha)</t>
  </si>
  <si>
    <t>FYM spreading - tractor and rear discharge (per hour)</t>
  </si>
  <si>
    <t>FYM spreading - tractor and side discharge spreader (per hour)</t>
  </si>
  <si>
    <t>Slurry spreader- tanker (per hour)</t>
  </si>
  <si>
    <t>Slurry spreader- umbilical (per hour)</t>
  </si>
  <si>
    <t>Slurry spreader- extra pump (per hour)</t>
  </si>
  <si>
    <t>Slurry inyection (per hour)</t>
  </si>
  <si>
    <t>Harvesting</t>
  </si>
  <si>
    <t>Total harvesting costs</t>
  </si>
  <si>
    <t>Forage maize harvesting incl carting (3 trailers) and clamping</t>
  </si>
  <si>
    <t>Grass and Forage management</t>
  </si>
  <si>
    <t>Total grass and forage management costs</t>
  </si>
  <si>
    <t>Drilling/planting</t>
  </si>
  <si>
    <t>General maintenance</t>
  </si>
  <si>
    <t>Quad bike (including man)</t>
  </si>
  <si>
    <t>Hedge cutting - flail (per hour)</t>
  </si>
  <si>
    <t>Hedge cutting - saw-blade (per hour)</t>
  </si>
  <si>
    <t>Hedge laying (per metre)</t>
  </si>
  <si>
    <t>Fence erection (with materials) - post and 4 Barb (per metre)</t>
  </si>
  <si>
    <t>Fence erection (with materials) - post, stock  net, and 2 Barb (per metre)</t>
  </si>
  <si>
    <t>Fence erection (with materials) - post and 3 rails (per metre)</t>
  </si>
  <si>
    <t>Tractor + Post Knocker + Man (per hour)</t>
  </si>
  <si>
    <t>Ditching using 360 deg digger (per hour)</t>
  </si>
  <si>
    <t>Tractor + Trailer + Man (per hour)</t>
  </si>
  <si>
    <t>100 - 150 hp Tractor + man (per hour)</t>
  </si>
  <si>
    <t>150 - 220 hp Tractor + man (per hour)</t>
  </si>
  <si>
    <t>220 - 300 hp Tractor + man (per hour)</t>
  </si>
  <si>
    <t>300 hp Tractor + man (per hour)</t>
  </si>
  <si>
    <t>Forklift/Telehandler + man (per hour)</t>
  </si>
  <si>
    <t>Total general maintenance costs</t>
  </si>
  <si>
    <t>Total crop drying costs</t>
  </si>
  <si>
    <t>Fertliser distribution</t>
  </si>
  <si>
    <t>Cart</t>
  </si>
  <si>
    <t>Barn work</t>
  </si>
  <si>
    <t>Grass and Forage mngmnt</t>
  </si>
  <si>
    <t>General mntnance</t>
  </si>
  <si>
    <t>Main crop fixed costs</t>
  </si>
  <si>
    <t>Straw fixed costs</t>
  </si>
  <si>
    <t>Redman (2018)</t>
  </si>
  <si>
    <t>ABC (2018)</t>
  </si>
  <si>
    <t>Labour input grain</t>
  </si>
  <si>
    <t>Labour input straw</t>
  </si>
  <si>
    <t>h</t>
  </si>
  <si>
    <t>General</t>
  </si>
  <si>
    <t>Basic payment scheme</t>
  </si>
  <si>
    <t>Land rent</t>
  </si>
  <si>
    <t>Other overheads</t>
  </si>
  <si>
    <t>Grain/whole plant</t>
  </si>
  <si>
    <t>Commodity output prices (at the "farm gate")</t>
  </si>
  <si>
    <t>Grain</t>
  </si>
  <si>
    <t>Input prices: paid by farmers</t>
  </si>
  <si>
    <t>labour wage rate:</t>
  </si>
  <si>
    <t>Agrochemical prices</t>
  </si>
  <si>
    <t>N</t>
  </si>
  <si>
    <t>Sprays (pesticides, herbicides, etc)</t>
  </si>
  <si>
    <t>Straw variable costs (baling string)</t>
  </si>
  <si>
    <t>Physical inputs by crop: Quantities/ha</t>
  </si>
  <si>
    <t>Coming from Arable fixed costs</t>
  </si>
  <si>
    <t>Calculated/assumed value from Redman (2018)</t>
  </si>
  <si>
    <t>Fixed costs (machine costs)</t>
  </si>
  <si>
    <t>Sub-Total</t>
  </si>
  <si>
    <t>Fixed costs (labour)</t>
  </si>
  <si>
    <t>Main crop labour</t>
  </si>
  <si>
    <t>Summary of variable costs</t>
  </si>
  <si>
    <t>Staw labour</t>
  </si>
  <si>
    <t>Other fixed costs</t>
  </si>
  <si>
    <t>Summary of fixed costs</t>
  </si>
  <si>
    <t>way: 1=contract cost, 2=farmer cost</t>
  </si>
  <si>
    <t>way</t>
  </si>
  <si>
    <t>Drying (per tonne)</t>
  </si>
  <si>
    <t>Rotations and harvests</t>
  </si>
  <si>
    <t xml:space="preserve">Sida </t>
  </si>
  <si>
    <t>Physical production</t>
  </si>
  <si>
    <t>Input prices</t>
  </si>
  <si>
    <t>Planting material</t>
  </si>
  <si>
    <t>Output prices (at the "farm gate")</t>
  </si>
  <si>
    <t>Biomass</t>
  </si>
  <si>
    <t>Field operations: costs (labour and machinery):</t>
  </si>
  <si>
    <t>Establishment operations:</t>
  </si>
  <si>
    <t>Ground preparation</t>
  </si>
  <si>
    <t>Mechanical weeding</t>
  </si>
  <si>
    <t>Recurring operations:</t>
  </si>
  <si>
    <t>Decommissioning</t>
  </si>
  <si>
    <t>(years)</t>
  </si>
  <si>
    <t>Note:  Biomass is woodchips for SRC and Sida, straw for miscanthus, silage por maize and Silphie</t>
  </si>
  <si>
    <t>Forage maize</t>
  </si>
  <si>
    <t>Note:  Biomass is woodchips for SRC and Sida, straw for miscanthus, silage for maize and Silphie</t>
  </si>
  <si>
    <t>Note:  ODT = oven dried tonne</t>
  </si>
  <si>
    <t>End year</t>
  </si>
  <si>
    <t>Frequency</t>
  </si>
  <si>
    <t>16 years summary of prices and costs</t>
  </si>
  <si>
    <t>Decommissioning costs</t>
  </si>
  <si>
    <t>Total decommissioning costs</t>
  </si>
  <si>
    <t>Nitrogen sub-total</t>
  </si>
  <si>
    <t>Phosphorus sub-total</t>
  </si>
  <si>
    <t>Potassium sub-total</t>
  </si>
  <si>
    <t>Crop revenue</t>
  </si>
  <si>
    <t>Net margins (without subsidies)</t>
  </si>
  <si>
    <t>Net margins (with subsidies)</t>
  </si>
  <si>
    <t>Coming from Energy basic inputs</t>
  </si>
  <si>
    <t xml:space="preserve">Discounted </t>
  </si>
  <si>
    <t>Discounted Cumulative</t>
  </si>
  <si>
    <t>Years</t>
  </si>
  <si>
    <t>Crop</t>
  </si>
  <si>
    <t>Crop Revenue (without single farm payment)</t>
  </si>
  <si>
    <t>Crop Revenue (with single farm payment)</t>
  </si>
  <si>
    <t>Total Variable Cost</t>
  </si>
  <si>
    <t>Total Fixed Costs</t>
  </si>
  <si>
    <t>Total Costs</t>
  </si>
  <si>
    <t>Annual net margin without single farm payment</t>
  </si>
  <si>
    <t>Annual net margin with single farm payment</t>
  </si>
  <si>
    <t>Discounted Crop Revenue</t>
  </si>
  <si>
    <t>Discounted Single Farm payment</t>
  </si>
  <si>
    <t>Discounted Total Cost</t>
  </si>
  <si>
    <t>Discounted net margin without single farm payment</t>
  </si>
  <si>
    <t>Discounted net margin with sigle farm payment</t>
  </si>
  <si>
    <t>Discounted Cumulative Crop Revenue</t>
  </si>
  <si>
    <t>Discounted Cumulative Single Farm payment</t>
  </si>
  <si>
    <t>Discounted Cumulative Total Cost</t>
  </si>
  <si>
    <t>Discounted Cumulative net margin without single farm payment</t>
  </si>
  <si>
    <t>Discounted Cumulative net margin with sigle farm payment</t>
  </si>
  <si>
    <t>Total Variable Costs</t>
  </si>
  <si>
    <t>Discount rate</t>
  </si>
  <si>
    <t>Sugar Beet</t>
  </si>
  <si>
    <t>Rotation</t>
  </si>
  <si>
    <t>Year</t>
  </si>
  <si>
    <t>Total Establishment Costs</t>
  </si>
  <si>
    <t>Total Recurring Costs</t>
  </si>
  <si>
    <t xml:space="preserve">Yield               </t>
  </si>
  <si>
    <t xml:space="preserve">Price               </t>
  </si>
  <si>
    <t>Total Decomm. Costs</t>
  </si>
  <si>
    <t xml:space="preserve">Discounted Total Costs </t>
  </si>
  <si>
    <t>Discounted Total Revenue</t>
  </si>
  <si>
    <t>Discounted Total Costs</t>
  </si>
  <si>
    <t>Discounted Cumulative Total Costs</t>
  </si>
  <si>
    <t>discount rate</t>
  </si>
  <si>
    <t>Relative changes (%) in inputs parameters</t>
  </si>
  <si>
    <t>Range</t>
  </si>
  <si>
    <t>Rank</t>
  </si>
  <si>
    <t>Yield</t>
  </si>
  <si>
    <t>Costs</t>
  </si>
  <si>
    <t>%</t>
  </si>
  <si>
    <t>Discounted</t>
  </si>
  <si>
    <t>Price +50%</t>
  </si>
  <si>
    <t>Sida 0%</t>
  </si>
  <si>
    <t>Sida +50%</t>
  </si>
  <si>
    <t>Sida -50%</t>
  </si>
  <si>
    <t>Sida +100%</t>
  </si>
  <si>
    <t>Sida -100%</t>
  </si>
  <si>
    <t>Price -50%</t>
  </si>
  <si>
    <t>Price +100%</t>
  </si>
  <si>
    <t>Price -100%</t>
  </si>
  <si>
    <t>Yield +50%</t>
  </si>
  <si>
    <t>Yield -50%</t>
  </si>
  <si>
    <t>Yield +100%</t>
  </si>
  <si>
    <t>Yield -100%</t>
  </si>
  <si>
    <t>Costs +50%</t>
  </si>
  <si>
    <t>Costs -50%</t>
  </si>
  <si>
    <t>Costs +100%</t>
  </si>
  <si>
    <t>Costs -100%</t>
  </si>
  <si>
    <t>PRICE</t>
  </si>
  <si>
    <t>YIELD</t>
  </si>
  <si>
    <t>COSTS</t>
  </si>
  <si>
    <t>Price</t>
  </si>
  <si>
    <t>Variable Costs</t>
  </si>
  <si>
    <t>Fixed Costs</t>
  </si>
  <si>
    <r>
      <t>(t ha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)</t>
    </r>
  </si>
  <si>
    <r>
      <t>t ha</t>
    </r>
    <r>
      <rPr>
        <vertAlign val="superscript"/>
        <sz val="8"/>
        <rFont val="Arial"/>
        <family val="2"/>
      </rPr>
      <t>-1</t>
    </r>
  </si>
  <si>
    <r>
      <t>app. ha</t>
    </r>
    <r>
      <rPr>
        <vertAlign val="superscript"/>
        <sz val="8"/>
        <rFont val="Arial"/>
        <family val="2"/>
      </rPr>
      <t>-1</t>
    </r>
  </si>
  <si>
    <t>ARABLE</t>
  </si>
  <si>
    <t>ENERGY</t>
  </si>
  <si>
    <t>Coming from Arable margins</t>
  </si>
  <si>
    <t>Coming from Energy margins</t>
  </si>
  <si>
    <t>SENSITIVITY ANALYSIS: PRICE</t>
  </si>
  <si>
    <t>SENSITIVITY ANALYSIS: YIELD</t>
  </si>
  <si>
    <t>SENSITIVITY ANALYSIS: COSTS</t>
  </si>
  <si>
    <t>SENSITIVITY ANALYSIS: DISC. RATE</t>
  </si>
  <si>
    <t>Arable system with grants</t>
  </si>
  <si>
    <t>Arable system without grants</t>
  </si>
  <si>
    <t xml:space="preserve">Net present value at 0% discount rate    </t>
  </si>
  <si>
    <r>
      <t>NPV16</t>
    </r>
    <r>
      <rPr>
        <vertAlign val="subscript"/>
        <sz val="8"/>
        <color theme="1"/>
        <rFont val="Arial"/>
        <family val="2"/>
      </rPr>
      <t xml:space="preserve"> years</t>
    </r>
    <r>
      <rPr>
        <sz val="8"/>
        <color theme="1"/>
        <rFont val="Arial"/>
        <family val="2"/>
      </rPr>
      <t xml:space="preserve"> </t>
    </r>
  </si>
  <si>
    <r>
      <t>NPV</t>
    </r>
    <r>
      <rPr>
        <vertAlign val="subscript"/>
        <sz val="8"/>
        <color theme="1"/>
        <rFont val="Arial"/>
        <family val="2"/>
      </rPr>
      <t>infinite</t>
    </r>
    <r>
      <rPr>
        <sz val="8"/>
        <color theme="1"/>
        <rFont val="Arial"/>
        <family val="2"/>
      </rPr>
      <t xml:space="preserve"> </t>
    </r>
  </si>
  <si>
    <t xml:space="preserve">Equivalent Annual Value </t>
  </si>
  <si>
    <t>Discount Rate</t>
  </si>
  <si>
    <t>Output cells are coloured in green</t>
  </si>
  <si>
    <t>INSTRUCTIONS FOR USE</t>
  </si>
  <si>
    <t>Default information was obtained from Redman (2018), with some exceptions:</t>
  </si>
  <si>
    <t xml:space="preserve">This excel file has been developed to perform a financial analysis of arable and energy crops in the UK. </t>
  </si>
  <si>
    <t>INTRODUCTION / EXECUTIVE SUMMARY</t>
  </si>
  <si>
    <t>Originial model developed by Dr Anil Graves, modified by Laura Cumplido-Marin</t>
  </si>
  <si>
    <t xml:space="preserve">SidaTim </t>
  </si>
  <si>
    <t>Coming from Inputs</t>
  </si>
  <si>
    <t>Price of cart and later barn work, same as tractor+trailer+man</t>
  </si>
  <si>
    <t>42.05, 35.63</t>
  </si>
  <si>
    <t>Arable Inputs</t>
  </si>
  <si>
    <t>Arable Fixed Costs</t>
  </si>
  <si>
    <t>Energy Inputs</t>
  </si>
  <si>
    <t>Price of straw from OSR</t>
  </si>
  <si>
    <t>Year of first harvest</t>
  </si>
  <si>
    <t>Interval between harvest</t>
  </si>
  <si>
    <t>Data calculated from literature review sources</t>
  </si>
  <si>
    <t>SidaTim project</t>
  </si>
  <si>
    <t>The following assumptions were made</t>
  </si>
  <si>
    <t>AHDB (2017)</t>
  </si>
  <si>
    <t>Coming from Arable Inputs</t>
  </si>
  <si>
    <t>Coming from Energy Inputs</t>
  </si>
  <si>
    <t>Title of model:</t>
  </si>
  <si>
    <t>Version number:</t>
  </si>
  <si>
    <r>
      <t xml:space="preserve"> t ha</t>
    </r>
    <r>
      <rPr>
        <vertAlign val="superscript"/>
        <sz val="8"/>
        <color theme="1"/>
        <rFont val="Arial"/>
        <family val="2"/>
      </rPr>
      <t>-1</t>
    </r>
  </si>
  <si>
    <r>
      <t>₤ t</t>
    </r>
    <r>
      <rPr>
        <vertAlign val="superscript"/>
        <sz val="8"/>
        <color theme="1"/>
        <rFont val="Arial"/>
        <family val="2"/>
      </rPr>
      <t>-1</t>
    </r>
  </si>
  <si>
    <r>
      <t>kg ha</t>
    </r>
    <r>
      <rPr>
        <vertAlign val="superscript"/>
        <sz val="8"/>
        <color theme="1"/>
        <rFont val="Arial"/>
        <family val="2"/>
      </rPr>
      <t>-1</t>
    </r>
  </si>
  <si>
    <r>
      <t>application ha</t>
    </r>
    <r>
      <rPr>
        <vertAlign val="superscript"/>
        <sz val="8"/>
        <color theme="1"/>
        <rFont val="Arial"/>
        <family val="2"/>
      </rPr>
      <t>-1</t>
    </r>
  </si>
  <si>
    <r>
      <t>₤ ha</t>
    </r>
    <r>
      <rPr>
        <vertAlign val="superscript"/>
        <sz val="8"/>
        <color theme="1"/>
        <rFont val="Arial"/>
        <family val="2"/>
      </rPr>
      <t>-1</t>
    </r>
  </si>
  <si>
    <t>The model requires all cells coloured in cream on the "Arable Inputs" and "Energy Inputs" sheets to be completed by the user</t>
  </si>
  <si>
    <t>All other cells are locked and cannot be modified</t>
  </si>
  <si>
    <t>Establishment Costs</t>
  </si>
  <si>
    <r>
      <t>(t ha</t>
    </r>
    <r>
      <rPr>
        <vertAlign val="superscript"/>
        <sz val="8"/>
        <rFont val="Arial"/>
        <family val="2"/>
      </rPr>
      <t>-1)</t>
    </r>
  </si>
  <si>
    <t>Recurring Costs</t>
  </si>
  <si>
    <t>Decommissioning Costs</t>
  </si>
  <si>
    <t>Price 0</t>
  </si>
  <si>
    <t>Price +50</t>
  </si>
  <si>
    <t>Price -50</t>
  </si>
  <si>
    <t>Price +100</t>
  </si>
  <si>
    <t>Price -100</t>
  </si>
  <si>
    <t>Rotation 0%</t>
  </si>
  <si>
    <t>Rotation +50%</t>
  </si>
  <si>
    <t>Rotation -50%</t>
  </si>
  <si>
    <t>Rotation +100%</t>
  </si>
  <si>
    <t>Rotation -100%</t>
  </si>
  <si>
    <t>Exchnage rate</t>
  </si>
  <si>
    <t>% change</t>
  </si>
  <si>
    <t>Discount Rate +50%</t>
  </si>
  <si>
    <t>Discount Rate -50%</t>
  </si>
  <si>
    <t>Discount Rate +100%</t>
  </si>
  <si>
    <t>Discount Rate -100%</t>
  </si>
  <si>
    <t>Yield +50</t>
  </si>
  <si>
    <t>Yield -50</t>
  </si>
  <si>
    <t>Yield +100</t>
  </si>
  <si>
    <t>Yield -100</t>
  </si>
  <si>
    <t>Costs 0</t>
  </si>
  <si>
    <t>Costs +50</t>
  </si>
  <si>
    <t>Costs -50</t>
  </si>
  <si>
    <t>Costs +100</t>
  </si>
  <si>
    <t>Yield 0</t>
  </si>
  <si>
    <t>Dis. rate:</t>
  </si>
  <si>
    <t>Dis. rate 0</t>
  </si>
  <si>
    <t>Dis. rate +50</t>
  </si>
  <si>
    <t>Dis. rate -50</t>
  </si>
  <si>
    <t>Dis. rate +100</t>
  </si>
  <si>
    <t>Dis. rate -100</t>
  </si>
  <si>
    <t>Dis. rate -100%</t>
  </si>
  <si>
    <t>Dis. rate +100%</t>
  </si>
  <si>
    <t>Dis. rate -50%</t>
  </si>
  <si>
    <t>Dis. rate +50%</t>
  </si>
  <si>
    <t>Costs-50%</t>
  </si>
  <si>
    <t>SRC 0%</t>
  </si>
  <si>
    <t>SRC +50%</t>
  </si>
  <si>
    <t>SRC -50%</t>
  </si>
  <si>
    <t>SRC +100%</t>
  </si>
  <si>
    <t>SRC -100%</t>
  </si>
  <si>
    <t>Miscanthus 0%</t>
  </si>
  <si>
    <t>Miscanthus +50%</t>
  </si>
  <si>
    <t>Miscanthus -50%</t>
  </si>
  <si>
    <t>Miscanthus +100%</t>
  </si>
  <si>
    <t>Miscanthus -100%</t>
  </si>
  <si>
    <t>(£ ha-1)</t>
  </si>
  <si>
    <r>
      <t>ARABLE NPV (£ ha</t>
    </r>
    <r>
      <rPr>
        <b/>
        <vertAlign val="superscript"/>
        <sz val="8"/>
        <color theme="1"/>
        <rFont val="Arial"/>
        <family val="2"/>
      </rPr>
      <t>-1</t>
    </r>
    <r>
      <rPr>
        <b/>
        <sz val="8"/>
        <color theme="1"/>
        <rFont val="Arial"/>
        <family val="2"/>
      </rPr>
      <t>)</t>
    </r>
  </si>
  <si>
    <r>
      <t>(£ ha</t>
    </r>
    <r>
      <rPr>
        <vertAlign val="superscript"/>
        <sz val="8"/>
        <color theme="1"/>
        <rFont val="Calibri"/>
        <family val="2"/>
      </rPr>
      <t>-1</t>
    </r>
    <r>
      <rPr>
        <sz val="8"/>
        <color theme="1"/>
        <rFont val="Calibri"/>
        <family val="2"/>
      </rPr>
      <t>)</t>
    </r>
  </si>
  <si>
    <t>DISCOUNT RATE</t>
  </si>
  <si>
    <t>Exchange rate</t>
  </si>
  <si>
    <t>3.9, 3.5, 2.6</t>
  </si>
  <si>
    <t>Wheat, oats, and OSR straw yield</t>
  </si>
  <si>
    <t>DEFRA (2019)</t>
  </si>
  <si>
    <t>Costs -100</t>
  </si>
  <si>
    <t>Energy system without grants</t>
  </si>
  <si>
    <t>Energy system with grants</t>
  </si>
  <si>
    <t>Silphium</t>
  </si>
  <si>
    <t>Crop revenue without grants</t>
  </si>
  <si>
    <t>Crop revenue with grants</t>
  </si>
  <si>
    <t>Net margin without grants</t>
  </si>
  <si>
    <t>Net margin with grants</t>
  </si>
  <si>
    <t>Cumulative net margin without grants</t>
  </si>
  <si>
    <t>Cumulative net margin with grants</t>
  </si>
  <si>
    <t>Discounted net margin without grants</t>
  </si>
  <si>
    <t>Discounted net margin with grants</t>
  </si>
  <si>
    <t>Discounted Cumulative net margin without grants</t>
  </si>
  <si>
    <t>Discounted Cumulative net margin with grants</t>
  </si>
  <si>
    <r>
      <t>P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  <r>
      <rPr>
        <vertAlign val="subscript"/>
        <sz val="8"/>
        <rFont val="Arial"/>
        <family val="2"/>
      </rPr>
      <t>5</t>
    </r>
  </si>
  <si>
    <r>
      <t>K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</si>
  <si>
    <r>
      <t>single superphosphate 20% P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  <r>
      <rPr>
        <vertAlign val="subscript"/>
        <sz val="8"/>
        <rFont val="Arial"/>
        <family val="2"/>
      </rPr>
      <t>5</t>
    </r>
  </si>
  <si>
    <r>
      <t>muriate of potash 60% K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</si>
  <si>
    <t>Fertilisers cost</t>
  </si>
  <si>
    <t>Spray cost</t>
  </si>
  <si>
    <t>Seed cost</t>
  </si>
  <si>
    <t xml:space="preserve">Seed </t>
  </si>
  <si>
    <t>Weeding</t>
  </si>
  <si>
    <t>Planting material cost</t>
  </si>
  <si>
    <t>Main product</t>
  </si>
  <si>
    <t>Plastic</t>
  </si>
  <si>
    <t>Cutback 1st year</t>
  </si>
  <si>
    <t xml:space="preserve">Mowing and baling </t>
  </si>
  <si>
    <t>Harvesting, carting and clamping</t>
  </si>
  <si>
    <t>Fertiliser application</t>
  </si>
  <si>
    <t>Mowing and baling</t>
  </si>
  <si>
    <t>Harvesting, carting, and clamping</t>
  </si>
  <si>
    <t>Hadling and storage</t>
  </si>
  <si>
    <t>Material costs:</t>
  </si>
  <si>
    <t>Fertilising (after harvest)</t>
  </si>
  <si>
    <t>Fertilising (establishment)</t>
  </si>
  <si>
    <t>Ground prep</t>
  </si>
  <si>
    <t>Cutback</t>
  </si>
  <si>
    <t>Cut back</t>
  </si>
  <si>
    <t>Cut back first year</t>
  </si>
  <si>
    <t>Mechical weeding</t>
  </si>
  <si>
    <t>Total Fixed costs (machinary)</t>
  </si>
  <si>
    <t>Total Establishment costs (machinery)</t>
  </si>
  <si>
    <t>RECURRING OPERATIONS</t>
  </si>
  <si>
    <t>ESTABLISHMENT OPERATIONS</t>
  </si>
  <si>
    <t>Harvesting SRC</t>
  </si>
  <si>
    <t>Harvesting and clamping</t>
  </si>
  <si>
    <t>Labour input (establishment)</t>
  </si>
  <si>
    <t>Recurring costs (machinary)</t>
  </si>
  <si>
    <t>Labour input (recurring)</t>
  </si>
  <si>
    <r>
      <t>₤</t>
    </r>
    <r>
      <rPr>
        <sz val="8"/>
        <color theme="1"/>
        <rFont val="Arial"/>
        <family val="2"/>
      </rPr>
      <t xml:space="preserve"> ha</t>
    </r>
    <r>
      <rPr>
        <vertAlign val="superscript"/>
        <sz val="8"/>
        <color theme="1"/>
        <rFont val="Arial"/>
        <family val="2"/>
      </rPr>
      <t>-1</t>
    </r>
  </si>
  <si>
    <t>200.0, 180.0</t>
  </si>
  <si>
    <t>Cost of ground preparation Sida and Silphium: same as Miscanthus</t>
  </si>
  <si>
    <t>Cost of sprays SRC and Miscanthus</t>
  </si>
  <si>
    <t>Cost of ground preparation SRC and Miscanthus</t>
  </si>
  <si>
    <t>200.0, 120.0</t>
  </si>
  <si>
    <t>Energiepflanzen.com</t>
  </si>
  <si>
    <t>Energy inputs</t>
  </si>
  <si>
    <t>Planting density Sida</t>
  </si>
  <si>
    <r>
      <t>seedlings ha</t>
    </r>
    <r>
      <rPr>
        <vertAlign val="superscript"/>
        <sz val="8"/>
        <color theme="1"/>
        <rFont val="Arial"/>
        <family val="2"/>
      </rPr>
      <t>-1</t>
    </r>
  </si>
  <si>
    <r>
      <t>£ seedling</t>
    </r>
    <r>
      <rPr>
        <vertAlign val="superscript"/>
        <sz val="8"/>
        <color theme="1"/>
        <rFont val="Arial"/>
        <family val="2"/>
      </rPr>
      <t>-1</t>
    </r>
  </si>
  <si>
    <t>Sowing density Silphium</t>
  </si>
  <si>
    <t>Cost of seeds Silphium (€295 per 500g)</t>
  </si>
  <si>
    <t>Cost of planting SRC and Miscanthus</t>
  </si>
  <si>
    <t>300.0, 350.0</t>
  </si>
  <si>
    <t>Cost of planting Sida: calculated using cost of potato planting</t>
  </si>
  <si>
    <t>Cost of sowing Silphium: assumed same as forage maize</t>
  </si>
  <si>
    <t>Cost of cutback first year SRC</t>
  </si>
  <si>
    <t>Cost of cutback first year Sida and Silphium: assumed same as Miscanthus</t>
  </si>
  <si>
    <t xml:space="preserve">Cost of mechanical weeding Sida and Silphium: calculated using cost of tractor + post knocker + man (per hour) </t>
  </si>
  <si>
    <t>Cost of harvesting SRC</t>
  </si>
  <si>
    <t>Costs of mowing and baling Miscanthus</t>
  </si>
  <si>
    <t>100, 92, 84</t>
  </si>
  <si>
    <r>
      <t>Fertiliser needs of Sida (N, P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  <r>
      <rPr>
        <vertAlign val="subscript"/>
        <sz val="8"/>
        <rFont val="Arial"/>
        <family val="2"/>
      </rPr>
      <t>5</t>
    </r>
    <r>
      <rPr>
        <sz val="8"/>
        <rFont val="Arial"/>
        <family val="2"/>
      </rPr>
      <t>, K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O)</t>
    </r>
  </si>
  <si>
    <r>
      <t>Fertiliser needs of Silphium (N, P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  <r>
      <rPr>
        <vertAlign val="subscript"/>
        <sz val="8"/>
        <rFont val="Arial"/>
        <family val="2"/>
      </rPr>
      <t>5</t>
    </r>
    <r>
      <rPr>
        <sz val="8"/>
        <rFont val="Arial"/>
        <family val="2"/>
      </rPr>
      <t>, K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O)</t>
    </r>
  </si>
  <si>
    <t>120, 92, 90</t>
  </si>
  <si>
    <t>Cost of harvesting Sida: assumed same as harvesting only of forage maize</t>
  </si>
  <si>
    <t>Cost of harvesting Silphium: assumed sae as forage maize</t>
  </si>
  <si>
    <t>Spray cost forage maize</t>
  </si>
  <si>
    <t>Number of spray applications forage maize</t>
  </si>
  <si>
    <t>Cost of full harvesting, carting and clamping forage maize</t>
  </si>
  <si>
    <t>P&amp;L Cook &amp; Partners (2007)</t>
  </si>
  <si>
    <r>
      <t>Fertilisers (kg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</si>
  <si>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t>Fertilisers (establish.) sub-total</t>
  </si>
  <si>
    <t>Fertilisers (recurring) sub-total</t>
  </si>
  <si>
    <t xml:space="preserve">Fertilisers </t>
  </si>
  <si>
    <t>Sprays</t>
  </si>
  <si>
    <t xml:space="preserve">N </t>
  </si>
  <si>
    <r>
      <t>P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  <r>
      <rPr>
        <vertAlign val="subscript"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/>
    </r>
  </si>
  <si>
    <r>
      <t>K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</si>
  <si>
    <t xml:space="preserve">Fertilisers Sub-total </t>
  </si>
  <si>
    <t>90,55,72 - 84,14,120</t>
  </si>
  <si>
    <t>Fertiliser needs for SRC and Miscanthus (nitrogen,phosphate,potash)</t>
  </si>
  <si>
    <t>Fertiliser needs of forage maize (nitrogen, phosphate,potash)</t>
  </si>
  <si>
    <t>Cumplido-Marin et al, 2020</t>
  </si>
  <si>
    <r>
      <t>£ t</t>
    </r>
    <r>
      <rPr>
        <vertAlign val="superscript"/>
        <sz val="8"/>
        <color theme="1"/>
        <rFont val="Arial"/>
        <family val="2"/>
      </rPr>
      <t>-1</t>
    </r>
  </si>
  <si>
    <t>Cost of fertilisers: arable crops</t>
  </si>
  <si>
    <t>274.8, 195.0, 238.6, 340.8, 277.3</t>
  </si>
  <si>
    <t>Cost of fertilisers (establishment): energy crops</t>
  </si>
  <si>
    <t>Cost of fertilisers (recurring): energy crops</t>
  </si>
  <si>
    <t>Spays</t>
  </si>
  <si>
    <t>Spay application</t>
  </si>
  <si>
    <t>Spray application</t>
  </si>
  <si>
    <r>
      <t>Calculated price of N, P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  <r>
      <rPr>
        <vertAlign val="subscript"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>, K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 from Redman (2018)</t>
    </r>
  </si>
  <si>
    <t>Cost of sprays (establishment) of Sida and Silphium: same as Miscanthus</t>
  </si>
  <si>
    <t>100, 60</t>
  </si>
  <si>
    <t>Cost of sprays (recurring) of SRC and Miscanthus: assumed half of the cost of sprays in establishment</t>
  </si>
  <si>
    <t>F. maize 0%</t>
  </si>
  <si>
    <t>F. maize +50%</t>
  </si>
  <si>
    <t>F. maize -50%</t>
  </si>
  <si>
    <t>F. maize +100%</t>
  </si>
  <si>
    <t>F. maize -100%</t>
  </si>
  <si>
    <t>100, 85, 205</t>
  </si>
  <si>
    <t xml:space="preserve">             </t>
  </si>
  <si>
    <t>BASF Agricultural Solutions UK</t>
  </si>
  <si>
    <t>Arable inputs</t>
  </si>
  <si>
    <t>Price of forage maize (considering price £35-40 per FM tonne and dry matter 35%)</t>
  </si>
  <si>
    <t>Yield profile co-efficient</t>
  </si>
  <si>
    <t>(proportion)</t>
  </si>
  <si>
    <t>Yield profile</t>
  </si>
  <si>
    <t>Yield profile coefficient over rotation</t>
  </si>
  <si>
    <t>(Year)</t>
  </si>
  <si>
    <t>Note: Yield profiles developed from combined published data sources</t>
  </si>
  <si>
    <t>Nitrogen</t>
  </si>
  <si>
    <t>Phosphorus</t>
  </si>
  <si>
    <t>Pottassium</t>
  </si>
  <si>
    <t>F to m</t>
  </si>
  <si>
    <t>G to n</t>
  </si>
  <si>
    <t>H to o</t>
  </si>
  <si>
    <t>E to l</t>
  </si>
  <si>
    <t>M to t</t>
  </si>
  <si>
    <t>N to u</t>
  </si>
  <si>
    <t>O to v</t>
  </si>
  <si>
    <t>L to S</t>
  </si>
  <si>
    <t>T to aa</t>
  </si>
  <si>
    <t>U to ab</t>
  </si>
  <si>
    <t>V to ac</t>
  </si>
  <si>
    <t>S to Z</t>
  </si>
  <si>
    <t>New</t>
  </si>
  <si>
    <t>Average established dry biomass yield</t>
  </si>
  <si>
    <t>Sida and Silphium yield</t>
  </si>
  <si>
    <r>
      <t>₤ ha</t>
    </r>
    <r>
      <rPr>
        <vertAlign val="superscript"/>
        <sz val="8"/>
        <rFont val="Arial"/>
        <family val="2"/>
      </rPr>
      <t>-1</t>
    </r>
  </si>
  <si>
    <t>Witzel and Finger (2016)</t>
  </si>
  <si>
    <t>Miscanthus average and profile yield</t>
  </si>
  <si>
    <t>Wtizel and Finger (2016) and ADAS (2003)</t>
  </si>
  <si>
    <t>ARABLE BASIC INPUTS (€)</t>
  </si>
  <si>
    <t>€ ha-1</t>
  </si>
  <si>
    <t>€ t-1</t>
  </si>
  <si>
    <t>€ h-1</t>
  </si>
  <si>
    <t>€ kg-1</t>
  </si>
  <si>
    <t>ARABLE FIXED COSTS (€ ha-1)</t>
  </si>
  <si>
    <t>(€ ha-1)</t>
  </si>
  <si>
    <t>ARABLE MARGINS (€ ha-1)</t>
  </si>
  <si>
    <t>(€ t-1)</t>
  </si>
  <si>
    <t>(€ kg-1/ unit-1 )</t>
  </si>
  <si>
    <t>(€ kg-1)</t>
  </si>
  <si>
    <t>(€ app.-1)</t>
  </si>
  <si>
    <t>(€ h-1)</t>
  </si>
  <si>
    <t>ENERGY BASIC INPUTS (€)</t>
  </si>
  <si>
    <t>(€ kg-1 / unit-1)</t>
  </si>
  <si>
    <t>(€ ODT-1)</t>
  </si>
  <si>
    <t>ENERGY MARGINS (€ ha-1)</t>
  </si>
  <si>
    <t>ENERGY NPV (€ ha-1)</t>
  </si>
  <si>
    <t>MARGINS SUMMARY (€ ha-1)</t>
  </si>
  <si>
    <t>(€ ha-1 yr-1)</t>
  </si>
  <si>
    <t xml:space="preserve"> (€ ha-1)</t>
  </si>
  <si>
    <t>SUMMARY NPV (€ ha-1)</t>
  </si>
  <si>
    <t>(€ ha-1 y-1)</t>
  </si>
  <si>
    <t>Sensitivity Analysis (€ ha-1)</t>
  </si>
  <si>
    <t>ENERGY CULTIVATION COSTS (€ ha-1)</t>
  </si>
  <si>
    <t>Dr. Crhistopher Morhart</t>
  </si>
  <si>
    <t>CAP paymnent</t>
  </si>
  <si>
    <r>
      <t>€ ha</t>
    </r>
    <r>
      <rPr>
        <vertAlign val="superscript"/>
        <sz val="8"/>
        <color theme="1"/>
        <rFont val="Arial"/>
        <family val="2"/>
      </rPr>
      <t>-1</t>
    </r>
  </si>
  <si>
    <t>baywa.de</t>
  </si>
  <si>
    <t>Seed cost for wheat and oats</t>
  </si>
  <si>
    <t>0.68, 0.64</t>
  </si>
  <si>
    <r>
      <t>€ kg</t>
    </r>
    <r>
      <rPr>
        <vertAlign val="superscript"/>
        <sz val="8"/>
        <color theme="1"/>
        <rFont val="Arial"/>
        <family val="2"/>
      </rPr>
      <t>-1</t>
    </r>
  </si>
  <si>
    <t>landwirtschaftskammer.de</t>
  </si>
  <si>
    <t>N fertiliser needs for arable crops</t>
  </si>
  <si>
    <t>200, 120, 200, 180, 200</t>
  </si>
  <si>
    <r>
      <t>P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  <r>
      <rPr>
        <vertAlign val="subscript"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 xml:space="preserve"> fertiliser needs for arable crops</t>
    </r>
  </si>
  <si>
    <t>86, 68, 92, 91, 96</t>
  </si>
  <si>
    <t>https://www.landwirtschaftskammer.de/landwirtschaft/ackerbau/pdf/phosphat-kalium-magnesium-pdf.pdf</t>
  </si>
  <si>
    <r>
      <t>K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 fertiliser needs for arable crops</t>
    </r>
  </si>
  <si>
    <t>149, 208, 209, 344, 238</t>
  </si>
  <si>
    <t>Cost of planting material SRC</t>
  </si>
  <si>
    <r>
      <t>€ unit</t>
    </r>
    <r>
      <rPr>
        <vertAlign val="superscript"/>
        <sz val="8"/>
        <color theme="1"/>
        <rFont val="Arial"/>
        <family val="2"/>
      </rPr>
      <t>-1</t>
    </r>
  </si>
  <si>
    <t>Silphium 0%</t>
  </si>
  <si>
    <t>Silphium +50%</t>
  </si>
  <si>
    <t>Silphium -50%</t>
  </si>
  <si>
    <t>Silphium +100%</t>
  </si>
  <si>
    <t>Silphium -100%</t>
  </si>
  <si>
    <t>€/£</t>
  </si>
  <si>
    <t>Statista.com</t>
  </si>
  <si>
    <t>Arable crops yield (wheat, oats, OSR, sugar beet, maize)</t>
  </si>
  <si>
    <t>7.45, 4.11, 3.30, 63.10, 8.14</t>
  </si>
  <si>
    <r>
      <t>t ha</t>
    </r>
    <r>
      <rPr>
        <vertAlign val="superscript"/>
        <sz val="8"/>
        <color theme="1"/>
        <rFont val="Arial"/>
        <family val="2"/>
      </rPr>
      <t>-1</t>
    </r>
  </si>
  <si>
    <t>193.7, 154.8, 345.1, 182.8</t>
  </si>
  <si>
    <r>
      <t>€ t</t>
    </r>
    <r>
      <rPr>
        <vertAlign val="superscript"/>
        <sz val="8"/>
        <color theme="1"/>
        <rFont val="Arial"/>
        <family val="2"/>
      </rPr>
      <t>-1</t>
    </r>
  </si>
  <si>
    <r>
      <t>Seed price forage maize (considering ₤4.75 per kg at 35 kg ha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)</t>
    </r>
  </si>
  <si>
    <t>Labour wage rate</t>
  </si>
  <si>
    <r>
      <t>€ h</t>
    </r>
    <r>
      <rPr>
        <vertAlign val="superscript"/>
        <sz val="8"/>
        <color theme="1"/>
        <rFont val="Arial"/>
        <family val="2"/>
      </rPr>
      <t>-1</t>
    </r>
  </si>
  <si>
    <t>https://www.landwirtschaftskammer.de/landwirtschaft/beratung/pdf/erfahrungssaetze-rh.pdf</t>
  </si>
  <si>
    <r>
      <t>Fertiliser prices (N, K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O, P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  <r>
      <rPr>
        <vertAlign val="subscript"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>)</t>
    </r>
  </si>
  <si>
    <t>0.278 (urea 46%N), 0.97, 0.321</t>
  </si>
  <si>
    <t>Straw variable costs OSR, same as wheat</t>
  </si>
  <si>
    <r>
      <t>€ odt</t>
    </r>
    <r>
      <rPr>
        <vertAlign val="superscript"/>
        <sz val="8"/>
        <color theme="1"/>
        <rFont val="Arial"/>
        <family val="2"/>
      </rPr>
      <t>-1</t>
    </r>
  </si>
  <si>
    <t>Price of biomass</t>
  </si>
  <si>
    <t>11.6, 16.3</t>
  </si>
  <si>
    <t>Planting density SRC</t>
  </si>
  <si>
    <r>
      <t>units ha</t>
    </r>
    <r>
      <rPr>
        <vertAlign val="superscript"/>
        <sz val="8"/>
        <color theme="1"/>
        <rFont val="Arial"/>
        <family val="2"/>
      </rPr>
      <t>-1</t>
    </r>
  </si>
  <si>
    <t>Cost of planting material Miscanthus</t>
  </si>
  <si>
    <t>Cost of Sida seedlings (from Dirk €350 per 1,000 seedlings)</t>
  </si>
  <si>
    <t>130.8, 102.8, 176.6, 190.6</t>
  </si>
  <si>
    <t>40.9, 96.4, 165.6, 178.7</t>
  </si>
  <si>
    <t>Cost of decommissioning</t>
  </si>
  <si>
    <t xml:space="preserve">Straw yield               </t>
  </si>
  <si>
    <t xml:space="preserve">Straw price               </t>
  </si>
  <si>
    <t>CAP</t>
  </si>
  <si>
    <t>Total revenue (crop and CAP)</t>
  </si>
  <si>
    <t>Net margins (without CAP)</t>
  </si>
  <si>
    <t>Net margin (with CAP)</t>
  </si>
  <si>
    <t>Crop revenue without CAP</t>
  </si>
  <si>
    <t>Crop revenue with CAP</t>
  </si>
  <si>
    <t>Discounted net margin without CAP (€ ha-1)</t>
  </si>
  <si>
    <t>Discounted net margin with CAP (€ ha-1)</t>
  </si>
  <si>
    <t>Discounted cumulative net margin without CAP (€ ha-1)</t>
  </si>
  <si>
    <t>Crop Revenue (without CAP)</t>
  </si>
  <si>
    <t>Crop Revenue (with CAP)</t>
  </si>
  <si>
    <t>Annual net margin without CAP</t>
  </si>
  <si>
    <t>Annual net margin with CAP</t>
  </si>
  <si>
    <t>Discounted CAP</t>
  </si>
  <si>
    <t>Discounted net margin without CAP</t>
  </si>
  <si>
    <t>Discounted Cumulative CAP</t>
  </si>
  <si>
    <t>Discounted Cumulative net margin without CAP</t>
  </si>
  <si>
    <t>Discounted Total CAP</t>
  </si>
  <si>
    <t>NPV without CAP</t>
  </si>
  <si>
    <t>NPV with CAP</t>
  </si>
  <si>
    <t xml:space="preserve">NPVInfinite without CAP </t>
  </si>
  <si>
    <t>NPVInfinite with CAP</t>
  </si>
  <si>
    <t>Equivalent Annual Value without CAP</t>
  </si>
  <si>
    <t>Equivalent Annual Value with CAP</t>
  </si>
  <si>
    <t>Grain prices for arable crops (wheat, oats, OSR, sugar beet, maize)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</si>
</sst>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0_)"/>
    <numFmt numFmtId="166" formatCode="0_)"/>
    <numFmt numFmtId="167" formatCode="0.000"/>
    <numFmt numFmtId="168" formatCode="0.0_)"/>
    <numFmt numFmtId="169" formatCode="#,##0.0"/>
  </numFmts>
  <fonts count="36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vertAlign val="superscript"/>
      <sz val="8"/>
      <name val="Arial"/>
      <family val="2"/>
    </font>
    <font>
      <b/>
      <sz val="8"/>
      <color indexed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8"/>
      <color theme="1"/>
      <name val="Arial"/>
      <family val="2"/>
    </font>
    <font>
      <u/>
      <sz val="11"/>
      <color theme="10"/>
      <name val="Arial"/>
      <family val="2"/>
    </font>
    <font>
      <sz val="12"/>
      <color theme="1"/>
      <name val="Arial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sz val="8"/>
      <name val="Times New Roman"/>
      <family val="1"/>
    </font>
    <font>
      <vertAlign val="subscript"/>
      <sz val="8"/>
      <name val="Arial"/>
      <family val="2"/>
    </font>
    <font>
      <sz val="10"/>
      <name val="Arial"/>
      <family val="2"/>
    </font>
    <font>
      <sz val="8"/>
      <color theme="1"/>
      <name val="Calibri"/>
      <family val="2"/>
    </font>
    <font>
      <vertAlign val="superscript"/>
      <sz val="8"/>
      <color theme="1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8"/>
      <color theme="4"/>
      <name val="Arial"/>
      <family val="2"/>
    </font>
    <font>
      <vertAlign val="subscript"/>
      <sz val="8"/>
      <color theme="1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9"/>
      <name val="Arial"/>
      <family val="2"/>
    </font>
    <font>
      <sz val="8"/>
      <color rgb="FFFF0000"/>
      <name val="Arial"/>
      <family val="2"/>
    </font>
    <font>
      <sz val="8"/>
      <color theme="5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2" fillId="0" borderId="0" applyNumberFormat="0" applyFill="0" applyBorder="0" applyAlignment="0" applyProtection="0"/>
    <xf numFmtId="9" fontId="15" fillId="0" borderId="0" applyFont="0" applyFill="0" applyBorder="0" applyAlignment="0" applyProtection="0"/>
  </cellStyleXfs>
  <cellXfs count="1103">
    <xf numFmtId="0" fontId="0" fillId="0" borderId="0" xfId="0"/>
    <xf numFmtId="0" fontId="1" fillId="0" borderId="0" xfId="0" applyFont="1"/>
    <xf numFmtId="0" fontId="0" fillId="0" borderId="0" xfId="0" applyFont="1"/>
    <xf numFmtId="164" fontId="3" fillId="0" borderId="16" xfId="0" applyNumberFormat="1" applyFont="1" applyFill="1" applyBorder="1" applyProtection="1">
      <protection locked="0"/>
    </xf>
    <xf numFmtId="0" fontId="3" fillId="2" borderId="9" xfId="0" applyFont="1" applyFill="1" applyBorder="1" applyAlignment="1" applyProtection="1"/>
    <xf numFmtId="0" fontId="3" fillId="2" borderId="13" xfId="0" applyFont="1" applyFill="1" applyBorder="1" applyAlignment="1" applyProtection="1"/>
    <xf numFmtId="0" fontId="4" fillId="0" borderId="8" xfId="0" applyFont="1" applyFill="1" applyBorder="1" applyProtection="1"/>
    <xf numFmtId="0" fontId="4" fillId="0" borderId="3" xfId="0" applyFont="1" applyFill="1" applyBorder="1" applyProtection="1"/>
    <xf numFmtId="165" fontId="8" fillId="0" borderId="3" xfId="0" applyNumberFormat="1" applyFont="1" applyFill="1" applyBorder="1" applyAlignment="1" applyProtection="1"/>
    <xf numFmtId="0" fontId="3" fillId="0" borderId="3" xfId="0" applyFont="1" applyFill="1" applyBorder="1" applyAlignment="1" applyProtection="1"/>
    <xf numFmtId="0" fontId="3" fillId="0" borderId="3" xfId="0" applyFont="1" applyFill="1" applyBorder="1" applyProtection="1"/>
    <xf numFmtId="0" fontId="4" fillId="2" borderId="10" xfId="0" applyFont="1" applyFill="1" applyBorder="1" applyProtection="1"/>
    <xf numFmtId="0" fontId="3" fillId="2" borderId="3" xfId="0" applyFont="1" applyFill="1" applyBorder="1" applyProtection="1"/>
    <xf numFmtId="0" fontId="4" fillId="2" borderId="3" xfId="0" applyFont="1" applyFill="1" applyBorder="1" applyProtection="1"/>
    <xf numFmtId="0" fontId="3" fillId="2" borderId="14" xfId="0" applyFont="1" applyFill="1" applyBorder="1" applyProtection="1"/>
    <xf numFmtId="165" fontId="8" fillId="0" borderId="8" xfId="0" applyNumberFormat="1" applyFont="1" applyFill="1" applyBorder="1" applyProtection="1"/>
    <xf numFmtId="0" fontId="3" fillId="0" borderId="16" xfId="0" applyFont="1" applyFill="1" applyBorder="1" applyProtection="1"/>
    <xf numFmtId="0" fontId="3" fillId="0" borderId="16" xfId="0" applyFont="1" applyFill="1" applyBorder="1" applyAlignment="1" applyProtection="1">
      <alignment horizontal="left" vertical="top"/>
    </xf>
    <xf numFmtId="0" fontId="3" fillId="0" borderId="9" xfId="0" applyFont="1" applyFill="1" applyBorder="1" applyAlignment="1" applyProtection="1"/>
    <xf numFmtId="165" fontId="8" fillId="0" borderId="0" xfId="0" applyNumberFormat="1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/>
    <xf numFmtId="0" fontId="0" fillId="0" borderId="0" xfId="0" applyFont="1" applyFill="1" applyBorder="1"/>
    <xf numFmtId="0" fontId="3" fillId="0" borderId="11" xfId="0" applyFont="1" applyFill="1" applyBorder="1" applyProtection="1"/>
    <xf numFmtId="0" fontId="3" fillId="0" borderId="13" xfId="0" applyFont="1" applyFill="1" applyBorder="1" applyAlignment="1" applyProtection="1"/>
    <xf numFmtId="0" fontId="11" fillId="0" borderId="0" xfId="0" applyFont="1"/>
    <xf numFmtId="0" fontId="0" fillId="0" borderId="0" xfId="0" applyFont="1" applyFill="1"/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left" vertical="top"/>
    </xf>
    <xf numFmtId="0" fontId="9" fillId="0" borderId="10" xfId="0" applyFont="1" applyFill="1" applyBorder="1" applyAlignment="1" applyProtection="1">
      <alignment horizontal="right" vertical="top" wrapText="1"/>
    </xf>
    <xf numFmtId="0" fontId="9" fillId="0" borderId="16" xfId="0" applyFont="1" applyFill="1" applyBorder="1" applyAlignment="1" applyProtection="1">
      <alignment horizontal="right" vertical="top" wrapText="1"/>
    </xf>
    <xf numFmtId="0" fontId="3" fillId="0" borderId="0" xfId="0" applyFont="1" applyFill="1" applyBorder="1" applyAlignment="1" applyProtection="1"/>
    <xf numFmtId="0" fontId="9" fillId="0" borderId="14" xfId="0" applyFont="1" applyFill="1" applyBorder="1" applyAlignment="1" applyProtection="1">
      <alignment horizontal="right" vertical="top" wrapText="1"/>
    </xf>
    <xf numFmtId="165" fontId="5" fillId="0" borderId="16" xfId="0" applyNumberFormat="1" applyFont="1" applyFill="1" applyBorder="1" applyAlignment="1" applyProtection="1">
      <alignment horizontal="left" vertical="top" wrapText="1"/>
    </xf>
    <xf numFmtId="0" fontId="3" fillId="0" borderId="16" xfId="0" applyFont="1" applyFill="1" applyBorder="1" applyAlignment="1" applyProtection="1">
      <alignment horizontal="left" vertical="top" wrapText="1"/>
    </xf>
    <xf numFmtId="0" fontId="3" fillId="0" borderId="19" xfId="0" applyFont="1" applyFill="1" applyBorder="1" applyAlignment="1" applyProtection="1"/>
    <xf numFmtId="165" fontId="5" fillId="0" borderId="9" xfId="0" applyNumberFormat="1" applyFont="1" applyFill="1" applyBorder="1" applyAlignment="1" applyProtection="1">
      <alignment horizontal="left" vertical="top" wrapText="1"/>
    </xf>
    <xf numFmtId="165" fontId="5" fillId="0" borderId="13" xfId="0" applyNumberFormat="1" applyFont="1" applyFill="1" applyBorder="1" applyAlignment="1" applyProtection="1">
      <alignment horizontal="left" vertical="top" wrapText="1"/>
    </xf>
    <xf numFmtId="165" fontId="5" fillId="0" borderId="18" xfId="0" applyNumberFormat="1" applyFont="1" applyFill="1" applyBorder="1" applyAlignment="1" applyProtection="1">
      <alignment horizontal="left" vertical="top" wrapText="1"/>
    </xf>
    <xf numFmtId="0" fontId="3" fillId="0" borderId="6" xfId="0" applyFont="1" applyFill="1" applyBorder="1" applyAlignment="1" applyProtection="1"/>
    <xf numFmtId="0" fontId="0" fillId="0" borderId="0" xfId="0" applyFill="1"/>
    <xf numFmtId="2" fontId="3" fillId="0" borderId="16" xfId="0" applyNumberFormat="1" applyFont="1" applyFill="1" applyBorder="1" applyProtection="1">
      <protection locked="0"/>
    </xf>
    <xf numFmtId="0" fontId="3" fillId="0" borderId="16" xfId="0" applyFont="1" applyFill="1" applyBorder="1"/>
    <xf numFmtId="0" fontId="4" fillId="0" borderId="18" xfId="0" applyFont="1" applyFill="1" applyBorder="1"/>
    <xf numFmtId="0" fontId="4" fillId="0" borderId="6" xfId="0" applyFont="1" applyFill="1" applyBorder="1" applyAlignment="1">
      <alignment wrapText="1"/>
    </xf>
    <xf numFmtId="0" fontId="3" fillId="0" borderId="6" xfId="0" applyFont="1" applyFill="1" applyBorder="1"/>
    <xf numFmtId="0" fontId="4" fillId="0" borderId="16" xfId="0" applyFont="1" applyFill="1" applyBorder="1" applyAlignment="1">
      <alignment horizontal="left"/>
    </xf>
    <xf numFmtId="0" fontId="3" fillId="0" borderId="14" xfId="0" applyFont="1" applyFill="1" applyBorder="1"/>
    <xf numFmtId="0" fontId="3" fillId="0" borderId="13" xfId="0" applyFont="1" applyFill="1" applyBorder="1"/>
    <xf numFmtId="0" fontId="3" fillId="0" borderId="21" xfId="0" applyFont="1" applyFill="1" applyBorder="1"/>
    <xf numFmtId="0" fontId="4" fillId="0" borderId="10" xfId="0" applyFont="1" applyFill="1" applyBorder="1"/>
    <xf numFmtId="0" fontId="4" fillId="0" borderId="6" xfId="0" applyFont="1" applyFill="1" applyBorder="1" applyAlignment="1">
      <alignment horizontal="center" wrapText="1"/>
    </xf>
    <xf numFmtId="0" fontId="4" fillId="0" borderId="6" xfId="0" applyFont="1" applyFill="1" applyBorder="1"/>
    <xf numFmtId="0" fontId="4" fillId="0" borderId="16" xfId="0" applyFont="1" applyFill="1" applyBorder="1"/>
    <xf numFmtId="0" fontId="3" fillId="0" borderId="0" xfId="0" applyFont="1" applyFill="1"/>
    <xf numFmtId="0" fontId="3" fillId="0" borderId="22" xfId="0" applyFont="1" applyFill="1" applyBorder="1"/>
    <xf numFmtId="0" fontId="0" fillId="0" borderId="14" xfId="0" applyBorder="1"/>
    <xf numFmtId="0" fontId="4" fillId="0" borderId="6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wrapText="1"/>
    </xf>
    <xf numFmtId="0" fontId="4" fillId="0" borderId="5" xfId="0" applyFont="1" applyFill="1" applyBorder="1" applyAlignment="1">
      <alignment horizontal="center" wrapText="1"/>
    </xf>
    <xf numFmtId="2" fontId="3" fillId="3" borderId="3" xfId="0" applyNumberFormat="1" applyFont="1" applyFill="1" applyBorder="1" applyAlignment="1">
      <alignment horizontal="center"/>
    </xf>
    <xf numFmtId="2" fontId="3" fillId="3" borderId="11" xfId="0" applyNumberFormat="1" applyFont="1" applyFill="1" applyBorder="1" applyAlignment="1">
      <alignment horizontal="center"/>
    </xf>
    <xf numFmtId="2" fontId="3" fillId="3" borderId="16" xfId="0" applyNumberFormat="1" applyFont="1" applyFill="1" applyBorder="1" applyAlignment="1">
      <alignment horizontal="center"/>
    </xf>
    <xf numFmtId="0" fontId="3" fillId="0" borderId="10" xfId="0" applyFont="1" applyFill="1" applyBorder="1"/>
    <xf numFmtId="0" fontId="0" fillId="0" borderId="0" xfId="0" applyBorder="1"/>
    <xf numFmtId="0" fontId="0" fillId="0" borderId="16" xfId="0" applyBorder="1"/>
    <xf numFmtId="0" fontId="3" fillId="0" borderId="23" xfId="0" applyFont="1" applyFill="1" applyBorder="1"/>
    <xf numFmtId="2" fontId="4" fillId="0" borderId="21" xfId="0" applyNumberFormat="1" applyFont="1" applyFill="1" applyBorder="1"/>
    <xf numFmtId="2" fontId="4" fillId="0" borderId="6" xfId="0" applyNumberFormat="1" applyFont="1" applyFill="1" applyBorder="1"/>
    <xf numFmtId="0" fontId="0" fillId="5" borderId="0" xfId="0" applyFill="1"/>
    <xf numFmtId="2" fontId="3" fillId="0" borderId="0" xfId="0" applyNumberFormat="1" applyFont="1" applyFill="1" applyBorder="1"/>
    <xf numFmtId="0" fontId="3" fillId="0" borderId="0" xfId="0" applyFont="1" applyFill="1" applyBorder="1" applyAlignment="1">
      <alignment wrapText="1"/>
    </xf>
    <xf numFmtId="0" fontId="4" fillId="0" borderId="13" xfId="0" applyFont="1" applyFill="1" applyBorder="1" applyAlignment="1">
      <alignment wrapText="1"/>
    </xf>
    <xf numFmtId="0" fontId="4" fillId="0" borderId="23" xfId="0" applyFont="1" applyFill="1" applyBorder="1" applyAlignment="1">
      <alignment wrapText="1"/>
    </xf>
    <xf numFmtId="0" fontId="4" fillId="0" borderId="14" xfId="0" applyFont="1" applyFill="1" applyBorder="1" applyAlignment="1">
      <alignment wrapText="1"/>
    </xf>
    <xf numFmtId="165" fontId="8" fillId="0" borderId="0" xfId="0" applyNumberFormat="1" applyFont="1" applyFill="1" applyBorder="1" applyProtection="1"/>
    <xf numFmtId="0" fontId="0" fillId="0" borderId="13" xfId="0" applyFont="1" applyFill="1" applyBorder="1"/>
    <xf numFmtId="165" fontId="5" fillId="0" borderId="8" xfId="0" applyNumberFormat="1" applyFont="1" applyFill="1" applyBorder="1" applyProtection="1"/>
    <xf numFmtId="0" fontId="3" fillId="0" borderId="14" xfId="0" applyFont="1" applyFill="1" applyBorder="1" applyProtection="1"/>
    <xf numFmtId="0" fontId="13" fillId="0" borderId="0" xfId="0" applyFont="1"/>
    <xf numFmtId="0" fontId="3" fillId="0" borderId="22" xfId="0" applyFont="1" applyFill="1" applyBorder="1" applyAlignment="1" applyProtection="1"/>
    <xf numFmtId="0" fontId="3" fillId="0" borderId="23" xfId="0" applyFont="1" applyFill="1" applyBorder="1" applyAlignment="1" applyProtection="1"/>
    <xf numFmtId="165" fontId="5" fillId="0" borderId="10" xfId="0" applyNumberFormat="1" applyFont="1" applyFill="1" applyBorder="1" applyAlignment="1" applyProtection="1">
      <alignment horizontal="left" vertical="top" wrapText="1"/>
    </xf>
    <xf numFmtId="165" fontId="5" fillId="0" borderId="14" xfId="0" applyNumberFormat="1" applyFont="1" applyFill="1" applyBorder="1" applyAlignment="1" applyProtection="1">
      <alignment horizontal="left" vertical="top" wrapText="1"/>
    </xf>
    <xf numFmtId="0" fontId="3" fillId="0" borderId="24" xfId="0" applyFont="1" applyFill="1" applyBorder="1" applyAlignment="1" applyProtection="1"/>
    <xf numFmtId="2" fontId="3" fillId="0" borderId="5" xfId="0" applyNumberFormat="1" applyFont="1" applyFill="1" applyBorder="1" applyProtection="1"/>
    <xf numFmtId="0" fontId="0" fillId="3" borderId="0" xfId="0" applyFill="1"/>
    <xf numFmtId="0" fontId="11" fillId="0" borderId="5" xfId="0" applyFont="1" applyBorder="1"/>
    <xf numFmtId="0" fontId="3" fillId="0" borderId="6" xfId="0" applyFont="1" applyFill="1" applyBorder="1" applyAlignment="1" applyProtection="1">
      <alignment horizontal="left" vertical="top" wrapText="1"/>
    </xf>
    <xf numFmtId="0" fontId="11" fillId="0" borderId="6" xfId="0" applyFont="1" applyBorder="1"/>
    <xf numFmtId="0" fontId="3" fillId="0" borderId="21" xfId="0" applyFont="1" applyFill="1" applyBorder="1" applyAlignment="1" applyProtection="1"/>
    <xf numFmtId="2" fontId="0" fillId="0" borderId="0" xfId="0" applyNumberFormat="1" applyFont="1"/>
    <xf numFmtId="0" fontId="4" fillId="0" borderId="5" xfId="0" applyFont="1" applyFill="1" applyBorder="1" applyProtection="1"/>
    <xf numFmtId="1" fontId="3" fillId="0" borderId="21" xfId="0" applyNumberFormat="1" applyFont="1" applyFill="1" applyBorder="1" applyProtection="1"/>
    <xf numFmtId="0" fontId="3" fillId="0" borderId="18" xfId="0" applyFont="1" applyFill="1" applyBorder="1" applyAlignment="1" applyProtection="1">
      <alignment horizontal="left" vertical="top"/>
    </xf>
    <xf numFmtId="165" fontId="8" fillId="0" borderId="16" xfId="0" applyNumberFormat="1" applyFont="1" applyFill="1" applyBorder="1" applyAlignment="1" applyProtection="1"/>
    <xf numFmtId="165" fontId="8" fillId="0" borderId="16" xfId="0" applyNumberFormat="1" applyFont="1" applyFill="1" applyBorder="1" applyAlignment="1" applyProtection="1">
      <alignment horizontal="left" vertical="top" wrapText="1"/>
    </xf>
    <xf numFmtId="0" fontId="4" fillId="0" borderId="16" xfId="0" applyFont="1" applyFill="1" applyBorder="1" applyProtection="1"/>
    <xf numFmtId="165" fontId="8" fillId="0" borderId="8" xfId="0" applyNumberFormat="1" applyFont="1" applyFill="1" applyBorder="1" applyAlignment="1" applyProtection="1"/>
    <xf numFmtId="0" fontId="0" fillId="0" borderId="0" xfId="0" applyFill="1" applyBorder="1"/>
    <xf numFmtId="1" fontId="4" fillId="0" borderId="8" xfId="0" applyNumberFormat="1" applyFont="1" applyFill="1" applyBorder="1" applyProtection="1"/>
    <xf numFmtId="1" fontId="4" fillId="0" borderId="11" xfId="0" applyNumberFormat="1" applyFont="1" applyFill="1" applyBorder="1" applyProtection="1"/>
    <xf numFmtId="0" fontId="0" fillId="0" borderId="22" xfId="0" applyFont="1" applyFill="1" applyBorder="1"/>
    <xf numFmtId="0" fontId="11" fillId="0" borderId="0" xfId="0" applyFont="1" applyFill="1"/>
    <xf numFmtId="0" fontId="0" fillId="0" borderId="10" xfId="0" applyBorder="1"/>
    <xf numFmtId="2" fontId="0" fillId="0" borderId="0" xfId="0" applyNumberFormat="1"/>
    <xf numFmtId="0" fontId="0" fillId="0" borderId="3" xfId="0" applyBorder="1"/>
    <xf numFmtId="0" fontId="0" fillId="0" borderId="11" xfId="0" applyBorder="1"/>
    <xf numFmtId="2" fontId="11" fillId="0" borderId="8" xfId="0" applyNumberFormat="1" applyFont="1" applyBorder="1"/>
    <xf numFmtId="2" fontId="11" fillId="0" borderId="3" xfId="0" applyNumberFormat="1" applyFont="1" applyBorder="1"/>
    <xf numFmtId="2" fontId="4" fillId="0" borderId="8" xfId="0" applyNumberFormat="1" applyFont="1" applyFill="1" applyBorder="1" applyAlignment="1" applyProtection="1">
      <alignment horizontal="right"/>
    </xf>
    <xf numFmtId="2" fontId="4" fillId="0" borderId="3" xfId="0" applyNumberFormat="1" applyFont="1" applyFill="1" applyBorder="1" applyAlignment="1" applyProtection="1">
      <alignment horizontal="right"/>
    </xf>
    <xf numFmtId="2" fontId="4" fillId="0" borderId="5" xfId="0" applyNumberFormat="1" applyFont="1" applyFill="1" applyBorder="1" applyAlignment="1" applyProtection="1">
      <alignment horizontal="right"/>
    </xf>
    <xf numFmtId="0" fontId="3" fillId="0" borderId="10" xfId="0" applyFont="1" applyFill="1" applyBorder="1" applyAlignment="1" applyProtection="1">
      <alignment horizontal="left" vertical="top"/>
    </xf>
    <xf numFmtId="0" fontId="3" fillId="0" borderId="24" xfId="0" applyFont="1" applyFill="1" applyBorder="1" applyAlignment="1" applyProtection="1">
      <alignment horizontal="left" vertical="top"/>
    </xf>
    <xf numFmtId="0" fontId="3" fillId="0" borderId="23" xfId="0" applyFont="1" applyFill="1" applyBorder="1" applyAlignment="1" applyProtection="1">
      <alignment horizontal="left" vertical="top"/>
    </xf>
    <xf numFmtId="165" fontId="5" fillId="2" borderId="10" xfId="0" applyNumberFormat="1" applyFont="1" applyFill="1" applyBorder="1" applyAlignment="1" applyProtection="1">
      <alignment horizontal="left" vertical="top" wrapText="1"/>
    </xf>
    <xf numFmtId="165" fontId="5" fillId="2" borderId="14" xfId="0" applyNumberFormat="1" applyFont="1" applyFill="1" applyBorder="1" applyAlignment="1" applyProtection="1">
      <alignment horizontal="left" vertical="top" wrapText="1"/>
    </xf>
    <xf numFmtId="0" fontId="3" fillId="2" borderId="24" xfId="0" applyFont="1" applyFill="1" applyBorder="1" applyAlignment="1" applyProtection="1"/>
    <xf numFmtId="0" fontId="3" fillId="2" borderId="23" xfId="0" applyFont="1" applyFill="1" applyBorder="1" applyAlignment="1" applyProtection="1"/>
    <xf numFmtId="1" fontId="4" fillId="0" borderId="0" xfId="0" applyNumberFormat="1" applyFont="1" applyFill="1" applyBorder="1" applyProtection="1"/>
    <xf numFmtId="165" fontId="5" fillId="0" borderId="14" xfId="0" applyNumberFormat="1" applyFont="1" applyFill="1" applyBorder="1" applyAlignment="1" applyProtection="1">
      <alignment horizontal="right" vertical="top" wrapText="1"/>
    </xf>
    <xf numFmtId="165" fontId="5" fillId="0" borderId="18" xfId="0" applyNumberFormat="1" applyFont="1" applyFill="1" applyBorder="1" applyAlignment="1" applyProtection="1">
      <alignment horizontal="right" vertical="top" wrapText="1"/>
    </xf>
    <xf numFmtId="165" fontId="8" fillId="2" borderId="14" xfId="0" applyNumberFormat="1" applyFont="1" applyFill="1" applyBorder="1" applyAlignment="1" applyProtection="1">
      <alignment horizontal="right" vertical="top" wrapText="1"/>
    </xf>
    <xf numFmtId="165" fontId="8" fillId="2" borderId="14" xfId="0" applyNumberFormat="1" applyFont="1" applyFill="1" applyBorder="1" applyAlignment="1" applyProtection="1">
      <alignment horizontal="left" vertical="top" wrapText="1"/>
    </xf>
    <xf numFmtId="0" fontId="4" fillId="2" borderId="10" xfId="0" applyFont="1" applyFill="1" applyBorder="1" applyAlignment="1" applyProtection="1">
      <alignment horizontal="left" vertical="top" wrapText="1"/>
    </xf>
    <xf numFmtId="0" fontId="3" fillId="0" borderId="14" xfId="0" applyFont="1" applyFill="1" applyBorder="1" applyAlignment="1" applyProtection="1">
      <alignment horizontal="left" vertical="top" wrapText="1"/>
    </xf>
    <xf numFmtId="0" fontId="9" fillId="0" borderId="18" xfId="0" applyFont="1" applyFill="1" applyBorder="1" applyAlignment="1" applyProtection="1">
      <alignment horizontal="right" vertical="top" wrapText="1"/>
    </xf>
    <xf numFmtId="0" fontId="3" fillId="0" borderId="22" xfId="0" applyFont="1" applyFill="1" applyBorder="1" applyAlignment="1" applyProtection="1">
      <alignment horizontal="left" vertical="top"/>
    </xf>
    <xf numFmtId="0" fontId="2" fillId="0" borderId="0" xfId="0" applyFont="1" applyBorder="1"/>
    <xf numFmtId="0" fontId="3" fillId="0" borderId="5" xfId="0" applyFont="1" applyFill="1" applyBorder="1" applyAlignment="1">
      <alignment horizontal="right"/>
    </xf>
    <xf numFmtId="2" fontId="3" fillId="0" borderId="5" xfId="0" applyNumberFormat="1" applyFont="1" applyFill="1" applyBorder="1"/>
    <xf numFmtId="2" fontId="3" fillId="3" borderId="0" xfId="0" applyNumberFormat="1" applyFont="1" applyFill="1" applyBorder="1" applyAlignment="1">
      <alignment horizontal="center"/>
    </xf>
    <xf numFmtId="2" fontId="3" fillId="0" borderId="9" xfId="0" applyNumberFormat="1" applyFont="1" applyFill="1" applyBorder="1" applyAlignment="1">
      <alignment horizontal="left"/>
    </xf>
    <xf numFmtId="2" fontId="3" fillId="0" borderId="0" xfId="0" applyNumberFormat="1" applyFont="1" applyFill="1" applyBorder="1" applyAlignment="1">
      <alignment horizontal="left"/>
    </xf>
    <xf numFmtId="0" fontId="4" fillId="0" borderId="18" xfId="0" applyFont="1" applyFill="1" applyBorder="1" applyAlignment="1">
      <alignment horizontal="center" vertical="center" wrapText="1"/>
    </xf>
    <xf numFmtId="0" fontId="3" fillId="0" borderId="2" xfId="0" applyFont="1" applyFill="1" applyBorder="1"/>
    <xf numFmtId="0" fontId="3" fillId="0" borderId="29" xfId="0" applyFont="1" applyFill="1" applyBorder="1" applyAlignment="1">
      <alignment horizontal="center"/>
    </xf>
    <xf numFmtId="0" fontId="3" fillId="0" borderId="20" xfId="0" applyFont="1" applyFill="1" applyBorder="1"/>
    <xf numFmtId="1" fontId="3" fillId="0" borderId="2" xfId="0" applyNumberFormat="1" applyFont="1" applyFill="1" applyBorder="1" applyAlignment="1">
      <alignment horizontal="center"/>
    </xf>
    <xf numFmtId="0" fontId="3" fillId="0" borderId="29" xfId="0" applyFont="1" applyFill="1" applyBorder="1"/>
    <xf numFmtId="2" fontId="3" fillId="0" borderId="26" xfId="0" applyNumberFormat="1" applyFont="1" applyFill="1" applyBorder="1" applyAlignment="1">
      <alignment horizontal="left"/>
    </xf>
    <xf numFmtId="2" fontId="3" fillId="0" borderId="2" xfId="0" applyNumberFormat="1" applyFont="1" applyFill="1" applyBorder="1" applyAlignment="1">
      <alignment horizontal="left"/>
    </xf>
    <xf numFmtId="2" fontId="3" fillId="0" borderId="20" xfId="0" applyNumberFormat="1" applyFont="1" applyFill="1" applyBorder="1" applyAlignment="1">
      <alignment horizontal="left"/>
    </xf>
    <xf numFmtId="0" fontId="4" fillId="0" borderId="20" xfId="0" applyFont="1" applyFill="1" applyBorder="1" applyAlignment="1">
      <alignment wrapText="1"/>
    </xf>
    <xf numFmtId="0" fontId="4" fillId="0" borderId="20" xfId="0" applyFont="1" applyFill="1" applyBorder="1" applyAlignment="1">
      <alignment horizontal="center" wrapText="1"/>
    </xf>
    <xf numFmtId="1" fontId="4" fillId="0" borderId="29" xfId="0" applyNumberFormat="1" applyFont="1" applyFill="1" applyBorder="1" applyAlignment="1">
      <alignment horizontal="center"/>
    </xf>
    <xf numFmtId="0" fontId="3" fillId="0" borderId="18" xfId="0" applyFont="1" applyFill="1" applyBorder="1"/>
    <xf numFmtId="0" fontId="3" fillId="0" borderId="21" xfId="0" applyFont="1" applyFill="1" applyBorder="1" applyAlignment="1">
      <alignment horizontal="left"/>
    </xf>
    <xf numFmtId="0" fontId="11" fillId="0" borderId="9" xfId="0" applyFont="1" applyFill="1" applyBorder="1"/>
    <xf numFmtId="1" fontId="3" fillId="0" borderId="0" xfId="0" applyNumberFormat="1" applyFont="1" applyFill="1" applyBorder="1"/>
    <xf numFmtId="0" fontId="3" fillId="0" borderId="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11" fillId="0" borderId="6" xfId="0" applyFont="1" applyFill="1" applyBorder="1"/>
    <xf numFmtId="1" fontId="3" fillId="0" borderId="11" xfId="0" applyNumberFormat="1" applyFont="1" applyFill="1" applyBorder="1" applyProtection="1"/>
    <xf numFmtId="164" fontId="3" fillId="0" borderId="5" xfId="0" applyNumberFormat="1" applyFont="1" applyFill="1" applyBorder="1" applyProtection="1"/>
    <xf numFmtId="1" fontId="3" fillId="0" borderId="5" xfId="0" applyNumberFormat="1" applyFont="1" applyFill="1" applyBorder="1" applyProtection="1"/>
    <xf numFmtId="164" fontId="3" fillId="0" borderId="31" xfId="0" applyNumberFormat="1" applyFont="1" applyFill="1" applyBorder="1" applyProtection="1"/>
    <xf numFmtId="0" fontId="3" fillId="0" borderId="27" xfId="0" applyFont="1" applyFill="1" applyBorder="1" applyAlignment="1" applyProtection="1"/>
    <xf numFmtId="0" fontId="0" fillId="0" borderId="9" xfId="0" applyBorder="1"/>
    <xf numFmtId="0" fontId="3" fillId="0" borderId="28" xfId="0" applyFont="1" applyFill="1" applyBorder="1" applyAlignment="1" applyProtection="1">
      <alignment horizontal="left" vertical="top"/>
    </xf>
    <xf numFmtId="0" fontId="3" fillId="0" borderId="28" xfId="0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top" wrapText="1"/>
    </xf>
    <xf numFmtId="1" fontId="3" fillId="0" borderId="24" xfId="0" applyNumberFormat="1" applyFont="1" applyFill="1" applyBorder="1" applyProtection="1"/>
    <xf numFmtId="165" fontId="8" fillId="0" borderId="10" xfId="0" applyNumberFormat="1" applyFont="1" applyFill="1" applyBorder="1" applyProtection="1"/>
    <xf numFmtId="1" fontId="3" fillId="0" borderId="8" xfId="0" applyNumberFormat="1" applyFont="1" applyFill="1" applyBorder="1" applyProtection="1"/>
    <xf numFmtId="0" fontId="11" fillId="0" borderId="13" xfId="0" applyFont="1" applyBorder="1"/>
    <xf numFmtId="1" fontId="3" fillId="0" borderId="3" xfId="0" applyNumberFormat="1" applyFont="1" applyFill="1" applyBorder="1" applyProtection="1"/>
    <xf numFmtId="0" fontId="3" fillId="0" borderId="23" xfId="0" applyFont="1" applyFill="1" applyBorder="1" applyAlignment="1">
      <alignment horizontal="center" wrapText="1"/>
    </xf>
    <xf numFmtId="0" fontId="11" fillId="0" borderId="13" xfId="0" applyFont="1" applyFill="1" applyBorder="1"/>
    <xf numFmtId="0" fontId="11" fillId="0" borderId="23" xfId="0" applyFont="1" applyFill="1" applyBorder="1"/>
    <xf numFmtId="0" fontId="3" fillId="0" borderId="9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 wrapText="1"/>
    </xf>
    <xf numFmtId="0" fontId="11" fillId="0" borderId="14" xfId="0" applyFont="1" applyFill="1" applyBorder="1"/>
    <xf numFmtId="0" fontId="0" fillId="0" borderId="21" xfId="0" applyBorder="1"/>
    <xf numFmtId="165" fontId="8" fillId="0" borderId="10" xfId="0" applyNumberFormat="1" applyFont="1" applyFill="1" applyBorder="1" applyAlignment="1" applyProtection="1">
      <alignment horizontal="left" vertical="top" wrapText="1"/>
    </xf>
    <xf numFmtId="164" fontId="3" fillId="0" borderId="18" xfId="0" applyNumberFormat="1" applyFont="1" applyFill="1" applyBorder="1" applyProtection="1"/>
    <xf numFmtId="165" fontId="5" fillId="0" borderId="0" xfId="0" applyNumberFormat="1" applyFont="1" applyFill="1" applyBorder="1" applyAlignment="1" applyProtection="1">
      <alignment horizontal="left" vertical="top" wrapText="1"/>
    </xf>
    <xf numFmtId="0" fontId="4" fillId="0" borderId="10" xfId="0" applyFont="1" applyFill="1" applyBorder="1" applyProtection="1"/>
    <xf numFmtId="0" fontId="4" fillId="0" borderId="13" xfId="0" applyFont="1" applyFill="1" applyBorder="1" applyAlignment="1" applyProtection="1"/>
    <xf numFmtId="0" fontId="3" fillId="0" borderId="16" xfId="0" applyFont="1" applyFill="1" applyBorder="1" applyAlignment="1" applyProtection="1">
      <alignment horizontal="right" vertical="top" wrapText="1"/>
    </xf>
    <xf numFmtId="0" fontId="3" fillId="0" borderId="14" xfId="0" applyFont="1" applyFill="1" applyBorder="1" applyAlignment="1" applyProtection="1">
      <alignment horizontal="right" vertical="top" wrapText="1"/>
    </xf>
    <xf numFmtId="0" fontId="4" fillId="0" borderId="19" xfId="0" applyFont="1" applyFill="1" applyBorder="1" applyAlignment="1" applyProtection="1"/>
    <xf numFmtId="0" fontId="10" fillId="0" borderId="18" xfId="0" applyFont="1" applyFill="1" applyBorder="1"/>
    <xf numFmtId="0" fontId="4" fillId="2" borderId="8" xfId="0" applyFont="1" applyFill="1" applyBorder="1" applyProtection="1"/>
    <xf numFmtId="165" fontId="5" fillId="2" borderId="11" xfId="0" applyNumberFormat="1" applyFont="1" applyFill="1" applyBorder="1" applyAlignment="1" applyProtection="1">
      <alignment horizontal="left" vertical="top" wrapText="1"/>
    </xf>
    <xf numFmtId="0" fontId="0" fillId="9" borderId="0" xfId="0" applyFill="1"/>
    <xf numFmtId="0" fontId="4" fillId="2" borderId="10" xfId="0" applyFont="1" applyFill="1" applyBorder="1" applyAlignment="1" applyProtection="1">
      <alignment horizontal="right" vertical="top" wrapText="1"/>
    </xf>
    <xf numFmtId="0" fontId="4" fillId="2" borderId="14" xfId="0" applyFont="1" applyFill="1" applyBorder="1" applyAlignment="1" applyProtection="1">
      <alignment horizontal="right" vertical="top" wrapText="1"/>
    </xf>
    <xf numFmtId="165" fontId="4" fillId="2" borderId="5" xfId="0" applyNumberFormat="1" applyFont="1" applyFill="1" applyBorder="1" applyProtection="1"/>
    <xf numFmtId="0" fontId="4" fillId="2" borderId="16" xfId="0" applyFont="1" applyFill="1" applyBorder="1" applyAlignment="1" applyProtection="1">
      <alignment horizontal="right" vertical="top" wrapText="1"/>
    </xf>
    <xf numFmtId="165" fontId="4" fillId="2" borderId="8" xfId="0" applyNumberFormat="1" applyFont="1" applyFill="1" applyBorder="1" applyProtection="1"/>
    <xf numFmtId="165" fontId="8" fillId="2" borderId="8" xfId="0" applyNumberFormat="1" applyFont="1" applyFill="1" applyBorder="1" applyAlignment="1" applyProtection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6" xfId="0" applyFont="1" applyFill="1" applyBorder="1" applyAlignment="1">
      <alignment horizontal="center" wrapText="1"/>
    </xf>
    <xf numFmtId="2" fontId="11" fillId="0" borderId="16" xfId="0" applyNumberFormat="1" applyFont="1" applyFill="1" applyBorder="1" applyAlignment="1">
      <alignment horizontal="center"/>
    </xf>
    <xf numFmtId="2" fontId="11" fillId="0" borderId="0" xfId="0" applyNumberFormat="1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 wrapText="1"/>
    </xf>
    <xf numFmtId="2" fontId="11" fillId="0" borderId="22" xfId="0" applyNumberFormat="1" applyFont="1" applyFill="1" applyBorder="1" applyAlignment="1">
      <alignment horizontal="center"/>
    </xf>
    <xf numFmtId="0" fontId="0" fillId="0" borderId="34" xfId="0" applyBorder="1"/>
    <xf numFmtId="0" fontId="19" fillId="0" borderId="13" xfId="0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1" fillId="0" borderId="10" xfId="0" applyFont="1" applyFill="1" applyBorder="1"/>
    <xf numFmtId="0" fontId="11" fillId="0" borderId="16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wrapText="1"/>
    </xf>
    <xf numFmtId="0" fontId="11" fillId="0" borderId="14" xfId="0" applyFont="1" applyFill="1" applyBorder="1" applyAlignment="1">
      <alignment horizontal="center"/>
    </xf>
    <xf numFmtId="2" fontId="11" fillId="0" borderId="13" xfId="0" applyNumberFormat="1" applyFont="1" applyFill="1" applyBorder="1" applyAlignment="1">
      <alignment horizontal="center"/>
    </xf>
    <xf numFmtId="2" fontId="11" fillId="0" borderId="14" xfId="0" applyNumberFormat="1" applyFont="1" applyFill="1" applyBorder="1" applyAlignment="1">
      <alignment horizontal="center"/>
    </xf>
    <xf numFmtId="2" fontId="11" fillId="0" borderId="23" xfId="0" applyNumberFormat="1" applyFont="1" applyFill="1" applyBorder="1" applyAlignment="1">
      <alignment horizontal="center"/>
    </xf>
    <xf numFmtId="0" fontId="11" fillId="0" borderId="16" xfId="0" applyFont="1" applyFill="1" applyBorder="1"/>
    <xf numFmtId="0" fontId="4" fillId="0" borderId="5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2" fontId="11" fillId="0" borderId="9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0" fillId="0" borderId="10" xfId="0" applyFill="1" applyBorder="1"/>
    <xf numFmtId="0" fontId="11" fillId="0" borderId="24" xfId="0" applyFont="1" applyBorder="1"/>
    <xf numFmtId="0" fontId="11" fillId="0" borderId="16" xfId="0" applyFont="1" applyFill="1" applyBorder="1" applyAlignment="1">
      <alignment horizontal="left"/>
    </xf>
    <xf numFmtId="0" fontId="3" fillId="0" borderId="16" xfId="0" applyFont="1" applyFill="1" applyBorder="1" applyAlignment="1">
      <alignment horizontal="left"/>
    </xf>
    <xf numFmtId="0" fontId="3" fillId="0" borderId="14" xfId="0" applyFont="1" applyFill="1" applyBorder="1" applyAlignment="1">
      <alignment horizontal="left"/>
    </xf>
    <xf numFmtId="0" fontId="11" fillId="0" borderId="9" xfId="0" applyFont="1" applyFill="1" applyBorder="1" applyAlignment="1">
      <alignment vertical="center"/>
    </xf>
    <xf numFmtId="0" fontId="11" fillId="0" borderId="10" xfId="0" applyFont="1" applyFill="1" applyBorder="1" applyAlignment="1">
      <alignment vertical="center"/>
    </xf>
    <xf numFmtId="0" fontId="0" fillId="0" borderId="24" xfId="0" applyBorder="1"/>
    <xf numFmtId="0" fontId="14" fillId="0" borderId="8" xfId="0" applyFont="1" applyFill="1" applyBorder="1"/>
    <xf numFmtId="0" fontId="11" fillId="0" borderId="0" xfId="0" applyFont="1" applyFill="1" applyBorder="1" applyAlignment="1">
      <alignment horizontal="center"/>
    </xf>
    <xf numFmtId="0" fontId="11" fillId="0" borderId="13" xfId="0" applyFont="1" applyFill="1" applyBorder="1" applyAlignment="1">
      <alignment horizontal="center"/>
    </xf>
    <xf numFmtId="0" fontId="10" fillId="0" borderId="8" xfId="0" applyFont="1" applyFill="1" applyBorder="1" applyAlignment="1">
      <alignment vertical="center"/>
    </xf>
    <xf numFmtId="0" fontId="10" fillId="0" borderId="5" xfId="0" applyFont="1" applyFill="1" applyBorder="1" applyAlignment="1">
      <alignment vertical="center"/>
    </xf>
    <xf numFmtId="0" fontId="1" fillId="0" borderId="35" xfId="0" applyFont="1" applyBorder="1"/>
    <xf numFmtId="0" fontId="4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/>
    </xf>
    <xf numFmtId="1" fontId="18" fillId="0" borderId="3" xfId="0" applyNumberFormat="1" applyFont="1" applyFill="1" applyBorder="1" applyAlignment="1">
      <alignment horizontal="right" vertical="center"/>
    </xf>
    <xf numFmtId="1" fontId="18" fillId="0" borderId="3" xfId="0" applyNumberFormat="1" applyFont="1" applyFill="1" applyBorder="1"/>
    <xf numFmtId="1" fontId="18" fillId="0" borderId="22" xfId="0" applyNumberFormat="1" applyFont="1" applyFill="1" applyBorder="1" applyAlignment="1">
      <alignment horizontal="right" vertical="center"/>
    </xf>
    <xf numFmtId="0" fontId="18" fillId="0" borderId="18" xfId="0" applyFont="1" applyFill="1" applyBorder="1" applyAlignment="1">
      <alignment horizontal="center" vertical="center" wrapText="1"/>
    </xf>
    <xf numFmtId="0" fontId="18" fillId="0" borderId="21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left" vertical="center"/>
    </xf>
    <xf numFmtId="0" fontId="18" fillId="0" borderId="24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left" vertical="center"/>
    </xf>
    <xf numFmtId="0" fontId="18" fillId="0" borderId="22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left" vertical="center"/>
    </xf>
    <xf numFmtId="0" fontId="18" fillId="0" borderId="23" xfId="0" applyFont="1" applyFill="1" applyBorder="1" applyAlignment="1">
      <alignment horizontal="center" vertical="center"/>
    </xf>
    <xf numFmtId="0" fontId="18" fillId="0" borderId="10" xfId="0" applyFont="1" applyFill="1" applyBorder="1"/>
    <xf numFmtId="0" fontId="18" fillId="0" borderId="16" xfId="0" applyFont="1" applyFill="1" applyBorder="1"/>
    <xf numFmtId="0" fontId="18" fillId="0" borderId="14" xfId="0" applyFont="1" applyFill="1" applyBorder="1"/>
    <xf numFmtId="1" fontId="18" fillId="0" borderId="8" xfId="0" applyNumberFormat="1" applyFont="1" applyFill="1" applyBorder="1"/>
    <xf numFmtId="1" fontId="18" fillId="0" borderId="11" xfId="0" applyNumberFormat="1" applyFont="1" applyFill="1" applyBorder="1"/>
    <xf numFmtId="0" fontId="18" fillId="0" borderId="11" xfId="0" applyFont="1" applyFill="1" applyBorder="1"/>
    <xf numFmtId="0" fontId="18" fillId="0" borderId="13" xfId="0" applyFont="1" applyFill="1" applyBorder="1"/>
    <xf numFmtId="0" fontId="18" fillId="0" borderId="3" xfId="0" applyFont="1" applyFill="1" applyBorder="1"/>
    <xf numFmtId="0" fontId="18" fillId="0" borderId="8" xfId="0" applyFont="1" applyFill="1" applyBorder="1"/>
    <xf numFmtId="0" fontId="18" fillId="0" borderId="9" xfId="0" applyFont="1" applyFill="1" applyBorder="1"/>
    <xf numFmtId="0" fontId="22" fillId="0" borderId="0" xfId="0" applyFont="1" applyFill="1" applyBorder="1"/>
    <xf numFmtId="0" fontId="22" fillId="0" borderId="0" xfId="0" applyFont="1" applyFill="1"/>
    <xf numFmtId="0" fontId="6" fillId="0" borderId="0" xfId="0" applyFont="1" applyFill="1" applyBorder="1" applyAlignment="1">
      <alignment vertical="center"/>
    </xf>
    <xf numFmtId="0" fontId="18" fillId="0" borderId="0" xfId="0" applyFont="1" applyBorder="1"/>
    <xf numFmtId="0" fontId="18" fillId="0" borderId="3" xfId="0" applyFont="1" applyBorder="1"/>
    <xf numFmtId="0" fontId="18" fillId="0" borderId="11" xfId="0" applyFont="1" applyBorder="1"/>
    <xf numFmtId="0" fontId="18" fillId="0" borderId="13" xfId="0" applyFont="1" applyBorder="1"/>
    <xf numFmtId="9" fontId="18" fillId="0" borderId="5" xfId="0" applyNumberFormat="1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18" fillId="0" borderId="8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10" fontId="0" fillId="0" borderId="0" xfId="0" applyNumberFormat="1"/>
    <xf numFmtId="0" fontId="10" fillId="0" borderId="21" xfId="0" applyFont="1" applyFill="1" applyBorder="1" applyAlignment="1">
      <alignment vertical="center"/>
    </xf>
    <xf numFmtId="0" fontId="4" fillId="0" borderId="18" xfId="0" applyFont="1" applyFill="1" applyBorder="1" applyAlignment="1">
      <alignment vertical="center"/>
    </xf>
    <xf numFmtId="0" fontId="4" fillId="0" borderId="21" xfId="0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right" vertical="center"/>
    </xf>
    <xf numFmtId="0" fontId="0" fillId="0" borderId="0" xfId="0" applyNumberFormat="1"/>
    <xf numFmtId="0" fontId="18" fillId="0" borderId="21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1" fillId="0" borderId="21" xfId="0" applyFont="1" applyBorder="1"/>
    <xf numFmtId="9" fontId="3" fillId="0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right" vertical="center"/>
    </xf>
    <xf numFmtId="0" fontId="3" fillId="0" borderId="24" xfId="0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right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right" vertical="center"/>
    </xf>
    <xf numFmtId="1" fontId="4" fillId="0" borderId="8" xfId="0" applyNumberFormat="1" applyFont="1" applyFill="1" applyBorder="1" applyAlignment="1">
      <alignment horizontal="right" vertical="center"/>
    </xf>
    <xf numFmtId="1" fontId="3" fillId="0" borderId="13" xfId="0" applyNumberFormat="1" applyFont="1" applyFill="1" applyBorder="1" applyAlignment="1">
      <alignment horizontal="right" vertical="center"/>
    </xf>
    <xf numFmtId="1" fontId="3" fillId="0" borderId="9" xfId="0" applyNumberFormat="1" applyFont="1" applyFill="1" applyBorder="1"/>
    <xf numFmtId="1" fontId="3" fillId="0" borderId="8" xfId="0" applyNumberFormat="1" applyFont="1" applyFill="1" applyBorder="1"/>
    <xf numFmtId="0" fontId="3" fillId="0" borderId="13" xfId="0" applyFont="1" applyFill="1" applyBorder="1" applyAlignment="1">
      <alignment horizontal="center"/>
    </xf>
    <xf numFmtId="1" fontId="3" fillId="0" borderId="13" xfId="0" applyNumberFormat="1" applyFont="1" applyFill="1" applyBorder="1"/>
    <xf numFmtId="1" fontId="3" fillId="0" borderId="11" xfId="0" applyNumberFormat="1" applyFont="1" applyFill="1" applyBorder="1"/>
    <xf numFmtId="2" fontId="11" fillId="0" borderId="11" xfId="0" applyNumberFormat="1" applyFont="1" applyBorder="1"/>
    <xf numFmtId="1" fontId="4" fillId="0" borderId="11" xfId="0" applyNumberFormat="1" applyFont="1" applyFill="1" applyBorder="1" applyAlignment="1">
      <alignment horizontal="right" vertical="center"/>
    </xf>
    <xf numFmtId="1" fontId="18" fillId="0" borderId="3" xfId="0" applyNumberFormat="1" applyFont="1" applyBorder="1"/>
    <xf numFmtId="1" fontId="18" fillId="0" borderId="11" xfId="0" applyNumberFormat="1" applyFont="1" applyBorder="1"/>
    <xf numFmtId="0" fontId="11" fillId="0" borderId="0" xfId="0" applyFont="1" applyAlignment="1">
      <alignment horizontal="center" vertical="center"/>
    </xf>
    <xf numFmtId="0" fontId="11" fillId="0" borderId="11" xfId="0" applyFont="1" applyBorder="1"/>
    <xf numFmtId="0" fontId="11" fillId="0" borderId="8" xfId="0" applyFont="1" applyBorder="1"/>
    <xf numFmtId="0" fontId="11" fillId="0" borderId="3" xfId="0" applyFont="1" applyBorder="1"/>
    <xf numFmtId="0" fontId="4" fillId="0" borderId="25" xfId="0" applyFont="1" applyBorder="1"/>
    <xf numFmtId="0" fontId="11" fillId="0" borderId="16" xfId="0" applyFont="1" applyBorder="1"/>
    <xf numFmtId="0" fontId="11" fillId="0" borderId="0" xfId="0" applyFont="1" applyBorder="1"/>
    <xf numFmtId="0" fontId="4" fillId="2" borderId="18" xfId="0" applyFont="1" applyFill="1" applyBorder="1" applyAlignment="1" applyProtection="1">
      <alignment horizontal="right" vertical="top" wrapText="1"/>
    </xf>
    <xf numFmtId="165" fontId="8" fillId="2" borderId="10" xfId="0" applyNumberFormat="1" applyFont="1" applyFill="1" applyBorder="1" applyAlignment="1" applyProtection="1">
      <alignment horizontal="left" vertical="top" wrapText="1"/>
    </xf>
    <xf numFmtId="2" fontId="3" fillId="0" borderId="8" xfId="0" applyNumberFormat="1" applyFont="1" applyFill="1" applyBorder="1" applyAlignment="1" applyProtection="1">
      <alignment horizontal="right"/>
    </xf>
    <xf numFmtId="2" fontId="3" fillId="0" borderId="3" xfId="0" applyNumberFormat="1" applyFont="1" applyFill="1" applyBorder="1" applyAlignment="1" applyProtection="1">
      <alignment horizontal="right"/>
    </xf>
    <xf numFmtId="0" fontId="3" fillId="2" borderId="16" xfId="0" applyFont="1" applyFill="1" applyBorder="1" applyAlignment="1" applyProtection="1">
      <alignment horizontal="left" vertical="top" wrapText="1"/>
    </xf>
    <xf numFmtId="0" fontId="3" fillId="2" borderId="10" xfId="0" applyFont="1" applyFill="1" applyBorder="1" applyAlignment="1" applyProtection="1">
      <alignment horizontal="left" vertical="top" wrapText="1"/>
    </xf>
    <xf numFmtId="0" fontId="4" fillId="0" borderId="9" xfId="0" applyFont="1" applyFill="1" applyBorder="1" applyAlignment="1" applyProtection="1">
      <alignment horizontal="right" vertical="top" wrapText="1"/>
    </xf>
    <xf numFmtId="0" fontId="4" fillId="0" borderId="13" xfId="0" applyFont="1" applyFill="1" applyBorder="1" applyAlignment="1" applyProtection="1">
      <alignment horizontal="left" vertical="top" wrapText="1"/>
    </xf>
    <xf numFmtId="0" fontId="4" fillId="0" borderId="13" xfId="0" applyFont="1" applyFill="1" applyBorder="1" applyAlignment="1" applyProtection="1">
      <alignment horizontal="right" vertical="top" wrapText="1"/>
    </xf>
    <xf numFmtId="165" fontId="5" fillId="2" borderId="10" xfId="0" applyNumberFormat="1" applyFont="1" applyFill="1" applyBorder="1" applyAlignment="1" applyProtection="1">
      <alignment horizontal="left" vertical="center" wrapText="1"/>
    </xf>
    <xf numFmtId="165" fontId="5" fillId="2" borderId="16" xfId="0" applyNumberFormat="1" applyFont="1" applyFill="1" applyBorder="1" applyAlignment="1" applyProtection="1">
      <alignment horizontal="left" vertical="center" wrapText="1"/>
    </xf>
    <xf numFmtId="165" fontId="5" fillId="2" borderId="18" xfId="0" applyNumberFormat="1" applyFont="1" applyFill="1" applyBorder="1" applyAlignment="1" applyProtection="1">
      <alignment horizontal="left" vertical="center" wrapText="1"/>
    </xf>
    <xf numFmtId="165" fontId="5" fillId="2" borderId="0" xfId="0" applyNumberFormat="1" applyFont="1" applyFill="1" applyBorder="1" applyAlignment="1" applyProtection="1">
      <alignment horizontal="left" vertical="center" wrapText="1"/>
    </xf>
    <xf numFmtId="165" fontId="5" fillId="2" borderId="14" xfId="0" applyNumberFormat="1" applyFont="1" applyFill="1" applyBorder="1" applyAlignment="1" applyProtection="1">
      <alignment horizontal="left" vertical="center" wrapText="1"/>
    </xf>
    <xf numFmtId="2" fontId="3" fillId="2" borderId="3" xfId="0" applyNumberFormat="1" applyFont="1" applyFill="1" applyBorder="1" applyAlignment="1" applyProtection="1">
      <alignment horizontal="center" vertical="center"/>
    </xf>
    <xf numFmtId="0" fontId="3" fillId="2" borderId="24" xfId="0" applyFont="1" applyFill="1" applyBorder="1" applyAlignment="1" applyProtection="1">
      <alignment horizontal="center" vertical="center"/>
    </xf>
    <xf numFmtId="0" fontId="3" fillId="2" borderId="23" xfId="0" applyFont="1" applyFill="1" applyBorder="1" applyAlignment="1" applyProtection="1">
      <alignment horizontal="center" vertical="center"/>
    </xf>
    <xf numFmtId="0" fontId="3" fillId="2" borderId="22" xfId="0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left" vertical="center"/>
    </xf>
    <xf numFmtId="0" fontId="4" fillId="2" borderId="3" xfId="0" applyFont="1" applyFill="1" applyBorder="1" applyAlignment="1" applyProtection="1">
      <alignment horizontal="left" vertical="center"/>
    </xf>
    <xf numFmtId="0" fontId="4" fillId="2" borderId="5" xfId="0" applyFont="1" applyFill="1" applyBorder="1" applyAlignment="1" applyProtection="1">
      <alignment horizontal="left" vertical="center"/>
    </xf>
    <xf numFmtId="0" fontId="4" fillId="2" borderId="10" xfId="0" applyFont="1" applyFill="1" applyBorder="1" applyAlignment="1" applyProtection="1">
      <alignment horizontal="left" vertical="center"/>
    </xf>
    <xf numFmtId="0" fontId="4" fillId="2" borderId="16" xfId="0" applyFont="1" applyFill="1" applyBorder="1" applyAlignment="1" applyProtection="1">
      <alignment horizontal="left" vertical="center"/>
    </xf>
    <xf numFmtId="165" fontId="8" fillId="2" borderId="14" xfId="0" applyNumberFormat="1" applyFont="1" applyFill="1" applyBorder="1" applyAlignment="1" applyProtection="1">
      <alignment horizontal="left" vertical="center" wrapText="1"/>
    </xf>
    <xf numFmtId="0" fontId="3" fillId="2" borderId="10" xfId="0" applyFont="1" applyFill="1" applyBorder="1" applyAlignment="1" applyProtection="1">
      <alignment horizontal="left" vertical="center"/>
    </xf>
    <xf numFmtId="0" fontId="3" fillId="2" borderId="16" xfId="0" applyFont="1" applyFill="1" applyBorder="1" applyAlignment="1" applyProtection="1">
      <alignment horizontal="left" vertical="center"/>
    </xf>
    <xf numFmtId="0" fontId="4" fillId="2" borderId="14" xfId="0" applyFont="1" applyFill="1" applyBorder="1" applyAlignment="1" applyProtection="1">
      <alignment horizontal="left" vertical="center"/>
    </xf>
    <xf numFmtId="0" fontId="3" fillId="2" borderId="14" xfId="0" applyFont="1" applyFill="1" applyBorder="1" applyAlignment="1" applyProtection="1">
      <alignment horizontal="left" vertical="center"/>
    </xf>
    <xf numFmtId="0" fontId="4" fillId="2" borderId="23" xfId="0" applyFont="1" applyFill="1" applyBorder="1" applyAlignment="1" applyProtection="1">
      <alignment horizontal="center" vertical="center"/>
    </xf>
    <xf numFmtId="165" fontId="5" fillId="8" borderId="8" xfId="0" applyNumberFormat="1" applyFont="1" applyFill="1" applyBorder="1" applyAlignment="1" applyProtection="1">
      <alignment horizontal="center" vertical="center" wrapText="1"/>
    </xf>
    <xf numFmtId="165" fontId="5" fillId="8" borderId="11" xfId="0" applyNumberFormat="1" applyFont="1" applyFill="1" applyBorder="1" applyAlignment="1" applyProtection="1">
      <alignment horizontal="center" vertical="center" wrapText="1"/>
    </xf>
    <xf numFmtId="165" fontId="5" fillId="8" borderId="3" xfId="0" applyNumberFormat="1" applyFont="1" applyFill="1" applyBorder="1" applyAlignment="1" applyProtection="1">
      <alignment horizontal="center" vertical="center" wrapText="1"/>
    </xf>
    <xf numFmtId="165" fontId="5" fillId="0" borderId="3" xfId="0" applyNumberFormat="1" applyFont="1" applyFill="1" applyBorder="1" applyAlignment="1" applyProtection="1">
      <alignment horizontal="center" vertical="center" wrapText="1"/>
    </xf>
    <xf numFmtId="165" fontId="5" fillId="0" borderId="11" xfId="0" applyNumberFormat="1" applyFont="1" applyFill="1" applyBorder="1" applyAlignment="1" applyProtection="1">
      <alignment horizontal="center" vertical="center" wrapText="1"/>
    </xf>
    <xf numFmtId="165" fontId="5" fillId="8" borderId="24" xfId="0" applyNumberFormat="1" applyFont="1" applyFill="1" applyBorder="1" applyAlignment="1" applyProtection="1">
      <alignment horizontal="center" vertical="center" wrapText="1"/>
    </xf>
    <xf numFmtId="165" fontId="5" fillId="8" borderId="22" xfId="0" applyNumberFormat="1" applyFont="1" applyFill="1" applyBorder="1" applyAlignment="1" applyProtection="1">
      <alignment horizontal="center" vertical="center" wrapText="1"/>
    </xf>
    <xf numFmtId="165" fontId="5" fillId="0" borderId="22" xfId="0" applyNumberFormat="1" applyFont="1" applyFill="1" applyBorder="1" applyAlignment="1" applyProtection="1">
      <alignment horizontal="center" vertical="center" wrapText="1"/>
    </xf>
    <xf numFmtId="165" fontId="8" fillId="8" borderId="23" xfId="0" applyNumberFormat="1" applyFont="1" applyFill="1" applyBorder="1" applyAlignment="1" applyProtection="1">
      <alignment horizontal="center" vertical="center" wrapText="1"/>
    </xf>
    <xf numFmtId="2" fontId="3" fillId="8" borderId="8" xfId="0" applyNumberFormat="1" applyFont="1" applyFill="1" applyBorder="1" applyAlignment="1" applyProtection="1">
      <alignment horizontal="center" vertical="center"/>
    </xf>
    <xf numFmtId="2" fontId="3" fillId="8" borderId="3" xfId="0" applyNumberFormat="1" applyFont="1" applyFill="1" applyBorder="1" applyAlignment="1" applyProtection="1">
      <alignment horizontal="center" vertical="center"/>
    </xf>
    <xf numFmtId="2" fontId="3" fillId="0" borderId="3" xfId="0" applyNumberFormat="1" applyFont="1" applyFill="1" applyBorder="1" applyAlignment="1" applyProtection="1">
      <alignment horizontal="center" vertical="center"/>
    </xf>
    <xf numFmtId="2" fontId="4" fillId="8" borderId="11" xfId="0" applyNumberFormat="1" applyFont="1" applyFill="1" applyBorder="1" applyAlignment="1" applyProtection="1">
      <alignment horizontal="center" vertical="center"/>
    </xf>
    <xf numFmtId="165" fontId="5" fillId="8" borderId="23" xfId="0" applyNumberFormat="1" applyFont="1" applyFill="1" applyBorder="1" applyAlignment="1" applyProtection="1">
      <alignment horizontal="center" vertical="center" wrapText="1"/>
    </xf>
    <xf numFmtId="165" fontId="8" fillId="8" borderId="11" xfId="0" applyNumberFormat="1" applyFont="1" applyFill="1" applyBorder="1" applyAlignment="1" applyProtection="1">
      <alignment horizontal="center" vertical="center" wrapText="1"/>
    </xf>
    <xf numFmtId="165" fontId="8" fillId="8" borderId="3" xfId="0" applyNumberFormat="1" applyFont="1" applyFill="1" applyBorder="1" applyAlignment="1" applyProtection="1">
      <alignment horizontal="center" vertical="center" wrapText="1"/>
    </xf>
    <xf numFmtId="0" fontId="4" fillId="2" borderId="22" xfId="0" applyFont="1" applyFill="1" applyBorder="1" applyAlignment="1" applyProtection="1"/>
    <xf numFmtId="0" fontId="4" fillId="2" borderId="23" xfId="0" applyFont="1" applyFill="1" applyBorder="1" applyAlignment="1" applyProtection="1"/>
    <xf numFmtId="0" fontId="14" fillId="0" borderId="33" xfId="0" applyFont="1" applyBorder="1"/>
    <xf numFmtId="0" fontId="14" fillId="0" borderId="35" xfId="0" applyFont="1" applyBorder="1"/>
    <xf numFmtId="9" fontId="11" fillId="0" borderId="0" xfId="0" applyNumberFormat="1" applyFont="1"/>
    <xf numFmtId="0" fontId="4" fillId="2" borderId="18" xfId="0" applyFont="1" applyFill="1" applyBorder="1" applyAlignment="1" applyProtection="1">
      <alignment horizontal="right" vertical="center" wrapText="1"/>
    </xf>
    <xf numFmtId="0" fontId="3" fillId="2" borderId="21" xfId="0" applyFont="1" applyFill="1" applyBorder="1" applyAlignment="1" applyProtection="1">
      <alignment vertical="center"/>
    </xf>
    <xf numFmtId="165" fontId="8" fillId="2" borderId="18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11" fillId="0" borderId="5" xfId="0" applyFont="1" applyBorder="1" applyAlignment="1">
      <alignment horizontal="center" vertical="top" wrapText="1"/>
    </xf>
    <xf numFmtId="0" fontId="11" fillId="0" borderId="5" xfId="0" applyFont="1" applyBorder="1" applyAlignment="1">
      <alignment vertical="top" wrapText="1"/>
    </xf>
    <xf numFmtId="9" fontId="11" fillId="0" borderId="5" xfId="0" applyNumberFormat="1" applyFont="1" applyBorder="1"/>
    <xf numFmtId="0" fontId="11" fillId="11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2" fontId="3" fillId="0" borderId="13" xfId="0" applyNumberFormat="1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0" fillId="0" borderId="0" xfId="0" applyProtection="1"/>
    <xf numFmtId="0" fontId="11" fillId="0" borderId="0" xfId="0" applyFont="1" applyProtection="1"/>
    <xf numFmtId="0" fontId="14" fillId="0" borderId="0" xfId="0" applyFont="1" applyProtection="1"/>
    <xf numFmtId="0" fontId="11" fillId="0" borderId="16" xfId="0" applyFont="1" applyBorder="1" applyAlignment="1" applyProtection="1">
      <alignment horizontal="left" vertical="center"/>
    </xf>
    <xf numFmtId="0" fontId="11" fillId="0" borderId="16" xfId="0" applyFont="1" applyBorder="1" applyProtection="1"/>
    <xf numFmtId="0" fontId="11" fillId="0" borderId="0" xfId="0" applyFont="1" applyAlignment="1" applyProtection="1">
      <alignment horizontal="left" vertical="center"/>
    </xf>
    <xf numFmtId="0" fontId="11" fillId="0" borderId="3" xfId="0" applyFont="1" applyBorder="1" applyAlignment="1" applyProtection="1">
      <alignment horizontal="left" vertical="center"/>
    </xf>
    <xf numFmtId="0" fontId="3" fillId="0" borderId="16" xfId="1" applyFont="1" applyBorder="1" applyProtection="1"/>
    <xf numFmtId="0" fontId="0" fillId="0" borderId="16" xfId="0" applyBorder="1" applyProtection="1"/>
    <xf numFmtId="0" fontId="0" fillId="0" borderId="13" xfId="0" applyBorder="1" applyProtection="1"/>
    <xf numFmtId="0" fontId="14" fillId="0" borderId="13" xfId="0" applyFont="1" applyBorder="1" applyProtection="1"/>
    <xf numFmtId="0" fontId="14" fillId="0" borderId="0" xfId="0" applyFont="1" applyBorder="1" applyAlignment="1" applyProtection="1">
      <alignment horizontal="left" vertical="center"/>
    </xf>
    <xf numFmtId="1" fontId="3" fillId="11" borderId="5" xfId="0" applyNumberFormat="1" applyFont="1" applyFill="1" applyBorder="1" applyAlignment="1" applyProtection="1">
      <alignment vertical="center"/>
      <protection locked="0"/>
    </xf>
    <xf numFmtId="0" fontId="3" fillId="0" borderId="5" xfId="0" applyFont="1" applyFill="1" applyBorder="1" applyAlignment="1" applyProtection="1">
      <alignment vertical="center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3" fillId="0" borderId="6" xfId="0" applyFont="1" applyFill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11" fillId="0" borderId="0" xfId="0" applyFont="1" applyFill="1" applyAlignment="1" applyProtection="1">
      <alignment vertical="center"/>
    </xf>
    <xf numFmtId="0" fontId="3" fillId="0" borderId="16" xfId="0" applyFont="1" applyFill="1" applyBorder="1" applyAlignment="1" applyProtection="1">
      <alignment vertical="center"/>
    </xf>
    <xf numFmtId="164" fontId="3" fillId="11" borderId="5" xfId="0" applyNumberFormat="1" applyFont="1" applyFill="1" applyBorder="1" applyAlignment="1" applyProtection="1">
      <alignment vertical="center"/>
      <protection locked="0"/>
    </xf>
    <xf numFmtId="0" fontId="3" fillId="0" borderId="16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2" fontId="3" fillId="11" borderId="5" xfId="0" applyNumberFormat="1" applyFont="1" applyFill="1" applyBorder="1" applyAlignment="1" applyProtection="1">
      <alignment vertical="center"/>
      <protection locked="0"/>
    </xf>
    <xf numFmtId="0" fontId="3" fillId="0" borderId="5" xfId="0" applyFont="1" applyFill="1" applyBorder="1" applyAlignment="1" applyProtection="1">
      <alignment horizontal="left" vertical="center"/>
    </xf>
    <xf numFmtId="0" fontId="3" fillId="0" borderId="18" xfId="0" applyFont="1" applyFill="1" applyBorder="1" applyAlignment="1" applyProtection="1">
      <alignment vertical="center"/>
    </xf>
    <xf numFmtId="2" fontId="3" fillId="0" borderId="0" xfId="0" applyNumberFormat="1" applyFont="1" applyFill="1" applyBorder="1" applyAlignment="1" applyProtection="1">
      <alignment vertical="center"/>
    </xf>
    <xf numFmtId="0" fontId="3" fillId="0" borderId="11" xfId="0" applyFont="1" applyFill="1" applyBorder="1" applyAlignment="1" applyProtection="1">
      <alignment horizontal="right" vertical="center"/>
    </xf>
    <xf numFmtId="0" fontId="0" fillId="0" borderId="0" xfId="0" applyAlignment="1" applyProtection="1">
      <alignment vertical="center"/>
    </xf>
    <xf numFmtId="0" fontId="23" fillId="0" borderId="0" xfId="0" applyFont="1" applyFill="1" applyBorder="1" applyAlignment="1" applyProtection="1">
      <alignment vertical="center"/>
    </xf>
    <xf numFmtId="167" fontId="3" fillId="11" borderId="3" xfId="0" applyNumberFormat="1" applyFont="1" applyFill="1" applyBorder="1" applyAlignment="1" applyProtection="1">
      <alignment vertical="center"/>
      <protection locked="0"/>
    </xf>
    <xf numFmtId="0" fontId="3" fillId="0" borderId="3" xfId="0" applyFont="1" applyFill="1" applyBorder="1" applyAlignment="1" applyProtection="1">
      <alignment horizontal="right" vertical="center"/>
    </xf>
    <xf numFmtId="2" fontId="23" fillId="0" borderId="0" xfId="0" applyNumberFormat="1" applyFont="1" applyFill="1" applyBorder="1" applyAlignment="1" applyProtection="1">
      <alignment vertical="center"/>
    </xf>
    <xf numFmtId="167" fontId="3" fillId="11" borderId="8" xfId="0" applyNumberFormat="1" applyFont="1" applyFill="1" applyBorder="1" applyAlignment="1" applyProtection="1">
      <alignment vertical="center"/>
      <protection locked="0"/>
    </xf>
    <xf numFmtId="0" fontId="3" fillId="0" borderId="8" xfId="0" applyFont="1" applyFill="1" applyBorder="1" applyAlignment="1" applyProtection="1">
      <alignment horizontal="right" vertical="center"/>
    </xf>
    <xf numFmtId="0" fontId="3" fillId="0" borderId="5" xfId="0" applyFont="1" applyFill="1" applyBorder="1" applyAlignment="1" applyProtection="1">
      <alignment horizontal="right" vertical="center"/>
    </xf>
    <xf numFmtId="0" fontId="3" fillId="0" borderId="21" xfId="0" applyFont="1" applyFill="1" applyBorder="1" applyAlignment="1" applyProtection="1">
      <alignment horizontal="left" vertical="center"/>
    </xf>
    <xf numFmtId="165" fontId="3" fillId="0" borderId="5" xfId="0" applyNumberFormat="1" applyFont="1" applyFill="1" applyBorder="1" applyAlignment="1" applyProtection="1">
      <alignment horizontal="left" vertical="center" wrapText="1"/>
    </xf>
    <xf numFmtId="2" fontId="3" fillId="0" borderId="9" xfId="0" applyNumberFormat="1" applyFont="1" applyFill="1" applyBorder="1" applyAlignment="1" applyProtection="1">
      <alignment vertical="center"/>
    </xf>
    <xf numFmtId="2" fontId="3" fillId="0" borderId="10" xfId="0" applyNumberFormat="1" applyFont="1" applyFill="1" applyBorder="1" applyAlignment="1" applyProtection="1">
      <alignment vertical="center"/>
    </xf>
    <xf numFmtId="0" fontId="3" fillId="0" borderId="23" xfId="0" applyFont="1" applyFill="1" applyBorder="1" applyAlignment="1" applyProtection="1">
      <alignment vertical="center"/>
    </xf>
    <xf numFmtId="0" fontId="3" fillId="0" borderId="13" xfId="0" applyFont="1" applyFill="1" applyBorder="1" applyAlignment="1" applyProtection="1">
      <alignment vertical="center"/>
    </xf>
    <xf numFmtId="0" fontId="0" fillId="0" borderId="9" xfId="0" applyBorder="1" applyProtection="1"/>
    <xf numFmtId="0" fontId="3" fillId="0" borderId="9" xfId="0" applyFont="1" applyFill="1" applyBorder="1" applyAlignment="1" applyProtection="1">
      <alignment vertical="center"/>
    </xf>
    <xf numFmtId="0" fontId="3" fillId="0" borderId="10" xfId="0" applyFont="1" applyFill="1" applyBorder="1" applyAlignment="1" applyProtection="1">
      <alignment vertical="center"/>
    </xf>
    <xf numFmtId="0" fontId="3" fillId="11" borderId="5" xfId="0" applyFont="1" applyFill="1" applyBorder="1" applyAlignment="1" applyProtection="1">
      <alignment vertical="center"/>
      <protection locked="0"/>
    </xf>
    <xf numFmtId="164" fontId="3" fillId="11" borderId="18" xfId="0" applyNumberFormat="1" applyFont="1" applyFill="1" applyBorder="1" applyAlignment="1" applyProtection="1">
      <alignment vertical="center"/>
      <protection locked="0"/>
    </xf>
    <xf numFmtId="0" fontId="3" fillId="0" borderId="18" xfId="0" applyFont="1" applyFill="1" applyBorder="1" applyAlignment="1" applyProtection="1">
      <alignment horizontal="left" vertical="center"/>
    </xf>
    <xf numFmtId="164" fontId="3" fillId="0" borderId="0" xfId="0" applyNumberFormat="1" applyFont="1" applyFill="1" applyBorder="1" applyAlignment="1" applyProtection="1">
      <alignment vertical="center"/>
    </xf>
    <xf numFmtId="0" fontId="4" fillId="0" borderId="25" xfId="0" applyFont="1" applyBorder="1" applyAlignment="1" applyProtection="1">
      <alignment vertical="center"/>
    </xf>
    <xf numFmtId="0" fontId="11" fillId="0" borderId="0" xfId="0" applyFont="1" applyFill="1" applyBorder="1" applyProtection="1"/>
    <xf numFmtId="0" fontId="11" fillId="0" borderId="16" xfId="0" applyFont="1" applyFill="1" applyBorder="1" applyProtection="1"/>
    <xf numFmtId="0" fontId="11" fillId="0" borderId="3" xfId="0" applyFont="1" applyBorder="1" applyProtection="1"/>
    <xf numFmtId="0" fontId="4" fillId="0" borderId="25" xfId="0" applyFont="1" applyBorder="1" applyProtection="1"/>
    <xf numFmtId="0" fontId="2" fillId="0" borderId="0" xfId="0" applyFont="1" applyBorder="1" applyProtection="1"/>
    <xf numFmtId="0" fontId="3" fillId="0" borderId="0" xfId="0" applyFont="1" applyFill="1" applyBorder="1" applyAlignment="1" applyProtection="1">
      <alignment wrapText="1"/>
    </xf>
    <xf numFmtId="2" fontId="3" fillId="0" borderId="0" xfId="0" applyNumberFormat="1" applyFont="1" applyFill="1" applyBorder="1" applyProtection="1"/>
    <xf numFmtId="0" fontId="3" fillId="0" borderId="5" xfId="0" applyFont="1" applyFill="1" applyBorder="1" applyAlignment="1" applyProtection="1">
      <alignment horizontal="right"/>
    </xf>
    <xf numFmtId="0" fontId="0" fillId="0" borderId="0" xfId="0" applyFont="1" applyFill="1" applyBorder="1" applyProtection="1"/>
    <xf numFmtId="0" fontId="0" fillId="0" borderId="13" xfId="0" applyFont="1" applyFill="1" applyBorder="1" applyProtection="1"/>
    <xf numFmtId="0" fontId="3" fillId="0" borderId="13" xfId="0" applyFont="1" applyFill="1" applyBorder="1" applyProtection="1"/>
    <xf numFmtId="0" fontId="3" fillId="0" borderId="29" xfId="0" applyFont="1" applyFill="1" applyBorder="1" applyProtection="1"/>
    <xf numFmtId="0" fontId="4" fillId="0" borderId="6" xfId="0" applyFont="1" applyFill="1" applyBorder="1" applyProtection="1"/>
    <xf numFmtId="0" fontId="3" fillId="0" borderId="6" xfId="0" applyFont="1" applyFill="1" applyBorder="1" applyProtection="1"/>
    <xf numFmtId="0" fontId="4" fillId="0" borderId="18" xfId="0" applyFont="1" applyFill="1" applyBorder="1" applyProtection="1"/>
    <xf numFmtId="0" fontId="3" fillId="0" borderId="21" xfId="0" applyFont="1" applyFill="1" applyBorder="1" applyProtection="1"/>
    <xf numFmtId="0" fontId="0" fillId="0" borderId="10" xfId="0" applyBorder="1" applyProtection="1"/>
    <xf numFmtId="0" fontId="3" fillId="0" borderId="0" xfId="0" applyFont="1" applyFill="1" applyBorder="1" applyProtection="1"/>
    <xf numFmtId="0" fontId="3" fillId="0" borderId="2" xfId="0" applyFont="1" applyFill="1" applyBorder="1" applyProtection="1"/>
    <xf numFmtId="2" fontId="3" fillId="0" borderId="26" xfId="0" applyNumberFormat="1" applyFont="1" applyFill="1" applyBorder="1" applyAlignment="1" applyProtection="1">
      <alignment horizontal="left"/>
    </xf>
    <xf numFmtId="2" fontId="3" fillId="0" borderId="9" xfId="0" applyNumberFormat="1" applyFont="1" applyFill="1" applyBorder="1" applyAlignment="1" applyProtection="1">
      <alignment horizontal="left"/>
    </xf>
    <xf numFmtId="0" fontId="4" fillId="0" borderId="16" xfId="0" applyFont="1" applyFill="1" applyBorder="1" applyAlignment="1" applyProtection="1">
      <alignment horizontal="left"/>
    </xf>
    <xf numFmtId="2" fontId="3" fillId="0" borderId="2" xfId="0" applyNumberFormat="1" applyFont="1" applyFill="1" applyBorder="1" applyAlignment="1" applyProtection="1">
      <alignment horizontal="left"/>
    </xf>
    <xf numFmtId="2" fontId="3" fillId="0" borderId="0" xfId="0" applyNumberFormat="1" applyFont="1" applyFill="1" applyBorder="1" applyAlignment="1" applyProtection="1">
      <alignment horizontal="left"/>
    </xf>
    <xf numFmtId="0" fontId="0" fillId="0" borderId="0" xfId="0" applyFont="1" applyFill="1" applyProtection="1"/>
    <xf numFmtId="0" fontId="3" fillId="0" borderId="20" xfId="0" applyFont="1" applyFill="1" applyBorder="1" applyProtection="1"/>
    <xf numFmtId="2" fontId="3" fillId="0" borderId="20" xfId="0" applyNumberFormat="1" applyFont="1" applyFill="1" applyBorder="1" applyAlignment="1" applyProtection="1">
      <alignment horizontal="left"/>
    </xf>
    <xf numFmtId="2" fontId="3" fillId="0" borderId="13" xfId="0" applyNumberFormat="1" applyFont="1" applyFill="1" applyBorder="1" applyAlignment="1" applyProtection="1">
      <alignment horizontal="left"/>
    </xf>
    <xf numFmtId="0" fontId="0" fillId="0" borderId="14" xfId="0" applyBorder="1" applyProtection="1"/>
    <xf numFmtId="0" fontId="4" fillId="0" borderId="5" xfId="0" applyFont="1" applyFill="1" applyBorder="1" applyAlignment="1" applyProtection="1">
      <alignment horizontal="center" wrapText="1"/>
    </xf>
    <xf numFmtId="0" fontId="4" fillId="0" borderId="18" xfId="0" applyFont="1" applyFill="1" applyBorder="1" applyAlignment="1" applyProtection="1">
      <alignment horizontal="center" vertical="center" wrapText="1"/>
    </xf>
    <xf numFmtId="0" fontId="4" fillId="0" borderId="20" xfId="0" applyFont="1" applyFill="1" applyBorder="1" applyAlignment="1" applyProtection="1">
      <alignment horizontal="center" wrapText="1"/>
    </xf>
    <xf numFmtId="0" fontId="4" fillId="0" borderId="13" xfId="0" applyFont="1" applyFill="1" applyBorder="1" applyAlignment="1" applyProtection="1">
      <alignment wrapText="1"/>
    </xf>
    <xf numFmtId="0" fontId="4" fillId="0" borderId="23" xfId="0" applyFont="1" applyFill="1" applyBorder="1" applyAlignment="1" applyProtection="1">
      <alignment wrapText="1"/>
    </xf>
    <xf numFmtId="0" fontId="4" fillId="0" borderId="20" xfId="0" applyFont="1" applyFill="1" applyBorder="1" applyAlignment="1" applyProtection="1">
      <alignment wrapText="1"/>
    </xf>
    <xf numFmtId="0" fontId="4" fillId="0" borderId="14" xfId="0" applyFont="1" applyFill="1" applyBorder="1" applyAlignment="1" applyProtection="1">
      <alignment wrapText="1"/>
    </xf>
    <xf numFmtId="0" fontId="4" fillId="0" borderId="6" xfId="0" applyFont="1" applyFill="1" applyBorder="1" applyAlignment="1" applyProtection="1">
      <alignment horizont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2" fontId="3" fillId="3" borderId="3" xfId="0" applyNumberFormat="1" applyFont="1" applyFill="1" applyBorder="1" applyAlignment="1" applyProtection="1">
      <alignment horizontal="center"/>
    </xf>
    <xf numFmtId="2" fontId="3" fillId="3" borderId="16" xfId="0" applyNumberFormat="1" applyFont="1" applyFill="1" applyBorder="1" applyAlignment="1" applyProtection="1">
      <alignment horizontal="center"/>
    </xf>
    <xf numFmtId="1" fontId="3" fillId="0" borderId="2" xfId="0" applyNumberFormat="1" applyFont="1" applyFill="1" applyBorder="1" applyAlignment="1" applyProtection="1">
      <alignment horizontal="center"/>
    </xf>
    <xf numFmtId="0" fontId="3" fillId="0" borderId="22" xfId="0" applyFont="1" applyFill="1" applyBorder="1" applyProtection="1"/>
    <xf numFmtId="0" fontId="3" fillId="0" borderId="0" xfId="0" applyFont="1" applyFill="1" applyProtection="1"/>
    <xf numFmtId="0" fontId="3" fillId="3" borderId="0" xfId="0" applyFont="1" applyFill="1" applyBorder="1" applyProtection="1"/>
    <xf numFmtId="2" fontId="3" fillId="0" borderId="22" xfId="0" applyNumberFormat="1" applyFont="1" applyFill="1" applyBorder="1" applyProtection="1"/>
    <xf numFmtId="1" fontId="3" fillId="3" borderId="0" xfId="0" applyNumberFormat="1" applyFont="1" applyFill="1" applyBorder="1" applyProtection="1"/>
    <xf numFmtId="0" fontId="0" fillId="0" borderId="0" xfId="0" applyBorder="1" applyProtection="1"/>
    <xf numFmtId="2" fontId="3" fillId="3" borderId="0" xfId="0" applyNumberFormat="1" applyFont="1" applyFill="1" applyBorder="1" applyAlignment="1" applyProtection="1">
      <alignment horizontal="center"/>
    </xf>
    <xf numFmtId="2" fontId="3" fillId="3" borderId="11" xfId="0" applyNumberFormat="1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0" fontId="3" fillId="0" borderId="29" xfId="0" applyFont="1" applyFill="1" applyBorder="1" applyAlignment="1" applyProtection="1">
      <alignment horizontal="center"/>
    </xf>
    <xf numFmtId="0" fontId="4" fillId="0" borderId="21" xfId="0" applyFont="1" applyFill="1" applyBorder="1" applyProtection="1"/>
    <xf numFmtId="2" fontId="4" fillId="0" borderId="6" xfId="0" applyNumberFormat="1" applyFont="1" applyFill="1" applyBorder="1" applyProtection="1"/>
    <xf numFmtId="1" fontId="4" fillId="0" borderId="29" xfId="0" applyNumberFormat="1" applyFont="1" applyFill="1" applyBorder="1" applyAlignment="1" applyProtection="1">
      <alignment horizontal="center"/>
    </xf>
    <xf numFmtId="2" fontId="4" fillId="0" borderId="21" xfId="0" applyNumberFormat="1" applyFont="1" applyFill="1" applyBorder="1" applyProtection="1"/>
    <xf numFmtId="0" fontId="4" fillId="0" borderId="14" xfId="0" applyFont="1" applyFill="1" applyBorder="1" applyProtection="1"/>
    <xf numFmtId="0" fontId="3" fillId="0" borderId="9" xfId="0" applyFont="1" applyFill="1" applyBorder="1" applyProtection="1"/>
    <xf numFmtId="0" fontId="3" fillId="0" borderId="24" xfId="0" applyFont="1" applyFill="1" applyBorder="1" applyProtection="1"/>
    <xf numFmtId="2" fontId="3" fillId="3" borderId="14" xfId="0" applyNumberFormat="1" applyFont="1" applyFill="1" applyBorder="1" applyAlignment="1" applyProtection="1">
      <alignment horizontal="center"/>
    </xf>
    <xf numFmtId="1" fontId="3" fillId="0" borderId="20" xfId="0" applyNumberFormat="1" applyFont="1" applyFill="1" applyBorder="1" applyAlignment="1" applyProtection="1">
      <alignment horizontal="center"/>
    </xf>
    <xf numFmtId="0" fontId="3" fillId="0" borderId="23" xfId="0" applyFont="1" applyFill="1" applyBorder="1" applyProtection="1"/>
    <xf numFmtId="2" fontId="4" fillId="0" borderId="18" xfId="0" applyNumberFormat="1" applyFont="1" applyFill="1" applyBorder="1" applyProtection="1"/>
    <xf numFmtId="2" fontId="3" fillId="0" borderId="6" xfId="0" applyNumberFormat="1" applyFont="1" applyFill="1" applyBorder="1" applyAlignment="1" applyProtection="1">
      <alignment horizontal="center"/>
    </xf>
    <xf numFmtId="0" fontId="3" fillId="0" borderId="10" xfId="0" applyFont="1" applyFill="1" applyBorder="1" applyProtection="1"/>
    <xf numFmtId="2" fontId="3" fillId="0" borderId="2" xfId="0" applyNumberFormat="1" applyFont="1" applyFill="1" applyBorder="1" applyAlignment="1" applyProtection="1">
      <alignment horizontal="center"/>
    </xf>
    <xf numFmtId="2" fontId="3" fillId="0" borderId="20" xfId="0" applyNumberFormat="1" applyFont="1" applyFill="1" applyBorder="1" applyAlignment="1" applyProtection="1">
      <alignment horizontal="center"/>
    </xf>
    <xf numFmtId="2" fontId="3" fillId="0" borderId="29" xfId="0" applyNumberFormat="1" applyFont="1" applyFill="1" applyBorder="1" applyAlignment="1" applyProtection="1">
      <alignment horizontal="center"/>
    </xf>
    <xf numFmtId="2" fontId="3" fillId="0" borderId="9" xfId="0" applyNumberFormat="1" applyFont="1" applyFill="1" applyBorder="1" applyAlignment="1" applyProtection="1">
      <alignment horizontal="center"/>
    </xf>
    <xf numFmtId="2" fontId="3" fillId="0" borderId="0" xfId="0" applyNumberFormat="1" applyFont="1" applyFill="1" applyBorder="1" applyAlignment="1" applyProtection="1">
      <alignment horizontal="center"/>
    </xf>
    <xf numFmtId="0" fontId="3" fillId="3" borderId="3" xfId="0" applyFont="1" applyFill="1" applyBorder="1" applyAlignment="1" applyProtection="1">
      <alignment horizontal="center"/>
    </xf>
    <xf numFmtId="0" fontId="3" fillId="3" borderId="16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22" xfId="0" applyFill="1" applyBorder="1" applyProtection="1"/>
    <xf numFmtId="0" fontId="0" fillId="0" borderId="0" xfId="0" applyFill="1" applyProtection="1"/>
    <xf numFmtId="1" fontId="0" fillId="0" borderId="2" xfId="0" applyNumberFormat="1" applyFill="1" applyBorder="1" applyAlignment="1" applyProtection="1">
      <alignment horizontal="center"/>
    </xf>
    <xf numFmtId="0" fontId="0" fillId="0" borderId="16" xfId="0" applyFill="1" applyBorder="1" applyProtection="1"/>
    <xf numFmtId="2" fontId="3" fillId="3" borderId="10" xfId="0" applyNumberFormat="1" applyFont="1" applyFill="1" applyBorder="1" applyAlignment="1" applyProtection="1">
      <alignment horizontal="center"/>
    </xf>
    <xf numFmtId="1" fontId="3" fillId="6" borderId="0" xfId="0" applyNumberFormat="1" applyFont="1" applyFill="1" applyBorder="1" applyProtection="1"/>
    <xf numFmtId="1" fontId="3" fillId="6" borderId="9" xfId="0" applyNumberFormat="1" applyFont="1" applyFill="1" applyBorder="1" applyProtection="1"/>
    <xf numFmtId="2" fontId="3" fillId="3" borderId="22" xfId="0" applyNumberFormat="1" applyFont="1" applyFill="1" applyBorder="1" applyAlignment="1" applyProtection="1">
      <alignment horizontal="center"/>
    </xf>
    <xf numFmtId="0" fontId="3" fillId="3" borderId="13" xfId="0" applyFont="1" applyFill="1" applyBorder="1" applyProtection="1"/>
    <xf numFmtId="2" fontId="3" fillId="5" borderId="3" xfId="0" applyNumberFormat="1" applyFont="1" applyFill="1" applyBorder="1" applyAlignment="1" applyProtection="1">
      <alignment horizontal="center"/>
    </xf>
    <xf numFmtId="2" fontId="3" fillId="5" borderId="16" xfId="0" applyNumberFormat="1" applyFont="1" applyFill="1" applyBorder="1" applyAlignment="1" applyProtection="1">
      <alignment horizontal="center"/>
    </xf>
    <xf numFmtId="0" fontId="3" fillId="0" borderId="9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4" fillId="0" borderId="22" xfId="0" applyFont="1" applyFill="1" applyBorder="1" applyProtection="1"/>
    <xf numFmtId="0" fontId="4" fillId="0" borderId="24" xfId="0" applyFont="1" applyFill="1" applyBorder="1" applyProtection="1"/>
    <xf numFmtId="1" fontId="4" fillId="0" borderId="2" xfId="0" applyNumberFormat="1" applyFont="1" applyFill="1" applyBorder="1" applyAlignment="1" applyProtection="1">
      <alignment horizontal="center"/>
    </xf>
    <xf numFmtId="0" fontId="4" fillId="0" borderId="23" xfId="0" applyFont="1" applyFill="1" applyBorder="1" applyProtection="1"/>
    <xf numFmtId="164" fontId="3" fillId="6" borderId="13" xfId="0" applyNumberFormat="1" applyFont="1" applyFill="1" applyBorder="1" applyProtection="1"/>
    <xf numFmtId="0" fontId="1" fillId="0" borderId="0" xfId="0" applyFont="1" applyProtection="1"/>
    <xf numFmtId="166" fontId="5" fillId="0" borderId="0" xfId="0" applyNumberFormat="1" applyFont="1" applyFill="1" applyBorder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3" fillId="0" borderId="21" xfId="0" applyFont="1" applyFill="1" applyBorder="1" applyAlignment="1" applyProtection="1">
      <alignment horizontal="center"/>
    </xf>
    <xf numFmtId="165" fontId="3" fillId="0" borderId="3" xfId="0" applyNumberFormat="1" applyFont="1" applyFill="1" applyBorder="1" applyProtection="1"/>
    <xf numFmtId="0" fontId="13" fillId="0" borderId="0" xfId="0" applyFont="1" applyProtection="1"/>
    <xf numFmtId="0" fontId="11" fillId="0" borderId="18" xfId="0" applyFont="1" applyBorder="1" applyProtection="1"/>
    <xf numFmtId="0" fontId="11" fillId="0" borderId="6" xfId="0" applyFont="1" applyBorder="1" applyProtection="1"/>
    <xf numFmtId="165" fontId="14" fillId="0" borderId="5" xfId="0" applyNumberFormat="1" applyFont="1" applyBorder="1" applyProtection="1"/>
    <xf numFmtId="165" fontId="14" fillId="0" borderId="21" xfId="0" applyNumberFormat="1" applyFont="1" applyBorder="1" applyProtection="1"/>
    <xf numFmtId="0" fontId="14" fillId="0" borderId="5" xfId="0" applyFont="1" applyBorder="1" applyProtection="1"/>
    <xf numFmtId="0" fontId="0" fillId="6" borderId="0" xfId="0" applyFill="1"/>
    <xf numFmtId="0" fontId="0" fillId="0" borderId="0" xfId="0" applyFont="1" applyProtection="1"/>
    <xf numFmtId="0" fontId="4" fillId="0" borderId="10" xfId="0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4" fillId="0" borderId="18" xfId="0" applyFont="1" applyFill="1" applyBorder="1" applyAlignment="1" applyProtection="1">
      <alignment horizontal="center"/>
    </xf>
    <xf numFmtId="164" fontId="3" fillId="6" borderId="10" xfId="0" applyNumberFormat="1" applyFont="1" applyFill="1" applyBorder="1" applyProtection="1"/>
    <xf numFmtId="164" fontId="3" fillId="6" borderId="8" xfId="0" applyNumberFormat="1" applyFont="1" applyFill="1" applyBorder="1" applyProtection="1"/>
    <xf numFmtId="164" fontId="3" fillId="6" borderId="16" xfId="0" applyNumberFormat="1" applyFont="1" applyFill="1" applyBorder="1" applyProtection="1"/>
    <xf numFmtId="2" fontId="3" fillId="6" borderId="16" xfId="0" applyNumberFormat="1" applyFont="1" applyFill="1" applyBorder="1" applyProtection="1"/>
    <xf numFmtId="2" fontId="3" fillId="6" borderId="8" xfId="0" applyNumberFormat="1" applyFont="1" applyFill="1" applyBorder="1" applyProtection="1"/>
    <xf numFmtId="2" fontId="3" fillId="0" borderId="3" xfId="0" applyNumberFormat="1" applyFont="1" applyFill="1" applyBorder="1" applyProtection="1"/>
    <xf numFmtId="2" fontId="3" fillId="0" borderId="10" xfId="0" applyNumberFormat="1" applyFont="1" applyFill="1" applyBorder="1" applyProtection="1"/>
    <xf numFmtId="2" fontId="3" fillId="0" borderId="8" xfId="0" applyNumberFormat="1" applyFont="1" applyFill="1" applyBorder="1" applyProtection="1"/>
    <xf numFmtId="2" fontId="3" fillId="0" borderId="14" xfId="0" applyNumberFormat="1" applyFont="1" applyFill="1" applyBorder="1" applyProtection="1"/>
    <xf numFmtId="2" fontId="3" fillId="0" borderId="11" xfId="0" applyNumberFormat="1" applyFont="1" applyFill="1" applyBorder="1" applyProtection="1"/>
    <xf numFmtId="2" fontId="4" fillId="0" borderId="10" xfId="0" applyNumberFormat="1" applyFont="1" applyFill="1" applyBorder="1" applyProtection="1"/>
    <xf numFmtId="2" fontId="4" fillId="0" borderId="8" xfId="0" applyNumberFormat="1" applyFont="1" applyFill="1" applyBorder="1" applyProtection="1"/>
    <xf numFmtId="2" fontId="4" fillId="0" borderId="14" xfId="0" applyNumberFormat="1" applyFont="1" applyFill="1" applyBorder="1" applyProtection="1"/>
    <xf numFmtId="2" fontId="4" fillId="0" borderId="11" xfId="0" applyNumberFormat="1" applyFont="1" applyFill="1" applyBorder="1" applyProtection="1"/>
    <xf numFmtId="0" fontId="4" fillId="2" borderId="14" xfId="0" applyFont="1" applyFill="1" applyBorder="1" applyAlignment="1" applyProtection="1">
      <alignment horizontal="right"/>
    </xf>
    <xf numFmtId="2" fontId="3" fillId="6" borderId="11" xfId="0" applyNumberFormat="1" applyFont="1" applyFill="1" applyBorder="1" applyProtection="1"/>
    <xf numFmtId="2" fontId="3" fillId="6" borderId="3" xfId="0" applyNumberFormat="1" applyFont="1" applyFill="1" applyBorder="1" applyProtection="1"/>
    <xf numFmtId="1" fontId="3" fillId="0" borderId="23" xfId="0" applyNumberFormat="1" applyFont="1" applyFill="1" applyBorder="1" applyProtection="1"/>
    <xf numFmtId="2" fontId="3" fillId="0" borderId="24" xfId="0" applyNumberFormat="1" applyFont="1" applyFill="1" applyBorder="1" applyProtection="1"/>
    <xf numFmtId="2" fontId="3" fillId="0" borderId="24" xfId="0" applyNumberFormat="1" applyFont="1" applyFill="1" applyBorder="1" applyAlignment="1" applyProtection="1">
      <alignment horizontal="right"/>
    </xf>
    <xf numFmtId="2" fontId="3" fillId="0" borderId="22" xfId="0" applyNumberFormat="1" applyFont="1" applyFill="1" applyBorder="1" applyAlignment="1" applyProtection="1">
      <alignment horizontal="right"/>
    </xf>
    <xf numFmtId="2" fontId="4" fillId="0" borderId="24" xfId="0" applyNumberFormat="1" applyFont="1" applyFill="1" applyBorder="1" applyAlignment="1" applyProtection="1">
      <alignment horizontal="right"/>
    </xf>
    <xf numFmtId="2" fontId="4" fillId="0" borderId="22" xfId="0" applyNumberFormat="1" applyFont="1" applyFill="1" applyBorder="1" applyAlignment="1" applyProtection="1">
      <alignment horizontal="right"/>
    </xf>
    <xf numFmtId="2" fontId="4" fillId="0" borderId="21" xfId="0" applyNumberFormat="1" applyFont="1" applyFill="1" applyBorder="1" applyAlignment="1" applyProtection="1">
      <alignment horizontal="right"/>
    </xf>
    <xf numFmtId="165" fontId="3" fillId="9" borderId="8" xfId="0" applyNumberFormat="1" applyFont="1" applyFill="1" applyBorder="1" applyProtection="1"/>
    <xf numFmtId="165" fontId="3" fillId="9" borderId="3" xfId="0" applyNumberFormat="1" applyFont="1" applyFill="1" applyBorder="1" applyProtection="1"/>
    <xf numFmtId="165" fontId="3" fillId="9" borderId="11" xfId="0" applyNumberFormat="1" applyFont="1" applyFill="1" applyBorder="1" applyProtection="1"/>
    <xf numFmtId="165" fontId="3" fillId="0" borderId="11" xfId="0" applyNumberFormat="1" applyFont="1" applyFill="1" applyBorder="1" applyProtection="1"/>
    <xf numFmtId="0" fontId="11" fillId="0" borderId="14" xfId="0" applyFont="1" applyBorder="1" applyProtection="1"/>
    <xf numFmtId="165" fontId="3" fillId="0" borderId="5" xfId="0" applyNumberFormat="1" applyFont="1" applyFill="1" applyBorder="1" applyProtection="1"/>
    <xf numFmtId="165" fontId="3" fillId="6" borderId="11" xfId="0" applyNumberFormat="1" applyFont="1" applyFill="1" applyBorder="1" applyProtection="1"/>
    <xf numFmtId="2" fontId="11" fillId="0" borderId="8" xfId="0" applyNumberFormat="1" applyFont="1" applyBorder="1" applyProtection="1"/>
    <xf numFmtId="2" fontId="11" fillId="0" borderId="3" xfId="0" applyNumberFormat="1" applyFont="1" applyBorder="1" applyProtection="1"/>
    <xf numFmtId="0" fontId="11" fillId="0" borderId="11" xfId="0" applyFont="1" applyBorder="1" applyProtection="1"/>
    <xf numFmtId="2" fontId="11" fillId="0" borderId="5" xfId="0" applyNumberFormat="1" applyFont="1" applyBorder="1" applyProtection="1"/>
    <xf numFmtId="2" fontId="11" fillId="6" borderId="5" xfId="0" applyNumberFormat="1" applyFont="1" applyFill="1" applyBorder="1" applyProtection="1"/>
    <xf numFmtId="0" fontId="11" fillId="0" borderId="5" xfId="0" applyFont="1" applyBorder="1" applyProtection="1"/>
    <xf numFmtId="1" fontId="3" fillId="0" borderId="22" xfId="0" applyNumberFormat="1" applyFont="1" applyFill="1" applyBorder="1" applyProtection="1"/>
    <xf numFmtId="0" fontId="11" fillId="0" borderId="0" xfId="0" applyFont="1" applyBorder="1" applyProtection="1"/>
    <xf numFmtId="2" fontId="11" fillId="0" borderId="11" xfId="0" applyNumberFormat="1" applyFont="1" applyBorder="1" applyProtection="1"/>
    <xf numFmtId="2" fontId="14" fillId="0" borderId="3" xfId="0" applyNumberFormat="1" applyFont="1" applyBorder="1" applyProtection="1"/>
    <xf numFmtId="2" fontId="14" fillId="0" borderId="11" xfId="0" applyNumberFormat="1" applyFont="1" applyBorder="1" applyProtection="1"/>
    <xf numFmtId="1" fontId="4" fillId="0" borderId="24" xfId="0" applyNumberFormat="1" applyFont="1" applyFill="1" applyBorder="1" applyProtection="1"/>
    <xf numFmtId="1" fontId="4" fillId="0" borderId="23" xfId="0" applyNumberFormat="1" applyFont="1" applyFill="1" applyBorder="1" applyProtection="1"/>
    <xf numFmtId="0" fontId="11" fillId="6" borderId="0" xfId="0" applyFont="1" applyFill="1" applyProtection="1"/>
    <xf numFmtId="0" fontId="11" fillId="7" borderId="0" xfId="0" applyFont="1" applyFill="1" applyProtection="1"/>
    <xf numFmtId="0" fontId="0" fillId="0" borderId="0" xfId="0" applyFont="1" applyBorder="1"/>
    <xf numFmtId="0" fontId="4" fillId="2" borderId="6" xfId="0" applyFont="1" applyFill="1" applyBorder="1" applyProtection="1"/>
    <xf numFmtId="0" fontId="3" fillId="2" borderId="6" xfId="0" applyFont="1" applyFill="1" applyBorder="1" applyAlignment="1" applyProtection="1">
      <alignment horizontal="left" vertical="top"/>
    </xf>
    <xf numFmtId="164" fontId="3" fillId="2" borderId="6" xfId="0" applyNumberFormat="1" applyFont="1" applyFill="1" applyBorder="1" applyProtection="1"/>
    <xf numFmtId="164" fontId="3" fillId="2" borderId="13" xfId="0" applyNumberFormat="1" applyFont="1" applyFill="1" applyBorder="1" applyProtection="1"/>
    <xf numFmtId="164" fontId="3" fillId="0" borderId="0" xfId="0" applyNumberFormat="1" applyFont="1" applyFill="1" applyBorder="1" applyProtection="1"/>
    <xf numFmtId="164" fontId="3" fillId="6" borderId="11" xfId="0" applyNumberFormat="1" applyFont="1" applyFill="1" applyBorder="1" applyProtection="1"/>
    <xf numFmtId="0" fontId="11" fillId="0" borderId="0" xfId="0" applyFont="1" applyBorder="1" applyAlignment="1" applyProtection="1">
      <alignment horizontal="left" vertical="center"/>
    </xf>
    <xf numFmtId="0" fontId="11" fillId="0" borderId="16" xfId="0" applyFont="1" applyBorder="1" applyAlignment="1">
      <alignment horizontal="left"/>
    </xf>
    <xf numFmtId="164" fontId="3" fillId="11" borderId="3" xfId="0" applyNumberFormat="1" applyFont="1" applyFill="1" applyBorder="1" applyProtection="1">
      <protection locked="0"/>
    </xf>
    <xf numFmtId="1" fontId="3" fillId="11" borderId="3" xfId="0" applyNumberFormat="1" applyFont="1" applyFill="1" applyBorder="1" applyAlignment="1" applyProtection="1">
      <alignment horizontal="right"/>
      <protection locked="0"/>
    </xf>
    <xf numFmtId="167" fontId="3" fillId="11" borderId="5" xfId="0" applyNumberFormat="1" applyFont="1" applyFill="1" applyBorder="1" applyAlignment="1" applyProtection="1">
      <alignment horizontal="center"/>
      <protection locked="0"/>
    </xf>
    <xf numFmtId="167" fontId="3" fillId="11" borderId="11" xfId="0" applyNumberFormat="1" applyFont="1" applyFill="1" applyBorder="1" applyAlignment="1" applyProtection="1">
      <alignment horizontal="center"/>
      <protection locked="0"/>
    </xf>
    <xf numFmtId="1" fontId="3" fillId="11" borderId="11" xfId="0" applyNumberFormat="1" applyFont="1" applyFill="1" applyBorder="1" applyAlignment="1" applyProtection="1">
      <alignment horizontal="center"/>
      <protection locked="0"/>
    </xf>
    <xf numFmtId="0" fontId="3" fillId="11" borderId="11" xfId="0" applyFont="1" applyFill="1" applyBorder="1" applyAlignment="1" applyProtection="1">
      <alignment horizontal="center"/>
      <protection locked="0"/>
    </xf>
    <xf numFmtId="0" fontId="3" fillId="0" borderId="30" xfId="0" applyFont="1" applyFill="1" applyBorder="1" applyAlignment="1" applyProtection="1"/>
    <xf numFmtId="0" fontId="3" fillId="0" borderId="7" xfId="0" applyFont="1" applyFill="1" applyBorder="1" applyAlignment="1" applyProtection="1"/>
    <xf numFmtId="0" fontId="9" fillId="0" borderId="30" xfId="0" applyFont="1" applyFill="1" applyBorder="1" applyAlignment="1" applyProtection="1"/>
    <xf numFmtId="0" fontId="9" fillId="0" borderId="7" xfId="0" applyFont="1" applyFill="1" applyBorder="1" applyAlignment="1" applyProtection="1"/>
    <xf numFmtId="0" fontId="0" fillId="0" borderId="29" xfId="0" applyFont="1" applyFill="1" applyBorder="1" applyProtection="1"/>
    <xf numFmtId="0" fontId="0" fillId="0" borderId="9" xfId="0" applyFont="1" applyFill="1" applyBorder="1" applyProtection="1"/>
    <xf numFmtId="0" fontId="0" fillId="0" borderId="18" xfId="0" applyFont="1" applyFill="1" applyBorder="1" applyProtection="1"/>
    <xf numFmtId="0" fontId="0" fillId="0" borderId="6" xfId="0" applyFont="1" applyFill="1" applyBorder="1" applyProtection="1"/>
    <xf numFmtId="0" fontId="0" fillId="0" borderId="28" xfId="0" applyFont="1" applyFill="1" applyBorder="1" applyProtection="1"/>
    <xf numFmtId="0" fontId="3" fillId="0" borderId="1" xfId="0" applyFont="1" applyFill="1" applyBorder="1" applyAlignment="1" applyProtection="1">
      <alignment horizontal="center"/>
    </xf>
    <xf numFmtId="0" fontId="3" fillId="0" borderId="26" xfId="0" applyFont="1" applyFill="1" applyBorder="1" applyAlignment="1" applyProtection="1">
      <alignment horizontal="center"/>
    </xf>
    <xf numFmtId="0" fontId="3" fillId="0" borderId="20" xfId="0" applyFont="1" applyFill="1" applyBorder="1" applyAlignment="1" applyProtection="1">
      <alignment horizontal="center"/>
    </xf>
    <xf numFmtId="164" fontId="3" fillId="7" borderId="29" xfId="0" applyNumberFormat="1" applyFont="1" applyFill="1" applyBorder="1" applyProtection="1"/>
    <xf numFmtId="164" fontId="3" fillId="7" borderId="1" xfId="0" applyNumberFormat="1" applyFont="1" applyFill="1" applyBorder="1" applyProtection="1"/>
    <xf numFmtId="164" fontId="3" fillId="7" borderId="30" xfId="0" applyNumberFormat="1" applyFont="1" applyFill="1" applyBorder="1" applyProtection="1"/>
    <xf numFmtId="164" fontId="3" fillId="0" borderId="1" xfId="0" applyNumberFormat="1" applyFont="1" applyFill="1" applyBorder="1" applyProtection="1"/>
    <xf numFmtId="1" fontId="3" fillId="0" borderId="0" xfId="0" applyNumberFormat="1" applyFont="1" applyFill="1" applyBorder="1" applyProtection="1"/>
    <xf numFmtId="2" fontId="3" fillId="0" borderId="9" xfId="0" applyNumberFormat="1" applyFont="1" applyFill="1" applyBorder="1" applyProtection="1"/>
    <xf numFmtId="2" fontId="3" fillId="0" borderId="17" xfId="0" applyNumberFormat="1" applyFont="1" applyFill="1" applyBorder="1" applyProtection="1"/>
    <xf numFmtId="164" fontId="3" fillId="0" borderId="7" xfId="0" applyNumberFormat="1" applyFont="1" applyFill="1" applyBorder="1" applyProtection="1"/>
    <xf numFmtId="2" fontId="3" fillId="7" borderId="30" xfId="0" applyNumberFormat="1" applyFont="1" applyFill="1" applyBorder="1" applyProtection="1"/>
    <xf numFmtId="0" fontId="0" fillId="0" borderId="5" xfId="0" applyFont="1" applyFill="1" applyBorder="1" applyProtection="1"/>
    <xf numFmtId="2" fontId="3" fillId="7" borderId="7" xfId="0" applyNumberFormat="1" applyFont="1" applyFill="1" applyBorder="1" applyProtection="1"/>
    <xf numFmtId="0" fontId="0" fillId="0" borderId="8" xfId="0" applyFont="1" applyFill="1" applyBorder="1" applyProtection="1"/>
    <xf numFmtId="0" fontId="0" fillId="0" borderId="27" xfId="0" applyFont="1" applyFill="1" applyBorder="1" applyProtection="1"/>
    <xf numFmtId="0" fontId="0" fillId="0" borderId="1" xfId="0" applyBorder="1" applyProtection="1"/>
    <xf numFmtId="0" fontId="0" fillId="0" borderId="24" xfId="0" applyBorder="1" applyProtection="1"/>
    <xf numFmtId="2" fontId="11" fillId="0" borderId="27" xfId="0" applyNumberFormat="1" applyFont="1" applyBorder="1" applyProtection="1"/>
    <xf numFmtId="0" fontId="0" fillId="0" borderId="7" xfId="0" applyBorder="1" applyProtection="1"/>
    <xf numFmtId="0" fontId="11" fillId="0" borderId="27" xfId="0" applyFont="1" applyBorder="1" applyProtection="1"/>
    <xf numFmtId="2" fontId="11" fillId="0" borderId="23" xfId="0" applyNumberFormat="1" applyFont="1" applyBorder="1" applyProtection="1"/>
    <xf numFmtId="2" fontId="11" fillId="0" borderId="17" xfId="0" applyNumberFormat="1" applyFont="1" applyBorder="1" applyProtection="1"/>
    <xf numFmtId="0" fontId="11" fillId="0" borderId="23" xfId="0" applyFont="1" applyBorder="1" applyProtection="1"/>
    <xf numFmtId="2" fontId="3" fillId="0" borderId="7" xfId="0" applyNumberFormat="1" applyFont="1" applyFill="1" applyBorder="1" applyProtection="1"/>
    <xf numFmtId="2" fontId="3" fillId="7" borderId="32" xfId="0" applyNumberFormat="1" applyFont="1" applyFill="1" applyBorder="1" applyProtection="1"/>
    <xf numFmtId="2" fontId="3" fillId="7" borderId="15" xfId="0" applyNumberFormat="1" applyFont="1" applyFill="1" applyBorder="1" applyProtection="1"/>
    <xf numFmtId="2" fontId="3" fillId="7" borderId="12" xfId="0" applyNumberFormat="1" applyFont="1" applyFill="1" applyBorder="1" applyProtection="1"/>
    <xf numFmtId="0" fontId="11" fillId="0" borderId="7" xfId="0" applyFont="1" applyBorder="1" applyProtection="1"/>
    <xf numFmtId="0" fontId="14" fillId="0" borderId="24" xfId="0" applyFont="1" applyBorder="1" applyProtection="1"/>
    <xf numFmtId="2" fontId="14" fillId="0" borderId="27" xfId="0" applyNumberFormat="1" applyFont="1" applyBorder="1" applyProtection="1"/>
    <xf numFmtId="0" fontId="6" fillId="0" borderId="14" xfId="0" applyFont="1" applyFill="1" applyBorder="1" applyProtection="1"/>
    <xf numFmtId="2" fontId="14" fillId="0" borderId="23" xfId="0" applyNumberFormat="1" applyFont="1" applyBorder="1" applyProtection="1"/>
    <xf numFmtId="2" fontId="14" fillId="0" borderId="19" xfId="0" applyNumberFormat="1" applyFont="1" applyBorder="1" applyProtection="1"/>
    <xf numFmtId="0" fontId="0" fillId="0" borderId="16" xfId="0" applyFont="1" applyFill="1" applyBorder="1" applyProtection="1"/>
    <xf numFmtId="0" fontId="0" fillId="0" borderId="30" xfId="0" applyFont="1" applyFill="1" applyBorder="1" applyProtection="1"/>
    <xf numFmtId="2" fontId="3" fillId="7" borderId="1" xfId="0" applyNumberFormat="1" applyFont="1" applyFill="1" applyBorder="1" applyProtection="1"/>
    <xf numFmtId="2" fontId="3" fillId="7" borderId="17" xfId="0" applyNumberFormat="1" applyFont="1" applyFill="1" applyBorder="1" applyProtection="1"/>
    <xf numFmtId="2" fontId="3" fillId="7" borderId="26" xfId="0" applyNumberFormat="1" applyFont="1" applyFill="1" applyBorder="1" applyProtection="1"/>
    <xf numFmtId="167" fontId="3" fillId="0" borderId="3" xfId="0" applyNumberFormat="1" applyFont="1" applyFill="1" applyBorder="1" applyProtection="1"/>
    <xf numFmtId="167" fontId="3" fillId="0" borderId="4" xfId="0" applyNumberFormat="1" applyFont="1" applyFill="1" applyBorder="1" applyProtection="1"/>
    <xf numFmtId="2" fontId="3" fillId="7" borderId="2" xfId="0" applyNumberFormat="1" applyFont="1" applyFill="1" applyBorder="1" applyProtection="1"/>
    <xf numFmtId="0" fontId="11" fillId="0" borderId="9" xfId="0" applyFont="1" applyBorder="1" applyProtection="1"/>
    <xf numFmtId="0" fontId="0" fillId="0" borderId="3" xfId="0" applyBorder="1" applyProtection="1"/>
    <xf numFmtId="0" fontId="11" fillId="0" borderId="15" xfId="0" applyFont="1" applyBorder="1" applyProtection="1"/>
    <xf numFmtId="0" fontId="11" fillId="0" borderId="13" xfId="0" applyFont="1" applyBorder="1" applyProtection="1"/>
    <xf numFmtId="2" fontId="11" fillId="7" borderId="19" xfId="0" applyNumberFormat="1" applyFont="1" applyFill="1" applyBorder="1" applyProtection="1"/>
    <xf numFmtId="2" fontId="3" fillId="7" borderId="4" xfId="0" applyNumberFormat="1" applyFont="1" applyFill="1" applyBorder="1" applyProtection="1"/>
    <xf numFmtId="2" fontId="3" fillId="7" borderId="20" xfId="0" applyNumberFormat="1" applyFont="1" applyFill="1" applyBorder="1" applyProtection="1"/>
    <xf numFmtId="2" fontId="4" fillId="0" borderId="7" xfId="0" applyNumberFormat="1" applyFont="1" applyFill="1" applyBorder="1" applyProtection="1"/>
    <xf numFmtId="1" fontId="3" fillId="0" borderId="9" xfId="0" applyNumberFormat="1" applyFont="1" applyFill="1" applyBorder="1" applyProtection="1"/>
    <xf numFmtId="2" fontId="4" fillId="0" borderId="24" xfId="0" applyNumberFormat="1" applyFont="1" applyFill="1" applyBorder="1" applyProtection="1"/>
    <xf numFmtId="2" fontId="3" fillId="0" borderId="27" xfId="0" applyNumberFormat="1" applyFont="1" applyFill="1" applyBorder="1" applyProtection="1"/>
    <xf numFmtId="2" fontId="4" fillId="0" borderId="9" xfId="0" applyNumberFormat="1" applyFont="1" applyFill="1" applyBorder="1" applyProtection="1"/>
    <xf numFmtId="2" fontId="4" fillId="0" borderId="15" xfId="0" applyNumberFormat="1" applyFont="1" applyFill="1" applyBorder="1" applyProtection="1"/>
    <xf numFmtId="1" fontId="3" fillId="0" borderId="13" xfId="0" applyNumberFormat="1" applyFont="1" applyFill="1" applyBorder="1" applyProtection="1"/>
    <xf numFmtId="2" fontId="4" fillId="0" borderId="23" xfId="0" applyNumberFormat="1" applyFont="1" applyFill="1" applyBorder="1" applyProtection="1"/>
    <xf numFmtId="2" fontId="4" fillId="0" borderId="19" xfId="0" applyNumberFormat="1" applyFont="1" applyFill="1" applyBorder="1" applyProtection="1"/>
    <xf numFmtId="2" fontId="4" fillId="0" borderId="13" xfId="0" applyNumberFormat="1" applyFont="1" applyFill="1" applyBorder="1" applyProtection="1"/>
    <xf numFmtId="2" fontId="4" fillId="0" borderId="17" xfId="0" applyNumberFormat="1" applyFont="1" applyFill="1" applyBorder="1" applyProtection="1"/>
    <xf numFmtId="2" fontId="4" fillId="0" borderId="0" xfId="0" applyNumberFormat="1" applyFont="1" applyFill="1" applyBorder="1" applyProtection="1"/>
    <xf numFmtId="2" fontId="3" fillId="0" borderId="1" xfId="0" applyNumberFormat="1" applyFont="1" applyFill="1" applyBorder="1" applyProtection="1"/>
    <xf numFmtId="2" fontId="3" fillId="0" borderId="4" xfId="0" applyNumberFormat="1" applyFont="1" applyFill="1" applyBorder="1" applyProtection="1"/>
    <xf numFmtId="1" fontId="16" fillId="0" borderId="8" xfId="0" applyNumberFormat="1" applyFont="1" applyFill="1" applyBorder="1" applyProtection="1"/>
    <xf numFmtId="2" fontId="3" fillId="0" borderId="32" xfId="0" applyNumberFormat="1" applyFont="1" applyFill="1" applyBorder="1" applyProtection="1"/>
    <xf numFmtId="2" fontId="3" fillId="0" borderId="2" xfId="0" applyNumberFormat="1" applyFont="1" applyFill="1" applyBorder="1" applyProtection="1"/>
    <xf numFmtId="1" fontId="16" fillId="0" borderId="3" xfId="0" applyNumberFormat="1" applyFont="1" applyFill="1" applyBorder="1" applyProtection="1"/>
    <xf numFmtId="2" fontId="3" fillId="6" borderId="2" xfId="0" applyNumberFormat="1" applyFont="1" applyFill="1" applyBorder="1" applyProtection="1"/>
    <xf numFmtId="2" fontId="3" fillId="0" borderId="15" xfId="0" applyNumberFormat="1" applyFont="1" applyFill="1" applyBorder="1" applyProtection="1"/>
    <xf numFmtId="2" fontId="3" fillId="0" borderId="12" xfId="0" applyNumberFormat="1" applyFont="1" applyFill="1" applyBorder="1" applyProtection="1"/>
    <xf numFmtId="2" fontId="4" fillId="0" borderId="2" xfId="0" applyNumberFormat="1" applyFont="1" applyFill="1" applyBorder="1" applyProtection="1"/>
    <xf numFmtId="2" fontId="4" fillId="0" borderId="3" xfId="0" applyNumberFormat="1" applyFont="1" applyFill="1" applyBorder="1" applyProtection="1"/>
    <xf numFmtId="2" fontId="4" fillId="0" borderId="4" xfId="0" applyNumberFormat="1" applyFont="1" applyFill="1" applyBorder="1" applyProtection="1"/>
    <xf numFmtId="2" fontId="4" fillId="0" borderId="26" xfId="0" applyNumberFormat="1" applyFont="1" applyFill="1" applyBorder="1" applyProtection="1"/>
    <xf numFmtId="2" fontId="4" fillId="0" borderId="20" xfId="0" applyNumberFormat="1" applyFont="1" applyFill="1" applyBorder="1" applyProtection="1"/>
    <xf numFmtId="2" fontId="4" fillId="0" borderId="12" xfId="0" applyNumberFormat="1" applyFont="1" applyFill="1" applyBorder="1" applyProtection="1"/>
    <xf numFmtId="1" fontId="4" fillId="0" borderId="9" xfId="0" applyNumberFormat="1" applyFont="1" applyFill="1" applyBorder="1" applyProtection="1"/>
    <xf numFmtId="1" fontId="4" fillId="0" borderId="13" xfId="0" applyNumberFormat="1" applyFont="1" applyFill="1" applyBorder="1" applyProtection="1"/>
    <xf numFmtId="0" fontId="11" fillId="0" borderId="0" xfId="0" applyFont="1" applyFill="1" applyProtection="1"/>
    <xf numFmtId="0" fontId="14" fillId="0" borderId="13" xfId="0" applyFont="1" applyBorder="1" applyAlignment="1" applyProtection="1">
      <alignment horizontal="left" vertical="center"/>
    </xf>
    <xf numFmtId="0" fontId="14" fillId="0" borderId="6" xfId="0" applyFont="1" applyBorder="1" applyAlignment="1" applyProtection="1">
      <alignment horizontal="left" vertical="center"/>
    </xf>
    <xf numFmtId="0" fontId="14" fillId="0" borderId="18" xfId="0" applyFont="1" applyBorder="1" applyProtection="1"/>
    <xf numFmtId="0" fontId="0" fillId="0" borderId="6" xfId="0" applyBorder="1" applyProtection="1"/>
    <xf numFmtId="0" fontId="0" fillId="0" borderId="21" xfId="0" applyBorder="1" applyProtection="1"/>
    <xf numFmtId="0" fontId="11" fillId="0" borderId="18" xfId="0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11" fillId="0" borderId="10" xfId="0" applyFont="1" applyFill="1" applyBorder="1" applyProtection="1"/>
    <xf numFmtId="0" fontId="4" fillId="0" borderId="14" xfId="0" applyFont="1" applyFill="1" applyBorder="1" applyAlignment="1" applyProtection="1"/>
    <xf numFmtId="0" fontId="4" fillId="0" borderId="23" xfId="0" applyFont="1" applyFill="1" applyBorder="1" applyAlignment="1" applyProtection="1"/>
    <xf numFmtId="0" fontId="10" fillId="0" borderId="14" xfId="0" applyFont="1" applyFill="1" applyBorder="1" applyAlignment="1" applyProtection="1"/>
    <xf numFmtId="0" fontId="11" fillId="0" borderId="14" xfId="0" applyFont="1" applyFill="1" applyBorder="1" applyProtection="1"/>
    <xf numFmtId="2" fontId="3" fillId="2" borderId="24" xfId="0" applyNumberFormat="1" applyFont="1" applyFill="1" applyBorder="1" applyProtection="1"/>
    <xf numFmtId="2" fontId="3" fillId="10" borderId="8" xfId="0" applyNumberFormat="1" applyFont="1" applyFill="1" applyBorder="1" applyProtection="1"/>
    <xf numFmtId="2" fontId="3" fillId="2" borderId="8" xfId="0" applyNumberFormat="1" applyFont="1" applyFill="1" applyBorder="1" applyProtection="1"/>
    <xf numFmtId="0" fontId="11" fillId="2" borderId="11" xfId="0" applyFont="1" applyFill="1" applyBorder="1" applyAlignment="1" applyProtection="1">
      <alignment horizontal="left" vertical="center"/>
    </xf>
    <xf numFmtId="2" fontId="4" fillId="2" borderId="11" xfId="0" applyNumberFormat="1" applyFont="1" applyFill="1" applyBorder="1" applyAlignment="1" applyProtection="1">
      <alignment horizontal="center" vertical="center"/>
    </xf>
    <xf numFmtId="0" fontId="4" fillId="2" borderId="11" xfId="0" applyFont="1" applyFill="1" applyBorder="1" applyProtection="1"/>
    <xf numFmtId="2" fontId="4" fillId="10" borderId="22" xfId="0" applyNumberFormat="1" applyFont="1" applyFill="1" applyBorder="1" applyProtection="1"/>
    <xf numFmtId="2" fontId="4" fillId="8" borderId="8" xfId="0" applyNumberFormat="1" applyFont="1" applyFill="1" applyBorder="1" applyAlignment="1" applyProtection="1">
      <alignment horizontal="center" vertical="center"/>
    </xf>
    <xf numFmtId="0" fontId="3" fillId="2" borderId="6" xfId="0" applyFont="1" applyFill="1" applyBorder="1" applyProtection="1"/>
    <xf numFmtId="165" fontId="3" fillId="10" borderId="21" xfId="0" applyNumberFormat="1" applyFont="1" applyFill="1" applyBorder="1" applyAlignment="1" applyProtection="1">
      <alignment horizontal="right"/>
    </xf>
    <xf numFmtId="2" fontId="3" fillId="10" borderId="5" xfId="0" applyNumberFormat="1" applyFont="1" applyFill="1" applyBorder="1" applyProtection="1"/>
    <xf numFmtId="2" fontId="3" fillId="10" borderId="21" xfId="0" applyNumberFormat="1" applyFont="1" applyFill="1" applyBorder="1" applyProtection="1"/>
    <xf numFmtId="165" fontId="4" fillId="10" borderId="21" xfId="0" applyNumberFormat="1" applyFont="1" applyFill="1" applyBorder="1" applyAlignment="1" applyProtection="1">
      <alignment horizontal="right"/>
    </xf>
    <xf numFmtId="2" fontId="4" fillId="10" borderId="5" xfId="0" applyNumberFormat="1" applyFont="1" applyFill="1" applyBorder="1" applyProtection="1"/>
    <xf numFmtId="2" fontId="4" fillId="10" borderId="21" xfId="0" applyNumberFormat="1" applyFont="1" applyFill="1" applyBorder="1" applyProtection="1"/>
    <xf numFmtId="2" fontId="3" fillId="8" borderId="11" xfId="0" applyNumberFormat="1" applyFont="1" applyFill="1" applyBorder="1" applyAlignment="1" applyProtection="1">
      <alignment horizontal="center" vertical="center"/>
    </xf>
    <xf numFmtId="2" fontId="3" fillId="2" borderId="11" xfId="0" applyNumberFormat="1" applyFont="1" applyFill="1" applyBorder="1" applyAlignment="1" applyProtection="1">
      <alignment horizontal="center" vertical="center"/>
    </xf>
    <xf numFmtId="0" fontId="11" fillId="2" borderId="18" xfId="0" applyFont="1" applyFill="1" applyBorder="1" applyProtection="1"/>
    <xf numFmtId="0" fontId="11" fillId="2" borderId="6" xfId="0" applyFont="1" applyFill="1" applyBorder="1" applyProtection="1"/>
    <xf numFmtId="0" fontId="11" fillId="2" borderId="21" xfId="0" applyFont="1" applyFill="1" applyBorder="1" applyProtection="1"/>
    <xf numFmtId="2" fontId="4" fillId="10" borderId="11" xfId="0" applyNumberFormat="1" applyFont="1" applyFill="1" applyBorder="1" applyProtection="1"/>
    <xf numFmtId="0" fontId="11" fillId="2" borderId="10" xfId="0" applyFont="1" applyFill="1" applyBorder="1" applyProtection="1"/>
    <xf numFmtId="0" fontId="11" fillId="2" borderId="0" xfId="0" applyFont="1" applyFill="1" applyProtection="1"/>
    <xf numFmtId="0" fontId="11" fillId="2" borderId="24" xfId="0" applyFont="1" applyFill="1" applyBorder="1" applyProtection="1"/>
    <xf numFmtId="0" fontId="11" fillId="2" borderId="18" xfId="0" applyFont="1" applyFill="1" applyBorder="1" applyAlignment="1" applyProtection="1">
      <alignment horizontal="left" vertical="center"/>
    </xf>
    <xf numFmtId="0" fontId="11" fillId="2" borderId="6" xfId="0" applyFont="1" applyFill="1" applyBorder="1" applyAlignment="1" applyProtection="1">
      <alignment horizontal="left" vertical="center"/>
    </xf>
    <xf numFmtId="0" fontId="11" fillId="2" borderId="6" xfId="0" applyFont="1" applyFill="1" applyBorder="1" applyAlignment="1" applyProtection="1">
      <alignment horizontal="center" vertical="center"/>
    </xf>
    <xf numFmtId="0" fontId="11" fillId="2" borderId="21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left" vertical="center"/>
    </xf>
    <xf numFmtId="0" fontId="11" fillId="2" borderId="0" xfId="0" applyFont="1" applyFill="1" applyBorder="1" applyProtection="1"/>
    <xf numFmtId="0" fontId="11" fillId="2" borderId="22" xfId="0" applyFont="1" applyFill="1" applyBorder="1" applyProtection="1"/>
    <xf numFmtId="2" fontId="4" fillId="2" borderId="11" xfId="0" applyNumberFormat="1" applyFont="1" applyFill="1" applyBorder="1" applyProtection="1"/>
    <xf numFmtId="2" fontId="3" fillId="2" borderId="8" xfId="0" applyNumberFormat="1" applyFont="1" applyFill="1" applyBorder="1" applyAlignment="1" applyProtection="1">
      <alignment horizontal="center" vertical="center"/>
    </xf>
    <xf numFmtId="0" fontId="0" fillId="8" borderId="0" xfId="0" applyFill="1" applyProtection="1"/>
    <xf numFmtId="0" fontId="0" fillId="10" borderId="0" xfId="0" applyFill="1" applyProtection="1"/>
    <xf numFmtId="0" fontId="3" fillId="0" borderId="5" xfId="0" applyFont="1" applyFill="1" applyBorder="1" applyProtection="1"/>
    <xf numFmtId="0" fontId="3" fillId="0" borderId="18" xfId="0" applyFont="1" applyFill="1" applyBorder="1" applyAlignment="1" applyProtection="1">
      <alignment horizontal="left"/>
    </xf>
    <xf numFmtId="0" fontId="3" fillId="0" borderId="11" xfId="0" applyFont="1" applyFill="1" applyBorder="1" applyAlignment="1" applyProtection="1">
      <alignment horizontal="center"/>
    </xf>
    <xf numFmtId="0" fontId="11" fillId="0" borderId="8" xfId="0" applyFont="1" applyBorder="1" applyProtection="1"/>
    <xf numFmtId="0" fontId="0" fillId="0" borderId="5" xfId="0" applyBorder="1" applyProtection="1"/>
    <xf numFmtId="0" fontId="11" fillId="0" borderId="23" xfId="0" applyFont="1" applyFill="1" applyBorder="1" applyAlignment="1">
      <alignment horizontal="center"/>
    </xf>
    <xf numFmtId="0" fontId="9" fillId="0" borderId="5" xfId="0" applyFont="1" applyFill="1" applyBorder="1" applyAlignment="1" applyProtection="1">
      <alignment horizontal="center"/>
    </xf>
    <xf numFmtId="1" fontId="3" fillId="0" borderId="18" xfId="0" applyNumberFormat="1" applyFont="1" applyFill="1" applyBorder="1" applyAlignment="1" applyProtection="1">
      <alignment horizontal="center"/>
    </xf>
    <xf numFmtId="0" fontId="11" fillId="0" borderId="8" xfId="0" applyFont="1" applyFill="1" applyBorder="1" applyAlignment="1">
      <alignment horizontal="right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right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right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right" vertical="center"/>
    </xf>
    <xf numFmtId="0" fontId="3" fillId="0" borderId="3" xfId="0" applyFont="1" applyFill="1" applyBorder="1" applyAlignment="1">
      <alignment horizontal="right" vertical="center"/>
    </xf>
    <xf numFmtId="0" fontId="3" fillId="0" borderId="11" xfId="0" applyFont="1" applyFill="1" applyBorder="1" applyAlignment="1">
      <alignment horizontal="right" vertical="center"/>
    </xf>
    <xf numFmtId="2" fontId="11" fillId="4" borderId="8" xfId="0" applyNumberFormat="1" applyFont="1" applyFill="1" applyBorder="1" applyAlignment="1">
      <alignment horizontal="left" vertical="center"/>
    </xf>
    <xf numFmtId="2" fontId="11" fillId="4" borderId="3" xfId="0" applyNumberFormat="1" applyFont="1" applyFill="1" applyBorder="1" applyAlignment="1">
      <alignment horizontal="left" vertical="center"/>
    </xf>
    <xf numFmtId="2" fontId="11" fillId="4" borderId="11" xfId="0" applyNumberFormat="1" applyFont="1" applyFill="1" applyBorder="1" applyAlignment="1">
      <alignment horizontal="left" vertical="center"/>
    </xf>
    <xf numFmtId="0" fontId="11" fillId="0" borderId="8" xfId="0" applyFont="1" applyBorder="1" applyAlignment="1">
      <alignment horizontal="center" vertical="top" wrapText="1"/>
    </xf>
    <xf numFmtId="0" fontId="11" fillId="0" borderId="11" xfId="0" applyFont="1" applyBorder="1" applyAlignment="1">
      <alignment horizontal="center" vertical="top" wrapText="1"/>
    </xf>
    <xf numFmtId="9" fontId="11" fillId="4" borderId="5" xfId="2" applyFont="1" applyFill="1" applyBorder="1"/>
    <xf numFmtId="164" fontId="3" fillId="0" borderId="8" xfId="0" applyNumberFormat="1" applyFont="1" applyFill="1" applyBorder="1" applyAlignment="1" applyProtection="1">
      <alignment horizontal="center"/>
    </xf>
    <xf numFmtId="164" fontId="3" fillId="0" borderId="3" xfId="0" applyNumberFormat="1" applyFont="1" applyFill="1" applyBorder="1" applyAlignment="1" applyProtection="1">
      <alignment horizontal="center"/>
    </xf>
    <xf numFmtId="164" fontId="3" fillId="0" borderId="11" xfId="0" applyNumberFormat="1" applyFont="1" applyFill="1" applyBorder="1" applyAlignment="1" applyProtection="1">
      <alignment horizontal="center"/>
    </xf>
    <xf numFmtId="0" fontId="3" fillId="0" borderId="18" xfId="0" applyFont="1" applyFill="1" applyBorder="1" applyProtection="1"/>
    <xf numFmtId="9" fontId="0" fillId="0" borderId="0" xfId="0" applyNumberFormat="1"/>
    <xf numFmtId="0" fontId="3" fillId="0" borderId="9" xfId="0" applyFont="1" applyFill="1" applyBorder="1" applyAlignment="1"/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2" fontId="11" fillId="0" borderId="13" xfId="0" applyNumberFormat="1" applyFont="1" applyBorder="1" applyAlignment="1">
      <alignment horizontal="center"/>
    </xf>
    <xf numFmtId="2" fontId="11" fillId="0" borderId="0" xfId="0" applyNumberFormat="1" applyFont="1" applyFill="1" applyAlignment="1">
      <alignment horizontal="center"/>
    </xf>
    <xf numFmtId="0" fontId="4" fillId="0" borderId="18" xfId="0" applyNumberFormat="1" applyFont="1" applyFill="1" applyBorder="1" applyAlignment="1">
      <alignment horizontal="right" vertical="center"/>
    </xf>
    <xf numFmtId="2" fontId="3" fillId="0" borderId="3" xfId="0" applyNumberFormat="1" applyFont="1" applyFill="1" applyBorder="1" applyAlignment="1">
      <alignment horizontal="right" vertical="center"/>
    </xf>
    <xf numFmtId="2" fontId="4" fillId="0" borderId="8" xfId="0" applyNumberFormat="1" applyFont="1" applyFill="1" applyBorder="1" applyAlignment="1">
      <alignment horizontal="right" vertical="center"/>
    </xf>
    <xf numFmtId="2" fontId="4" fillId="0" borderId="11" xfId="0" applyNumberFormat="1" applyFont="1" applyFill="1" applyBorder="1" applyAlignment="1">
      <alignment horizontal="right" vertical="center"/>
    </xf>
    <xf numFmtId="2" fontId="3" fillId="0" borderId="8" xfId="0" applyNumberFormat="1" applyFont="1" applyFill="1" applyBorder="1"/>
    <xf numFmtId="2" fontId="3" fillId="0" borderId="11" xfId="0" applyNumberFormat="1" applyFont="1" applyFill="1" applyBorder="1"/>
    <xf numFmtId="9" fontId="10" fillId="0" borderId="0" xfId="2" applyFont="1" applyFill="1" applyBorder="1" applyAlignment="1">
      <alignment vertical="center"/>
    </xf>
    <xf numFmtId="9" fontId="11" fillId="0" borderId="5" xfId="2" applyFont="1" applyBorder="1"/>
    <xf numFmtId="9" fontId="3" fillId="11" borderId="5" xfId="2" applyFont="1" applyFill="1" applyBorder="1" applyAlignment="1" applyProtection="1">
      <alignment vertical="center"/>
      <protection locked="0"/>
    </xf>
    <xf numFmtId="9" fontId="3" fillId="11" borderId="21" xfId="2" applyFont="1" applyFill="1" applyBorder="1" applyProtection="1">
      <protection locked="0"/>
    </xf>
    <xf numFmtId="2" fontId="3" fillId="11" borderId="5" xfId="2" applyNumberFormat="1" applyFont="1" applyFill="1" applyBorder="1" applyAlignment="1" applyProtection="1">
      <alignment vertical="center"/>
      <protection locked="0"/>
    </xf>
    <xf numFmtId="0" fontId="3" fillId="2" borderId="21" xfId="0" applyFont="1" applyFill="1" applyBorder="1" applyAlignment="1" applyProtection="1"/>
    <xf numFmtId="0" fontId="4" fillId="0" borderId="18" xfId="0" applyFont="1" applyFill="1" applyBorder="1" applyAlignment="1">
      <alignment horizontal="right" vertical="center"/>
    </xf>
    <xf numFmtId="0" fontId="18" fillId="0" borderId="0" xfId="0" applyFont="1" applyFill="1" applyBorder="1"/>
    <xf numFmtId="0" fontId="27" fillId="0" borderId="11" xfId="0" applyFont="1" applyBorder="1"/>
    <xf numFmtId="0" fontId="28" fillId="0" borderId="0" xfId="0" applyFont="1" applyProtection="1"/>
    <xf numFmtId="0" fontId="3" fillId="0" borderId="5" xfId="0" applyFont="1" applyFill="1" applyBorder="1" applyAlignment="1" applyProtection="1">
      <alignment horizontal="left"/>
    </xf>
    <xf numFmtId="2" fontId="3" fillId="6" borderId="26" xfId="0" applyNumberFormat="1" applyFont="1" applyFill="1" applyBorder="1" applyProtection="1"/>
    <xf numFmtId="0" fontId="0" fillId="0" borderId="8" xfId="0" applyBorder="1"/>
    <xf numFmtId="0" fontId="0" fillId="0" borderId="32" xfId="0" applyBorder="1"/>
    <xf numFmtId="0" fontId="0" fillId="0" borderId="4" xfId="0" applyBorder="1"/>
    <xf numFmtId="2" fontId="3" fillId="0" borderId="20" xfId="0" applyNumberFormat="1" applyFont="1" applyFill="1" applyBorder="1" applyProtection="1"/>
    <xf numFmtId="1" fontId="11" fillId="4" borderId="5" xfId="0" applyNumberFormat="1" applyFont="1" applyFill="1" applyBorder="1"/>
    <xf numFmtId="0" fontId="14" fillId="6" borderId="5" xfId="0" applyFont="1" applyFill="1" applyBorder="1"/>
    <xf numFmtId="9" fontId="18" fillId="8" borderId="5" xfId="0" applyNumberFormat="1" applyFont="1" applyFill="1" applyBorder="1" applyAlignment="1">
      <alignment horizontal="center" vertical="center"/>
    </xf>
    <xf numFmtId="0" fontId="18" fillId="8" borderId="5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18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left" vertical="center"/>
    </xf>
    <xf numFmtId="0" fontId="6" fillId="0" borderId="23" xfId="0" applyFont="1" applyFill="1" applyBorder="1" applyAlignment="1">
      <alignment horizontal="center" vertical="center"/>
    </xf>
    <xf numFmtId="1" fontId="6" fillId="0" borderId="11" xfId="0" applyNumberFormat="1" applyFont="1" applyFill="1" applyBorder="1" applyAlignment="1">
      <alignment horizontal="right" vertical="center"/>
    </xf>
    <xf numFmtId="0" fontId="6" fillId="0" borderId="10" xfId="0" applyFont="1" applyFill="1" applyBorder="1" applyAlignment="1">
      <alignment horizontal="left" vertical="center"/>
    </xf>
    <xf numFmtId="0" fontId="6" fillId="0" borderId="24" xfId="0" applyFont="1" applyFill="1" applyBorder="1" applyAlignment="1">
      <alignment horizontal="center" vertical="center"/>
    </xf>
    <xf numFmtId="0" fontId="18" fillId="0" borderId="18" xfId="0" applyFont="1" applyFill="1" applyBorder="1"/>
    <xf numFmtId="0" fontId="27" fillId="0" borderId="21" xfId="0" applyFont="1" applyBorder="1"/>
    <xf numFmtId="0" fontId="27" fillId="0" borderId="5" xfId="0" applyFont="1" applyBorder="1"/>
    <xf numFmtId="1" fontId="18" fillId="0" borderId="3" xfId="0" applyNumberFormat="1" applyFont="1" applyBorder="1" applyAlignment="1">
      <alignment horizontal="center"/>
    </xf>
    <xf numFmtId="1" fontId="18" fillId="0" borderId="11" xfId="0" applyNumberFormat="1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18" fillId="0" borderId="3" xfId="0" applyNumberFormat="1" applyFont="1" applyFill="1" applyBorder="1" applyAlignment="1">
      <alignment horizontal="center"/>
    </xf>
    <xf numFmtId="1" fontId="27" fillId="0" borderId="11" xfId="0" applyNumberFormat="1" applyFont="1" applyBorder="1" applyAlignment="1">
      <alignment horizontal="center"/>
    </xf>
    <xf numFmtId="0" fontId="3" fillId="0" borderId="6" xfId="0" applyFont="1" applyFill="1" applyBorder="1" applyAlignment="1" applyProtection="1">
      <alignment horizontal="center"/>
    </xf>
    <xf numFmtId="168" fontId="3" fillId="0" borderId="3" xfId="0" applyNumberFormat="1" applyFont="1" applyFill="1" applyBorder="1" applyProtection="1"/>
    <xf numFmtId="164" fontId="14" fillId="0" borderId="5" xfId="0" applyNumberFormat="1" applyFont="1" applyBorder="1" applyProtection="1"/>
    <xf numFmtId="164" fontId="4" fillId="0" borderId="18" xfId="0" applyNumberFormat="1" applyFont="1" applyFill="1" applyBorder="1" applyProtection="1"/>
    <xf numFmtId="0" fontId="23" fillId="3" borderId="0" xfId="0" applyFont="1" applyFill="1" applyBorder="1" applyProtection="1"/>
    <xf numFmtId="164" fontId="23" fillId="3" borderId="10" xfId="0" applyNumberFormat="1" applyFont="1" applyFill="1" applyBorder="1" applyProtection="1"/>
    <xf numFmtId="0" fontId="23" fillId="3" borderId="14" xfId="0" applyFont="1" applyFill="1" applyBorder="1" applyProtection="1"/>
    <xf numFmtId="164" fontId="23" fillId="3" borderId="0" xfId="0" applyNumberFormat="1" applyFont="1" applyFill="1" applyBorder="1" applyProtection="1"/>
    <xf numFmtId="0" fontId="23" fillId="0" borderId="0" xfId="0" applyFont="1" applyFill="1" applyBorder="1" applyProtection="1"/>
    <xf numFmtId="0" fontId="32" fillId="0" borderId="0" xfId="0" applyFont="1" applyFill="1" applyProtection="1"/>
    <xf numFmtId="164" fontId="3" fillId="11" borderId="5" xfId="0" applyNumberFormat="1" applyFont="1" applyFill="1" applyBorder="1" applyAlignment="1" applyProtection="1">
      <alignment horizontal="center"/>
      <protection locked="0"/>
    </xf>
    <xf numFmtId="0" fontId="3" fillId="0" borderId="13" xfId="0" applyFont="1" applyFill="1" applyBorder="1" applyAlignment="1" applyProtection="1">
      <alignment horizontal="right" vertical="center"/>
    </xf>
    <xf numFmtId="167" fontId="3" fillId="0" borderId="13" xfId="0" applyNumberFormat="1" applyFont="1" applyFill="1" applyBorder="1" applyAlignment="1" applyProtection="1">
      <alignment horizontal="right" vertical="center"/>
      <protection locked="0"/>
    </xf>
    <xf numFmtId="0" fontId="3" fillId="0" borderId="24" xfId="0" applyFont="1" applyFill="1" applyBorder="1" applyAlignment="1">
      <alignment horizontal="center" wrapText="1"/>
    </xf>
    <xf numFmtId="164" fontId="3" fillId="11" borderId="8" xfId="0" applyNumberFormat="1" applyFont="1" applyFill="1" applyBorder="1" applyProtection="1">
      <protection locked="0"/>
    </xf>
    <xf numFmtId="164" fontId="3" fillId="11" borderId="3" xfId="0" applyNumberFormat="1" applyFont="1" applyFill="1" applyBorder="1" applyAlignment="1" applyProtection="1">
      <alignment horizontal="right"/>
      <protection locked="0"/>
    </xf>
    <xf numFmtId="164" fontId="3" fillId="11" borderId="11" xfId="0" applyNumberFormat="1" applyFont="1" applyFill="1" applyBorder="1" applyProtection="1">
      <protection locked="0"/>
    </xf>
    <xf numFmtId="164" fontId="3" fillId="11" borderId="3" xfId="0" applyNumberFormat="1" applyFont="1" applyFill="1" applyBorder="1" applyAlignment="1" applyProtection="1">
      <protection locked="0"/>
    </xf>
    <xf numFmtId="164" fontId="4" fillId="0" borderId="6" xfId="0" applyNumberFormat="1" applyFont="1" applyFill="1" applyBorder="1"/>
    <xf numFmtId="1" fontId="4" fillId="0" borderId="6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Protection="1"/>
    <xf numFmtId="164" fontId="4" fillId="0" borderId="21" xfId="0" applyNumberFormat="1" applyFont="1" applyFill="1" applyBorder="1" applyProtection="1"/>
    <xf numFmtId="0" fontId="23" fillId="0" borderId="14" xfId="0" applyFont="1" applyFill="1" applyBorder="1" applyProtection="1"/>
    <xf numFmtId="0" fontId="11" fillId="11" borderId="8" xfId="0" applyFont="1" applyFill="1" applyBorder="1" applyAlignment="1" applyProtection="1">
      <alignment horizontal="right"/>
      <protection locked="0"/>
    </xf>
    <xf numFmtId="0" fontId="11" fillId="11" borderId="3" xfId="0" applyFont="1" applyFill="1" applyBorder="1" applyAlignment="1" applyProtection="1">
      <alignment horizontal="right"/>
      <protection locked="0"/>
    </xf>
    <xf numFmtId="0" fontId="3" fillId="0" borderId="9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0" fontId="3" fillId="11" borderId="3" xfId="0" applyFont="1" applyFill="1" applyBorder="1" applyAlignment="1" applyProtection="1">
      <alignment horizontal="right"/>
      <protection locked="0"/>
    </xf>
    <xf numFmtId="164" fontId="4" fillId="0" borderId="24" xfId="0" applyNumberFormat="1" applyFont="1" applyFill="1" applyBorder="1" applyProtection="1"/>
    <xf numFmtId="0" fontId="23" fillId="0" borderId="0" xfId="0" applyFont="1" applyFill="1" applyProtection="1"/>
    <xf numFmtId="0" fontId="33" fillId="3" borderId="0" xfId="0" applyFont="1" applyFill="1" applyProtection="1"/>
    <xf numFmtId="164" fontId="4" fillId="0" borderId="0" xfId="0" applyNumberFormat="1" applyFont="1" applyFill="1" applyBorder="1" applyProtection="1"/>
    <xf numFmtId="1" fontId="4" fillId="0" borderId="0" xfId="0" applyNumberFormat="1" applyFont="1" applyFill="1" applyBorder="1" applyAlignment="1" applyProtection="1">
      <alignment horizontal="center"/>
    </xf>
    <xf numFmtId="164" fontId="4" fillId="0" borderId="6" xfId="0" applyNumberFormat="1" applyFont="1" applyFill="1" applyBorder="1" applyProtection="1"/>
    <xf numFmtId="1" fontId="4" fillId="0" borderId="6" xfId="0" applyNumberFormat="1" applyFont="1" applyFill="1" applyBorder="1" applyAlignment="1" applyProtection="1">
      <alignment horizontal="center"/>
    </xf>
    <xf numFmtId="0" fontId="32" fillId="0" borderId="0" xfId="0" applyFont="1" applyFill="1" applyBorder="1" applyProtection="1"/>
    <xf numFmtId="0" fontId="4" fillId="3" borderId="21" xfId="0" applyFont="1" applyFill="1" applyBorder="1" applyProtection="1"/>
    <xf numFmtId="164" fontId="4" fillId="10" borderId="21" xfId="0" applyNumberFormat="1" applyFont="1" applyFill="1" applyBorder="1" applyProtection="1"/>
    <xf numFmtId="164" fontId="4" fillId="10" borderId="21" xfId="0" applyNumberFormat="1" applyFont="1" applyFill="1" applyBorder="1"/>
    <xf numFmtId="0" fontId="4" fillId="10" borderId="21" xfId="0" applyFont="1" applyFill="1" applyBorder="1" applyProtection="1"/>
    <xf numFmtId="0" fontId="4" fillId="0" borderId="6" xfId="0" applyFont="1" applyFill="1" applyBorder="1" applyAlignment="1" applyProtection="1">
      <alignment horizontal="left" vertical="top" wrapText="1"/>
    </xf>
    <xf numFmtId="0" fontId="4" fillId="0" borderId="21" xfId="0" applyFont="1" applyFill="1" applyBorder="1" applyAlignment="1" applyProtection="1"/>
    <xf numFmtId="2" fontId="4" fillId="0" borderId="5" xfId="0" applyNumberFormat="1" applyFont="1" applyFill="1" applyBorder="1" applyProtection="1"/>
    <xf numFmtId="0" fontId="4" fillId="0" borderId="13" xfId="0" applyFont="1" applyFill="1" applyBorder="1" applyAlignment="1">
      <alignment horizontal="center" wrapText="1"/>
    </xf>
    <xf numFmtId="0" fontId="14" fillId="0" borderId="14" xfId="0" applyFont="1" applyBorder="1"/>
    <xf numFmtId="0" fontId="4" fillId="0" borderId="9" xfId="0" applyFont="1" applyFill="1" applyBorder="1" applyProtection="1"/>
    <xf numFmtId="2" fontId="3" fillId="0" borderId="21" xfId="0" applyNumberFormat="1" applyFont="1" applyFill="1" applyBorder="1" applyProtection="1"/>
    <xf numFmtId="164" fontId="4" fillId="10" borderId="6" xfId="0" applyNumberFormat="1" applyFont="1" applyFill="1" applyBorder="1" applyProtection="1"/>
    <xf numFmtId="2" fontId="3" fillId="0" borderId="3" xfId="0" applyNumberFormat="1" applyFont="1" applyFill="1" applyBorder="1" applyAlignment="1" applyProtection="1">
      <alignment horizontal="center"/>
    </xf>
    <xf numFmtId="2" fontId="3" fillId="0" borderId="10" xfId="0" applyNumberFormat="1" applyFont="1" applyFill="1" applyBorder="1" applyAlignment="1" applyProtection="1">
      <alignment horizontal="center"/>
    </xf>
    <xf numFmtId="2" fontId="3" fillId="0" borderId="16" xfId="0" applyNumberFormat="1" applyFont="1" applyFill="1" applyBorder="1" applyAlignment="1" applyProtection="1">
      <alignment horizontal="center"/>
    </xf>
    <xf numFmtId="2" fontId="3" fillId="0" borderId="11" xfId="0" applyNumberFormat="1" applyFont="1" applyFill="1" applyBorder="1" applyAlignment="1" applyProtection="1">
      <alignment horizontal="center"/>
    </xf>
    <xf numFmtId="164" fontId="4" fillId="7" borderId="21" xfId="0" applyNumberFormat="1" applyFont="1" applyFill="1" applyBorder="1"/>
    <xf numFmtId="0" fontId="33" fillId="0" borderId="0" xfId="0" applyFont="1" applyFill="1" applyBorder="1" applyProtection="1"/>
    <xf numFmtId="164" fontId="13" fillId="0" borderId="0" xfId="0" applyNumberFormat="1" applyFont="1" applyProtection="1"/>
    <xf numFmtId="0" fontId="33" fillId="3" borderId="0" xfId="0" applyFont="1" applyFill="1" applyBorder="1" applyProtection="1"/>
    <xf numFmtId="0" fontId="33" fillId="3" borderId="10" xfId="0" applyFont="1" applyFill="1" applyBorder="1" applyProtection="1"/>
    <xf numFmtId="1" fontId="33" fillId="0" borderId="0" xfId="0" applyNumberFormat="1" applyFont="1" applyFill="1" applyBorder="1"/>
    <xf numFmtId="0" fontId="33" fillId="0" borderId="0" xfId="0" applyFont="1" applyFill="1" applyBorder="1"/>
    <xf numFmtId="0" fontId="33" fillId="0" borderId="0" xfId="0" applyFont="1" applyFill="1"/>
    <xf numFmtId="0" fontId="33" fillId="0" borderId="0" xfId="0" applyFont="1" applyFill="1" applyProtection="1"/>
    <xf numFmtId="164" fontId="33" fillId="0" borderId="0" xfId="0" applyNumberFormat="1" applyFont="1" applyFill="1" applyBorder="1" applyProtection="1"/>
    <xf numFmtId="164" fontId="33" fillId="0" borderId="10" xfId="0" applyNumberFormat="1" applyFont="1" applyFill="1" applyBorder="1" applyProtection="1"/>
    <xf numFmtId="2" fontId="11" fillId="0" borderId="3" xfId="0" applyNumberFormat="1" applyFont="1" applyBorder="1" applyAlignment="1" applyProtection="1">
      <alignment horizontal="left" vertical="center"/>
    </xf>
    <xf numFmtId="164" fontId="11" fillId="0" borderId="3" xfId="0" applyNumberFormat="1" applyFont="1" applyBorder="1" applyAlignment="1" applyProtection="1">
      <alignment horizontal="left" vertical="center"/>
    </xf>
    <xf numFmtId="2" fontId="3" fillId="11" borderId="21" xfId="0" applyNumberFormat="1" applyFont="1" applyFill="1" applyBorder="1" applyAlignment="1" applyProtection="1">
      <alignment vertical="center"/>
      <protection locked="0"/>
    </xf>
    <xf numFmtId="0" fontId="3" fillId="0" borderId="16" xfId="0" applyFont="1" applyBorder="1" applyProtection="1"/>
    <xf numFmtId="164" fontId="11" fillId="0" borderId="3" xfId="0" applyNumberFormat="1" applyFont="1" applyBorder="1" applyAlignment="1">
      <alignment horizontal="left"/>
    </xf>
    <xf numFmtId="0" fontId="33" fillId="0" borderId="0" xfId="0" applyFont="1" applyBorder="1" applyProtection="1"/>
    <xf numFmtId="0" fontId="11" fillId="0" borderId="0" xfId="0" applyFont="1" applyFill="1" applyBorder="1" applyAlignment="1">
      <alignment horizontal="left"/>
    </xf>
    <xf numFmtId="164" fontId="11" fillId="0" borderId="16" xfId="0" applyNumberFormat="1" applyFont="1" applyFill="1" applyBorder="1" applyAlignment="1">
      <alignment horizontal="left"/>
    </xf>
    <xf numFmtId="164" fontId="34" fillId="0" borderId="0" xfId="0" applyNumberFormat="1" applyFont="1"/>
    <xf numFmtId="0" fontId="31" fillId="0" borderId="0" xfId="0" applyFont="1" applyFill="1" applyBorder="1" applyAlignment="1" applyProtection="1">
      <alignment horizontal="center"/>
      <protection locked="0"/>
    </xf>
    <xf numFmtId="0" fontId="32" fillId="0" borderId="0" xfId="0" applyFont="1" applyFill="1" applyBorder="1" applyAlignment="1" applyProtection="1">
      <alignment horizontal="center"/>
      <protection locked="0"/>
    </xf>
    <xf numFmtId="1" fontId="32" fillId="0" borderId="0" xfId="0" applyNumberFormat="1" applyFont="1" applyFill="1" applyBorder="1" applyAlignment="1" applyProtection="1">
      <alignment horizontal="center"/>
      <protection locked="0"/>
    </xf>
    <xf numFmtId="0" fontId="9" fillId="0" borderId="5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>
      <alignment horizontal="right"/>
    </xf>
    <xf numFmtId="1" fontId="3" fillId="11" borderId="8" xfId="0" applyNumberFormat="1" applyFont="1" applyFill="1" applyBorder="1" applyAlignment="1" applyProtection="1">
      <alignment vertical="center"/>
      <protection locked="0"/>
    </xf>
    <xf numFmtId="1" fontId="3" fillId="11" borderId="3" xfId="0" applyNumberFormat="1" applyFont="1" applyFill="1" applyBorder="1" applyAlignment="1" applyProtection="1">
      <alignment vertical="center"/>
      <protection locked="0"/>
    </xf>
    <xf numFmtId="1" fontId="3" fillId="11" borderId="11" xfId="0" applyNumberFormat="1" applyFont="1" applyFill="1" applyBorder="1" applyAlignment="1" applyProtection="1">
      <alignment vertical="center"/>
      <protection locked="0"/>
    </xf>
    <xf numFmtId="0" fontId="0" fillId="0" borderId="24" xfId="0" applyFill="1" applyBorder="1" applyProtection="1"/>
    <xf numFmtId="2" fontId="11" fillId="0" borderId="23" xfId="0" applyNumberFormat="1" applyFont="1" applyFill="1" applyBorder="1" applyProtection="1"/>
    <xf numFmtId="2" fontId="11" fillId="0" borderId="13" xfId="0" applyNumberFormat="1" applyFont="1" applyBorder="1" applyProtection="1"/>
    <xf numFmtId="0" fontId="11" fillId="0" borderId="8" xfId="0" applyFont="1" applyBorder="1" applyAlignment="1">
      <alignment horizontal="right"/>
    </xf>
    <xf numFmtId="0" fontId="11" fillId="0" borderId="3" xfId="0" applyFont="1" applyBorder="1" applyAlignment="1">
      <alignment horizontal="right"/>
    </xf>
    <xf numFmtId="0" fontId="11" fillId="0" borderId="11" xfId="0" applyFont="1" applyBorder="1" applyAlignment="1">
      <alignment horizontal="right"/>
    </xf>
    <xf numFmtId="2" fontId="3" fillId="0" borderId="0" xfId="0" applyNumberFormat="1" applyFont="1" applyFill="1" applyBorder="1" applyProtection="1">
      <protection locked="0"/>
    </xf>
    <xf numFmtId="165" fontId="3" fillId="0" borderId="16" xfId="0" applyNumberFormat="1" applyFont="1" applyFill="1" applyBorder="1" applyAlignment="1" applyProtection="1">
      <alignment horizontal="left" vertical="top" wrapText="1"/>
    </xf>
    <xf numFmtId="167" fontId="3" fillId="11" borderId="11" xfId="0" applyNumberFormat="1" applyFont="1" applyFill="1" applyBorder="1" applyAlignment="1" applyProtection="1">
      <alignment vertical="center"/>
      <protection locked="0"/>
    </xf>
    <xf numFmtId="0" fontId="11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3" fillId="11" borderId="5" xfId="0" applyFont="1" applyFill="1" applyBorder="1" applyAlignment="1" applyProtection="1">
      <alignment horizontal="center"/>
      <protection locked="0"/>
    </xf>
    <xf numFmtId="164" fontId="3" fillId="11" borderId="18" xfId="0" applyNumberFormat="1" applyFont="1" applyFill="1" applyBorder="1" applyAlignment="1" applyProtection="1">
      <alignment horizontal="center"/>
      <protection locked="0"/>
    </xf>
    <xf numFmtId="0" fontId="11" fillId="0" borderId="10" xfId="0" applyFont="1" applyBorder="1" applyAlignment="1" applyProtection="1">
      <alignment horizontal="center"/>
    </xf>
    <xf numFmtId="0" fontId="11" fillId="0" borderId="16" xfId="0" applyFont="1" applyBorder="1" applyAlignment="1" applyProtection="1">
      <alignment horizontal="center"/>
    </xf>
    <xf numFmtId="0" fontId="11" fillId="0" borderId="14" xfId="0" applyFont="1" applyBorder="1" applyAlignment="1" applyProtection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13" xfId="0" applyFont="1" applyFill="1" applyBorder="1" applyAlignment="1">
      <alignment horizontal="left"/>
    </xf>
    <xf numFmtId="0" fontId="0" fillId="0" borderId="13" xfId="0" applyBorder="1"/>
    <xf numFmtId="0" fontId="4" fillId="0" borderId="14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164" fontId="4" fillId="0" borderId="0" xfId="2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2" fontId="4" fillId="0" borderId="0" xfId="2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4" fontId="11" fillId="0" borderId="0" xfId="0" applyNumberFormat="1" applyFont="1" applyAlignment="1">
      <alignment horizontal="center"/>
    </xf>
    <xf numFmtId="164" fontId="11" fillId="0" borderId="13" xfId="0" applyNumberFormat="1" applyFont="1" applyBorder="1" applyAlignment="1">
      <alignment horizontal="center"/>
    </xf>
    <xf numFmtId="0" fontId="14" fillId="0" borderId="0" xfId="0" applyFont="1" applyFill="1" applyAlignment="1">
      <alignment horizontal="left"/>
    </xf>
    <xf numFmtId="2" fontId="3" fillId="0" borderId="3" xfId="0" applyNumberFormat="1" applyFont="1" applyFill="1" applyBorder="1"/>
    <xf numFmtId="0" fontId="3" fillId="0" borderId="0" xfId="0" applyFont="1" applyBorder="1" applyProtection="1"/>
    <xf numFmtId="164" fontId="11" fillId="0" borderId="0" xfId="0" applyNumberFormat="1" applyFont="1" applyFill="1" applyBorder="1" applyAlignment="1">
      <alignment horizontal="left"/>
    </xf>
    <xf numFmtId="0" fontId="34" fillId="0" borderId="0" xfId="0" applyFont="1"/>
    <xf numFmtId="2" fontId="11" fillId="8" borderId="0" xfId="0" applyNumberFormat="1" applyFont="1" applyFill="1" applyBorder="1" applyAlignment="1">
      <alignment horizontal="center"/>
    </xf>
    <xf numFmtId="2" fontId="11" fillId="8" borderId="13" xfId="0" applyNumberFormat="1" applyFont="1" applyFill="1" applyBorder="1" applyAlignment="1">
      <alignment horizontal="center"/>
    </xf>
    <xf numFmtId="0" fontId="11" fillId="8" borderId="0" xfId="0" applyFont="1" applyFill="1" applyBorder="1" applyAlignment="1">
      <alignment horizontal="center"/>
    </xf>
    <xf numFmtId="0" fontId="11" fillId="8" borderId="13" xfId="0" applyFont="1" applyFill="1" applyBorder="1" applyAlignment="1">
      <alignment horizontal="center"/>
    </xf>
    <xf numFmtId="2" fontId="11" fillId="8" borderId="0" xfId="0" applyNumberFormat="1" applyFont="1" applyFill="1" applyAlignment="1">
      <alignment horizontal="center"/>
    </xf>
    <xf numFmtId="2" fontId="3" fillId="8" borderId="5" xfId="0" applyNumberFormat="1" applyFont="1" applyFill="1" applyBorder="1" applyAlignment="1" applyProtection="1">
      <alignment horizontal="center"/>
      <protection locked="0"/>
    </xf>
    <xf numFmtId="2" fontId="11" fillId="8" borderId="5" xfId="0" applyNumberFormat="1" applyFont="1" applyFill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5" xfId="0" applyFont="1" applyBorder="1" applyAlignment="1">
      <alignment horizontal="left"/>
    </xf>
    <xf numFmtId="10" fontId="0" fillId="11" borderId="5" xfId="0" applyNumberFormat="1" applyFill="1" applyBorder="1"/>
    <xf numFmtId="2" fontId="11" fillId="8" borderId="9" xfId="0" applyNumberFormat="1" applyFont="1" applyFill="1" applyBorder="1" applyAlignment="1">
      <alignment horizontal="center"/>
    </xf>
    <xf numFmtId="2" fontId="11" fillId="0" borderId="24" xfId="0" applyNumberFormat="1" applyFont="1" applyFill="1" applyBorder="1" applyAlignment="1">
      <alignment horizontal="center"/>
    </xf>
    <xf numFmtId="0" fontId="11" fillId="8" borderId="10" xfId="0" applyFont="1" applyFill="1" applyBorder="1"/>
    <xf numFmtId="0" fontId="11" fillId="8" borderId="9" xfId="0" applyFont="1" applyFill="1" applyBorder="1"/>
    <xf numFmtId="0" fontId="11" fillId="8" borderId="24" xfId="0" applyFont="1" applyFill="1" applyBorder="1"/>
    <xf numFmtId="0" fontId="3" fillId="8" borderId="16" xfId="0" applyFont="1" applyFill="1" applyBorder="1" applyAlignment="1" applyProtection="1">
      <alignment horizontal="center" wrapText="1"/>
    </xf>
    <xf numFmtId="0" fontId="3" fillId="8" borderId="0" xfId="0" applyFont="1" applyFill="1" applyBorder="1" applyAlignment="1" applyProtection="1">
      <alignment horizontal="center" wrapText="1"/>
    </xf>
    <xf numFmtId="0" fontId="11" fillId="8" borderId="0" xfId="0" applyFont="1" applyFill="1" applyBorder="1" applyAlignment="1">
      <alignment horizontal="center" wrapText="1"/>
    </xf>
    <xf numFmtId="0" fontId="11" fillId="8" borderId="22" xfId="0" applyFont="1" applyFill="1" applyBorder="1" applyAlignment="1">
      <alignment horizontal="center" wrapText="1"/>
    </xf>
    <xf numFmtId="0" fontId="3" fillId="8" borderId="14" xfId="0" applyFont="1" applyFill="1" applyBorder="1" applyAlignment="1" applyProtection="1">
      <alignment horizontal="center"/>
    </xf>
    <xf numFmtId="0" fontId="3" fillId="8" borderId="13" xfId="0" applyFont="1" applyFill="1" applyBorder="1" applyAlignment="1" applyProtection="1">
      <alignment horizontal="center"/>
    </xf>
    <xf numFmtId="0" fontId="3" fillId="8" borderId="13" xfId="0" applyFont="1" applyFill="1" applyBorder="1" applyAlignment="1" applyProtection="1"/>
    <xf numFmtId="0" fontId="11" fillId="8" borderId="23" xfId="0" applyFont="1" applyFill="1" applyBorder="1" applyAlignment="1">
      <alignment horizontal="center"/>
    </xf>
    <xf numFmtId="0" fontId="11" fillId="8" borderId="10" xfId="0" applyFont="1" applyFill="1" applyBorder="1" applyAlignment="1">
      <alignment horizontal="center"/>
    </xf>
    <xf numFmtId="2" fontId="11" fillId="8" borderId="24" xfId="0" applyNumberFormat="1" applyFont="1" applyFill="1" applyBorder="1" applyAlignment="1">
      <alignment horizontal="center"/>
    </xf>
    <xf numFmtId="0" fontId="11" fillId="8" borderId="16" xfId="0" applyFont="1" applyFill="1" applyBorder="1" applyAlignment="1">
      <alignment horizontal="center"/>
    </xf>
    <xf numFmtId="2" fontId="11" fillId="8" borderId="22" xfId="0" applyNumberFormat="1" applyFont="1" applyFill="1" applyBorder="1" applyAlignment="1">
      <alignment horizontal="center"/>
    </xf>
    <xf numFmtId="0" fontId="11" fillId="8" borderId="14" xfId="0" applyFont="1" applyFill="1" applyBorder="1" applyAlignment="1">
      <alignment horizontal="center"/>
    </xf>
    <xf numFmtId="2" fontId="11" fillId="8" borderId="23" xfId="0" applyNumberFormat="1" applyFont="1" applyFill="1" applyBorder="1" applyAlignment="1">
      <alignment horizontal="center"/>
    </xf>
    <xf numFmtId="2" fontId="11" fillId="8" borderId="16" xfId="0" applyNumberFormat="1" applyFont="1" applyFill="1" applyBorder="1" applyAlignment="1">
      <alignment horizontal="center"/>
    </xf>
    <xf numFmtId="2" fontId="11" fillId="8" borderId="14" xfId="0" applyNumberFormat="1" applyFont="1" applyFill="1" applyBorder="1" applyAlignment="1">
      <alignment horizontal="center"/>
    </xf>
    <xf numFmtId="0" fontId="3" fillId="8" borderId="0" xfId="0" applyFont="1" applyFill="1" applyBorder="1" applyAlignment="1" applyProtection="1">
      <alignment horizontal="left" wrapText="1"/>
    </xf>
    <xf numFmtId="165" fontId="5" fillId="8" borderId="0" xfId="0" applyNumberFormat="1" applyFont="1" applyFill="1" applyBorder="1" applyAlignment="1" applyProtection="1">
      <alignment horizontal="left" wrapText="1"/>
    </xf>
    <xf numFmtId="0" fontId="3" fillId="8" borderId="16" xfId="0" applyFont="1" applyFill="1" applyBorder="1" applyAlignment="1" applyProtection="1">
      <alignment horizontal="center"/>
    </xf>
    <xf numFmtId="0" fontId="3" fillId="8" borderId="0" xfId="0" applyFont="1" applyFill="1" applyBorder="1" applyAlignment="1" applyProtection="1">
      <alignment horizontal="center"/>
    </xf>
    <xf numFmtId="0" fontId="3" fillId="8" borderId="0" xfId="0" applyFont="1" applyFill="1" applyBorder="1" applyAlignment="1" applyProtection="1"/>
    <xf numFmtId="0" fontId="11" fillId="8" borderId="22" xfId="0" applyFont="1" applyFill="1" applyBorder="1" applyAlignment="1">
      <alignment horizontal="center"/>
    </xf>
    <xf numFmtId="0" fontId="3" fillId="8" borderId="10" xfId="0" applyFont="1" applyFill="1" applyBorder="1" applyAlignment="1" applyProtection="1">
      <alignment horizontal="center" wrapText="1"/>
    </xf>
    <xf numFmtId="0" fontId="3" fillId="8" borderId="9" xfId="0" applyFont="1" applyFill="1" applyBorder="1" applyAlignment="1" applyProtection="1">
      <alignment horizontal="center" wrapText="1"/>
    </xf>
    <xf numFmtId="0" fontId="11" fillId="8" borderId="9" xfId="0" applyFont="1" applyFill="1" applyBorder="1" applyAlignment="1">
      <alignment horizontal="center" wrapText="1"/>
    </xf>
    <xf numFmtId="0" fontId="3" fillId="8" borderId="9" xfId="0" applyFont="1" applyFill="1" applyBorder="1" applyAlignment="1" applyProtection="1">
      <alignment horizontal="left" wrapText="1"/>
    </xf>
    <xf numFmtId="165" fontId="5" fillId="8" borderId="9" xfId="0" applyNumberFormat="1" applyFont="1" applyFill="1" applyBorder="1" applyAlignment="1" applyProtection="1">
      <alignment horizontal="left" wrapText="1"/>
    </xf>
    <xf numFmtId="0" fontId="11" fillId="8" borderId="24" xfId="0" applyFont="1" applyFill="1" applyBorder="1" applyAlignment="1">
      <alignment horizontal="center" wrapText="1"/>
    </xf>
    <xf numFmtId="0" fontId="11" fillId="8" borderId="18" xfId="0" applyFont="1" applyFill="1" applyBorder="1"/>
    <xf numFmtId="0" fontId="11" fillId="8" borderId="6" xfId="0" applyFont="1" applyFill="1" applyBorder="1"/>
    <xf numFmtId="0" fontId="11" fillId="8" borderId="21" xfId="0" applyFont="1" applyFill="1" applyBorder="1"/>
    <xf numFmtId="2" fontId="11" fillId="8" borderId="10" xfId="0" applyNumberFormat="1" applyFont="1" applyFill="1" applyBorder="1" applyAlignment="1">
      <alignment horizontal="center"/>
    </xf>
    <xf numFmtId="2" fontId="3" fillId="8" borderId="1" xfId="0" applyNumberFormat="1" applyFont="1" applyFill="1" applyBorder="1" applyProtection="1"/>
    <xf numFmtId="164" fontId="3" fillId="8" borderId="5" xfId="0" applyNumberFormat="1" applyFont="1" applyFill="1" applyBorder="1" applyAlignment="1" applyProtection="1">
      <alignment horizontal="center"/>
      <protection locked="0"/>
    </xf>
    <xf numFmtId="0" fontId="0" fillId="8" borderId="0" xfId="0" applyFill="1"/>
    <xf numFmtId="0" fontId="3" fillId="8" borderId="18" xfId="0" applyFont="1" applyFill="1" applyBorder="1"/>
    <xf numFmtId="0" fontId="19" fillId="8" borderId="13" xfId="0" applyFont="1" applyFill="1" applyBorder="1" applyAlignment="1">
      <alignment horizontal="center" vertical="center" wrapText="1"/>
    </xf>
    <xf numFmtId="0" fontId="11" fillId="8" borderId="9" xfId="0" applyFont="1" applyFill="1" applyBorder="1" applyAlignment="1">
      <alignment horizontal="center"/>
    </xf>
    <xf numFmtId="1" fontId="3" fillId="8" borderId="5" xfId="0" applyNumberFormat="1" applyFont="1" applyFill="1" applyBorder="1" applyProtection="1"/>
    <xf numFmtId="164" fontId="3" fillId="8" borderId="5" xfId="0" applyNumberFormat="1" applyFont="1" applyFill="1" applyBorder="1" applyProtection="1"/>
    <xf numFmtId="1" fontId="11" fillId="0" borderId="16" xfId="0" applyNumberFormat="1" applyFont="1" applyFill="1" applyBorder="1" applyAlignment="1">
      <alignment horizontal="right"/>
    </xf>
    <xf numFmtId="1" fontId="11" fillId="0" borderId="0" xfId="0" applyNumberFormat="1" applyFont="1" applyFill="1" applyBorder="1" applyAlignment="1">
      <alignment horizontal="right"/>
    </xf>
    <xf numFmtId="1" fontId="11" fillId="0" borderId="22" xfId="0" applyNumberFormat="1" applyFont="1" applyFill="1" applyBorder="1" applyAlignment="1">
      <alignment horizontal="right"/>
    </xf>
    <xf numFmtId="1" fontId="11" fillId="0" borderId="14" xfId="0" applyNumberFormat="1" applyFont="1" applyFill="1" applyBorder="1" applyAlignment="1">
      <alignment horizontal="right"/>
    </xf>
    <xf numFmtId="1" fontId="11" fillId="0" borderId="13" xfId="0" applyNumberFormat="1" applyFont="1" applyFill="1" applyBorder="1" applyAlignment="1">
      <alignment horizontal="right"/>
    </xf>
    <xf numFmtId="1" fontId="11" fillId="0" borderId="23" xfId="0" applyNumberFormat="1" applyFont="1" applyFill="1" applyBorder="1" applyAlignment="1">
      <alignment horizontal="right"/>
    </xf>
    <xf numFmtId="1" fontId="11" fillId="0" borderId="9" xfId="0" applyNumberFormat="1" applyFont="1" applyFill="1" applyBorder="1" applyAlignment="1">
      <alignment horizontal="right"/>
    </xf>
    <xf numFmtId="2" fontId="3" fillId="8" borderId="2" xfId="0" applyNumberFormat="1" applyFont="1" applyFill="1" applyBorder="1" applyProtection="1"/>
    <xf numFmtId="0" fontId="35" fillId="0" borderId="0" xfId="0" applyFont="1" applyProtection="1"/>
    <xf numFmtId="164" fontId="3" fillId="0" borderId="16" xfId="0" applyNumberFormat="1" applyFont="1" applyFill="1" applyBorder="1" applyAlignment="1">
      <alignment horizontal="left"/>
    </xf>
    <xf numFmtId="0" fontId="3" fillId="0" borderId="16" xfId="0" applyFont="1" applyBorder="1" applyAlignment="1" applyProtection="1">
      <alignment horizontal="left" vertical="center"/>
    </xf>
    <xf numFmtId="164" fontId="0" fillId="0" borderId="0" xfId="0" applyNumberFormat="1"/>
    <xf numFmtId="164" fontId="3" fillId="0" borderId="22" xfId="0" applyNumberFormat="1" applyFont="1" applyFill="1" applyBorder="1" applyProtection="1"/>
    <xf numFmtId="164" fontId="4" fillId="13" borderId="21" xfId="0" applyNumberFormat="1" applyFont="1" applyFill="1" applyBorder="1" applyProtection="1"/>
    <xf numFmtId="0" fontId="11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164" fontId="11" fillId="11" borderId="8" xfId="0" applyNumberFormat="1" applyFont="1" applyFill="1" applyBorder="1"/>
    <xf numFmtId="164" fontId="11" fillId="11" borderId="3" xfId="0" applyNumberFormat="1" applyFont="1" applyFill="1" applyBorder="1"/>
    <xf numFmtId="164" fontId="11" fillId="11" borderId="11" xfId="0" applyNumberFormat="1" applyFont="1" applyFill="1" applyBorder="1"/>
    <xf numFmtId="0" fontId="11" fillId="0" borderId="3" xfId="0" applyFont="1" applyBorder="1" applyAlignment="1" applyProtection="1">
      <alignment horizontal="left"/>
    </xf>
    <xf numFmtId="164" fontId="3" fillId="0" borderId="23" xfId="0" applyNumberFormat="1" applyFont="1" applyFill="1" applyBorder="1" applyProtection="1"/>
    <xf numFmtId="164" fontId="0" fillId="0" borderId="22" xfId="0" applyNumberFormat="1" applyFill="1" applyBorder="1" applyProtection="1"/>
    <xf numFmtId="164" fontId="0" fillId="0" borderId="0" xfId="0" applyNumberFormat="1" applyFill="1" applyProtection="1"/>
    <xf numFmtId="164" fontId="0" fillId="0" borderId="0" xfId="0" applyNumberFormat="1" applyFill="1" applyBorder="1" applyProtection="1"/>
    <xf numFmtId="164" fontId="3" fillId="0" borderId="6" xfId="0" applyNumberFormat="1" applyFont="1" applyFill="1" applyBorder="1" applyProtection="1"/>
    <xf numFmtId="0" fontId="23" fillId="0" borderId="16" xfId="0" applyFont="1" applyFill="1" applyBorder="1" applyProtection="1"/>
    <xf numFmtId="0" fontId="33" fillId="0" borderId="14" xfId="0" applyFont="1" applyFill="1" applyBorder="1" applyProtection="1"/>
    <xf numFmtId="164" fontId="3" fillId="11" borderId="21" xfId="0" applyNumberFormat="1" applyFont="1" applyFill="1" applyBorder="1" applyProtection="1">
      <protection locked="0"/>
    </xf>
    <xf numFmtId="0" fontId="11" fillId="0" borderId="0" xfId="0" applyFont="1" applyFill="1" applyBorder="1" applyAlignment="1" applyProtection="1">
      <alignment horizontal="left" vertical="center"/>
    </xf>
    <xf numFmtId="167" fontId="11" fillId="0" borderId="16" xfId="0" applyNumberFormat="1" applyFont="1" applyBorder="1" applyAlignment="1" applyProtection="1">
      <alignment horizontal="left" vertical="center"/>
    </xf>
    <xf numFmtId="169" fontId="11" fillId="0" borderId="16" xfId="0" applyNumberFormat="1" applyFont="1" applyFill="1" applyBorder="1" applyAlignment="1">
      <alignment horizontal="left"/>
    </xf>
    <xf numFmtId="164" fontId="3" fillId="0" borderId="22" xfId="0" applyNumberFormat="1" applyFont="1" applyFill="1" applyBorder="1"/>
    <xf numFmtId="164" fontId="32" fillId="0" borderId="0" xfId="0" applyNumberFormat="1" applyFont="1" applyFill="1" applyProtection="1"/>
    <xf numFmtId="164" fontId="11" fillId="0" borderId="16" xfId="0" applyNumberFormat="1" applyFont="1" applyBorder="1" applyAlignment="1">
      <alignment horizontal="left"/>
    </xf>
    <xf numFmtId="164" fontId="3" fillId="0" borderId="24" xfId="0" applyNumberFormat="1" applyFont="1" applyFill="1" applyBorder="1" applyProtection="1"/>
    <xf numFmtId="0" fontId="4" fillId="12" borderId="21" xfId="0" applyFont="1" applyFill="1" applyBorder="1" applyProtection="1"/>
    <xf numFmtId="164" fontId="3" fillId="0" borderId="21" xfId="0" applyNumberFormat="1" applyFont="1" applyFill="1" applyBorder="1" applyProtection="1"/>
    <xf numFmtId="164" fontId="33" fillId="0" borderId="0" xfId="0" applyNumberFormat="1" applyFont="1" applyFill="1" applyBorder="1"/>
    <xf numFmtId="164" fontId="3" fillId="0" borderId="0" xfId="0" applyNumberFormat="1" applyFont="1" applyFill="1" applyBorder="1"/>
    <xf numFmtId="164" fontId="4" fillId="0" borderId="18" xfId="0" applyNumberFormat="1" applyFont="1" applyFill="1" applyBorder="1"/>
    <xf numFmtId="164" fontId="4" fillId="0" borderId="21" xfId="0" applyNumberFormat="1" applyFont="1" applyFill="1" applyBorder="1"/>
    <xf numFmtId="164" fontId="11" fillId="11" borderId="3" xfId="0" applyNumberFormat="1" applyFont="1" applyFill="1" applyBorder="1" applyAlignment="1" applyProtection="1">
      <alignment horizontal="right"/>
      <protection locked="0"/>
    </xf>
    <xf numFmtId="0" fontId="11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2" fontId="11" fillId="0" borderId="10" xfId="0" applyNumberFormat="1" applyFont="1" applyFill="1" applyBorder="1" applyAlignment="1">
      <alignment horizontal="center"/>
    </xf>
    <xf numFmtId="1" fontId="11" fillId="0" borderId="10" xfId="0" applyNumberFormat="1" applyFont="1" applyFill="1" applyBorder="1" applyAlignment="1">
      <alignment horizontal="right"/>
    </xf>
    <xf numFmtId="1" fontId="11" fillId="0" borderId="24" xfId="0" applyNumberFormat="1" applyFont="1" applyFill="1" applyBorder="1" applyAlignment="1">
      <alignment horizontal="right"/>
    </xf>
    <xf numFmtId="0" fontId="3" fillId="0" borderId="14" xfId="0" applyFont="1" applyFill="1" applyBorder="1" applyAlignment="1" applyProtection="1">
      <alignment horizontal="left" wrapText="1"/>
    </xf>
    <xf numFmtId="0" fontId="3" fillId="0" borderId="23" xfId="0" applyFont="1" applyFill="1" applyBorder="1" applyAlignment="1" applyProtection="1">
      <alignment horizontal="left" wrapText="1"/>
    </xf>
    <xf numFmtId="2" fontId="3" fillId="0" borderId="8" xfId="0" applyNumberFormat="1" applyFont="1" applyFill="1" applyBorder="1" applyAlignment="1" applyProtection="1">
      <alignment horizontal="left"/>
    </xf>
    <xf numFmtId="2" fontId="3" fillId="0" borderId="10" xfId="0" applyNumberFormat="1" applyFont="1" applyFill="1" applyBorder="1" applyAlignment="1" applyProtection="1">
      <alignment horizontal="left"/>
    </xf>
    <xf numFmtId="0" fontId="3" fillId="0" borderId="24" xfId="0" applyFont="1" applyFill="1" applyBorder="1" applyAlignment="1" applyProtection="1">
      <alignment horizontal="left" wrapText="1"/>
    </xf>
    <xf numFmtId="0" fontId="3" fillId="0" borderId="8" xfId="0" applyFont="1" applyFill="1" applyBorder="1" applyAlignment="1" applyProtection="1">
      <alignment horizontal="left" wrapText="1"/>
    </xf>
    <xf numFmtId="2" fontId="3" fillId="0" borderId="3" xfId="0" applyNumberFormat="1" applyFont="1" applyFill="1" applyBorder="1" applyAlignment="1" applyProtection="1">
      <alignment horizontal="left"/>
    </xf>
    <xf numFmtId="2" fontId="3" fillId="0" borderId="16" xfId="0" applyNumberFormat="1" applyFont="1" applyFill="1" applyBorder="1" applyAlignment="1" applyProtection="1">
      <alignment horizontal="left"/>
    </xf>
    <xf numFmtId="0" fontId="3" fillId="0" borderId="22" xfId="0" applyFont="1" applyFill="1" applyBorder="1" applyAlignment="1" applyProtection="1">
      <alignment horizontal="left" wrapText="1"/>
    </xf>
    <xf numFmtId="0" fontId="3" fillId="0" borderId="3" xfId="0" applyFont="1" applyFill="1" applyBorder="1" applyAlignment="1" applyProtection="1">
      <alignment horizontal="left" wrapText="1"/>
    </xf>
    <xf numFmtId="0" fontId="3" fillId="0" borderId="11" xfId="0" applyFont="1" applyFill="1" applyBorder="1" applyAlignment="1" applyProtection="1">
      <alignment horizontal="left" wrapText="1"/>
    </xf>
    <xf numFmtId="2" fontId="3" fillId="0" borderId="11" xfId="0" applyNumberFormat="1" applyFont="1" applyFill="1" applyBorder="1" applyAlignment="1" applyProtection="1">
      <alignment horizontal="left"/>
    </xf>
    <xf numFmtId="2" fontId="3" fillId="0" borderId="14" xfId="0" applyNumberFormat="1" applyFont="1" applyFill="1" applyBorder="1" applyAlignment="1" applyProtection="1">
      <alignment horizontal="left"/>
    </xf>
    <xf numFmtId="0" fontId="3" fillId="0" borderId="10" xfId="0" applyFont="1" applyFill="1" applyBorder="1" applyAlignment="1" applyProtection="1">
      <alignment horizontal="left" wrapText="1"/>
    </xf>
    <xf numFmtId="0" fontId="3" fillId="0" borderId="9" xfId="0" applyFont="1" applyFill="1" applyBorder="1" applyAlignment="1" applyProtection="1">
      <alignment horizontal="left" wrapText="1"/>
    </xf>
    <xf numFmtId="0" fontId="3" fillId="0" borderId="16" xfId="0" applyFont="1" applyFill="1" applyBorder="1" applyAlignment="1" applyProtection="1">
      <alignment horizontal="left" wrapText="1"/>
    </xf>
    <xf numFmtId="2" fontId="3" fillId="0" borderId="24" xfId="0" applyNumberFormat="1" applyFont="1" applyFill="1" applyBorder="1" applyAlignment="1" applyProtection="1">
      <alignment horizontal="left"/>
    </xf>
    <xf numFmtId="2" fontId="3" fillId="0" borderId="22" xfId="0" applyNumberFormat="1" applyFont="1" applyFill="1" applyBorder="1" applyAlignment="1" applyProtection="1">
      <alignment horizontal="left"/>
    </xf>
    <xf numFmtId="2" fontId="3" fillId="0" borderId="13" xfId="0" applyNumberFormat="1" applyFont="1" applyFill="1" applyBorder="1" applyAlignment="1" applyProtection="1">
      <alignment horizontal="left"/>
    </xf>
    <xf numFmtId="2" fontId="3" fillId="0" borderId="23" xfId="0" applyNumberFormat="1" applyFont="1" applyFill="1" applyBorder="1" applyAlignment="1" applyProtection="1">
      <alignment horizontal="left"/>
    </xf>
    <xf numFmtId="0" fontId="3" fillId="0" borderId="13" xfId="0" applyFont="1" applyFill="1" applyBorder="1" applyAlignment="1" applyProtection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11" xfId="0" applyFont="1" applyFill="1" applyBorder="1" applyAlignment="1">
      <alignment horizontal="left" wrapText="1"/>
    </xf>
    <xf numFmtId="2" fontId="3" fillId="0" borderId="11" xfId="0" applyNumberFormat="1" applyFont="1" applyFill="1" applyBorder="1" applyAlignment="1">
      <alignment horizontal="left"/>
    </xf>
    <xf numFmtId="2" fontId="3" fillId="0" borderId="14" xfId="0" applyNumberFormat="1" applyFont="1" applyFill="1" applyBorder="1" applyAlignment="1">
      <alignment horizontal="left"/>
    </xf>
    <xf numFmtId="0" fontId="3" fillId="0" borderId="14" xfId="0" applyFont="1" applyFill="1" applyBorder="1" applyAlignment="1">
      <alignment horizontal="left" wrapText="1"/>
    </xf>
    <xf numFmtId="2" fontId="3" fillId="0" borderId="12" xfId="0" applyNumberFormat="1" applyFont="1" applyFill="1" applyBorder="1" applyAlignment="1">
      <alignment horizontal="left"/>
    </xf>
    <xf numFmtId="0" fontId="3" fillId="0" borderId="13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2" fontId="3" fillId="0" borderId="3" xfId="0" applyNumberFormat="1" applyFont="1" applyFill="1" applyBorder="1" applyAlignment="1">
      <alignment horizontal="left"/>
    </xf>
    <xf numFmtId="2" fontId="3" fillId="0" borderId="4" xfId="0" applyNumberFormat="1" applyFont="1" applyFill="1" applyBorder="1" applyAlignment="1">
      <alignment horizontal="left"/>
    </xf>
    <xf numFmtId="0" fontId="3" fillId="0" borderId="3" xfId="0" applyFont="1" applyFill="1" applyBorder="1" applyAlignment="1">
      <alignment horizontal="left" wrapText="1"/>
    </xf>
    <xf numFmtId="2" fontId="3" fillId="0" borderId="16" xfId="0" applyNumberFormat="1" applyFont="1" applyFill="1" applyBorder="1" applyAlignment="1">
      <alignment horizontal="left"/>
    </xf>
    <xf numFmtId="0" fontId="3" fillId="0" borderId="10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2" fontId="3" fillId="0" borderId="8" xfId="0" applyNumberFormat="1" applyFont="1" applyFill="1" applyBorder="1" applyAlignment="1">
      <alignment horizontal="left"/>
    </xf>
    <xf numFmtId="2" fontId="3" fillId="0" borderId="32" xfId="0" applyNumberFormat="1" applyFont="1" applyFill="1" applyBorder="1" applyAlignment="1">
      <alignment horizontal="left"/>
    </xf>
    <xf numFmtId="0" fontId="3" fillId="0" borderId="8" xfId="0" applyFont="1" applyFill="1" applyBorder="1" applyAlignment="1">
      <alignment horizontal="left" wrapText="1"/>
    </xf>
    <xf numFmtId="2" fontId="3" fillId="0" borderId="10" xfId="0" applyNumberFormat="1" applyFont="1" applyFill="1" applyBorder="1" applyAlignment="1">
      <alignment horizontal="left"/>
    </xf>
    <xf numFmtId="0" fontId="3" fillId="0" borderId="9" xfId="0" applyFont="1" applyFill="1" applyBorder="1" applyAlignment="1">
      <alignment horizontal="left" wrapText="1"/>
    </xf>
    <xf numFmtId="0" fontId="3" fillId="0" borderId="18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0" fontId="3" fillId="0" borderId="21" xfId="0" applyFont="1" applyFill="1" applyBorder="1" applyAlignment="1" applyProtection="1">
      <alignment horizontal="center"/>
    </xf>
    <xf numFmtId="0" fontId="3" fillId="0" borderId="10" xfId="0" applyFont="1" applyFill="1" applyBorder="1" applyAlignment="1" applyProtection="1">
      <alignment horizontal="center" textRotation="90"/>
    </xf>
    <xf numFmtId="0" fontId="3" fillId="0" borderId="16" xfId="0" applyFont="1" applyFill="1" applyBorder="1" applyAlignment="1" applyProtection="1">
      <alignment horizontal="center" textRotation="90"/>
    </xf>
    <xf numFmtId="0" fontId="3" fillId="0" borderId="3" xfId="0" applyFont="1" applyFill="1" applyBorder="1" applyAlignment="1" applyProtection="1">
      <alignment horizontal="center" textRotation="90"/>
    </xf>
    <xf numFmtId="0" fontId="3" fillId="0" borderId="8" xfId="0" applyFont="1" applyFill="1" applyBorder="1" applyAlignment="1" applyProtection="1">
      <alignment horizontal="right" vertical="center" wrapText="1"/>
    </xf>
    <xf numFmtId="0" fontId="3" fillId="0" borderId="3" xfId="0" applyFont="1" applyFill="1" applyBorder="1" applyAlignment="1" applyProtection="1">
      <alignment horizontal="right" vertical="center" wrapText="1"/>
    </xf>
    <xf numFmtId="0" fontId="3" fillId="0" borderId="10" xfId="0" applyFont="1" applyFill="1" applyBorder="1" applyAlignment="1" applyProtection="1">
      <alignment horizontal="right" vertical="center" wrapText="1"/>
    </xf>
    <xf numFmtId="0" fontId="0" fillId="0" borderId="16" xfId="0" applyFont="1" applyFill="1" applyBorder="1" applyAlignment="1" applyProtection="1">
      <alignment horizontal="right" vertical="center"/>
    </xf>
    <xf numFmtId="0" fontId="3" fillId="0" borderId="8" xfId="0" applyFont="1" applyFill="1" applyBorder="1" applyAlignment="1" applyProtection="1">
      <alignment horizontal="center" textRotation="90"/>
    </xf>
    <xf numFmtId="0" fontId="3" fillId="0" borderId="11" xfId="0" applyFont="1" applyFill="1" applyBorder="1" applyAlignment="1" applyProtection="1">
      <alignment horizontal="center" textRotation="90"/>
    </xf>
    <xf numFmtId="0" fontId="3" fillId="0" borderId="9" xfId="0" applyFont="1" applyFill="1" applyBorder="1" applyAlignment="1" applyProtection="1">
      <alignment horizontal="center"/>
    </xf>
    <xf numFmtId="0" fontId="3" fillId="0" borderId="24" xfId="0" applyFont="1" applyFill="1" applyBorder="1" applyAlignment="1" applyProtection="1">
      <alignment horizontal="center"/>
    </xf>
    <xf numFmtId="0" fontId="3" fillId="0" borderId="31" xfId="0" applyFont="1" applyFill="1" applyBorder="1" applyAlignment="1" applyProtection="1">
      <alignment horizontal="right" vertical="center" wrapText="1"/>
    </xf>
    <xf numFmtId="0" fontId="0" fillId="0" borderId="31" xfId="0" applyFont="1" applyFill="1" applyBorder="1" applyAlignment="1" applyProtection="1">
      <alignment horizontal="right" vertical="center"/>
    </xf>
    <xf numFmtId="0" fontId="0" fillId="0" borderId="14" xfId="0" applyFont="1" applyFill="1" applyBorder="1" applyAlignment="1" applyProtection="1">
      <alignment horizontal="right" vertical="center"/>
    </xf>
    <xf numFmtId="0" fontId="3" fillId="0" borderId="5" xfId="0" applyFont="1" applyFill="1" applyBorder="1" applyAlignment="1" applyProtection="1">
      <alignment horizontal="center" textRotation="90"/>
    </xf>
    <xf numFmtId="0" fontId="3" fillId="0" borderId="24" xfId="0" applyFont="1" applyFill="1" applyBorder="1" applyAlignment="1" applyProtection="1">
      <alignment horizontal="center" vertical="center" wrapText="1"/>
    </xf>
    <xf numFmtId="0" fontId="3" fillId="0" borderId="22" xfId="0" applyFont="1" applyFill="1" applyBorder="1" applyAlignment="1" applyProtection="1">
      <alignment horizontal="center" vertical="center" wrapText="1"/>
    </xf>
    <xf numFmtId="0" fontId="3" fillId="0" borderId="2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/>
    </xf>
    <xf numFmtId="0" fontId="11" fillId="11" borderId="8" xfId="0" applyFont="1" applyFill="1" applyBorder="1" applyAlignment="1" applyProtection="1">
      <alignment horizontal="center" vertical="top"/>
      <protection locked="0"/>
    </xf>
    <xf numFmtId="0" fontId="11" fillId="11" borderId="3" xfId="0" applyFont="1" applyFill="1" applyBorder="1" applyAlignment="1" applyProtection="1">
      <alignment horizontal="center" vertical="top"/>
      <protection locked="0"/>
    </xf>
    <xf numFmtId="0" fontId="11" fillId="11" borderId="11" xfId="0" applyFont="1" applyFill="1" applyBorder="1" applyAlignment="1" applyProtection="1">
      <alignment horizontal="center" vertical="top"/>
      <protection locked="0"/>
    </xf>
    <xf numFmtId="0" fontId="14" fillId="0" borderId="18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14" fillId="0" borderId="21" xfId="0" applyFont="1" applyBorder="1" applyAlignment="1">
      <alignment horizontal="left"/>
    </xf>
    <xf numFmtId="0" fontId="4" fillId="0" borderId="18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2" fillId="0" borderId="18" xfId="0" applyFont="1" applyFill="1" applyBorder="1" applyAlignment="1">
      <alignment horizontal="left" vertical="center"/>
    </xf>
    <xf numFmtId="0" fontId="2" fillId="0" borderId="21" xfId="0" applyFont="1" applyFill="1" applyBorder="1" applyAlignment="1">
      <alignment horizontal="left" vertical="center"/>
    </xf>
    <xf numFmtId="0" fontId="18" fillId="0" borderId="18" xfId="0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FF99"/>
      <color rgb="FFA8F6F2"/>
      <color rgb="FF00CC00"/>
      <color rgb="FFF60A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Price </a:t>
            </a:r>
          </a:p>
        </c:rich>
      </c:tx>
      <c:layout>
        <c:manualLayout>
          <c:xMode val="edge"/>
          <c:yMode val="edge"/>
          <c:x val="0.30861072574739057"/>
          <c:y val="1.81972408970809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68192508529272"/>
          <c:y val="0.16873391621818348"/>
          <c:w val="0.80562568844484395"/>
          <c:h val="0.68432045717277035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SA'!$D$22:$H$22</c:f>
              <c:numCache>
                <c:formatCode>0</c:formatCode>
                <c:ptCount val="5"/>
                <c:pt idx="0">
                  <c:v>-15886.316516307119</c:v>
                </c:pt>
                <c:pt idx="1">
                  <c:v>-7197.3716222013954</c:v>
                </c:pt>
                <c:pt idx="2">
                  <c:v>1491.5732719043299</c:v>
                </c:pt>
                <c:pt idx="3">
                  <c:v>10180.51816601005</c:v>
                </c:pt>
                <c:pt idx="4">
                  <c:v>18869.463060115773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11-4F7E-8B11-490996966599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  <a:alpha val="98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SA'!$D$17:$H$17</c:f>
              <c:numCache>
                <c:formatCode>0</c:formatCode>
                <c:ptCount val="5"/>
                <c:pt idx="0">
                  <c:v>-3372.8834968746237</c:v>
                </c:pt>
                <c:pt idx="1">
                  <c:v>473.8164091804656</c:v>
                </c:pt>
                <c:pt idx="2">
                  <c:v>4320.5163152355553</c:v>
                </c:pt>
                <c:pt idx="3">
                  <c:v>8167.2162212906433</c:v>
                </c:pt>
                <c:pt idx="4">
                  <c:v>12013.916127345736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F0-4A82-B9D1-9C6E1C658B02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SA'!$D$18:$H$18</c:f>
              <c:numCache>
                <c:formatCode>0</c:formatCode>
                <c:ptCount val="5"/>
                <c:pt idx="0">
                  <c:v>-4785.8392141021995</c:v>
                </c:pt>
                <c:pt idx="1">
                  <c:v>-91.0949242686047</c:v>
                </c:pt>
                <c:pt idx="2">
                  <c:v>4603.6493655649911</c:v>
                </c:pt>
                <c:pt idx="3">
                  <c:v>9298.3936553985877</c:v>
                </c:pt>
                <c:pt idx="4">
                  <c:v>13993.137945232185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F0-4A82-B9D1-9C6E1C658B02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SA'!$D$19:$H$19</c:f>
              <c:numCache>
                <c:formatCode>0</c:formatCode>
                <c:ptCount val="5"/>
                <c:pt idx="0">
                  <c:v>-12538.253637792393</c:v>
                </c:pt>
                <c:pt idx="1">
                  <c:v>-3522.2218618090428</c:v>
                </c:pt>
                <c:pt idx="2">
                  <c:v>5493.8099141743096</c:v>
                </c:pt>
                <c:pt idx="3">
                  <c:v>14509.841690157669</c:v>
                </c:pt>
                <c:pt idx="4">
                  <c:v>23525.873466141005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F0-4A82-B9D1-9C6E1C658B02}"/>
            </c:ext>
          </c:extLst>
        </c:ser>
        <c:ser>
          <c:idx val="0"/>
          <c:order val="4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SA'!$D$20:$H$20</c:f>
              <c:numCache>
                <c:formatCode>0</c:formatCode>
                <c:ptCount val="5"/>
                <c:pt idx="0">
                  <c:v>-7547.1792029081425</c:v>
                </c:pt>
                <c:pt idx="1">
                  <c:v>-2962.4909214398576</c:v>
                </c:pt>
                <c:pt idx="2">
                  <c:v>1622.1973600284255</c:v>
                </c:pt>
                <c:pt idx="3">
                  <c:v>6206.8856414967104</c:v>
                </c:pt>
                <c:pt idx="4">
                  <c:v>10791.573922964995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BB-4DED-B44A-DF9385A0AFF1}"/>
            </c:ext>
          </c:extLst>
        </c:ser>
        <c:ser>
          <c:idx val="1"/>
          <c:order val="5"/>
          <c:tx>
            <c:v>Silphium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SA'!$D$21:$H$21</c:f>
              <c:numCache>
                <c:formatCode>0</c:formatCode>
                <c:ptCount val="5"/>
                <c:pt idx="0">
                  <c:v>-5092.0798609659341</c:v>
                </c:pt>
                <c:pt idx="1">
                  <c:v>1140.4153052589954</c:v>
                </c:pt>
                <c:pt idx="2">
                  <c:v>7372.9104714839232</c:v>
                </c:pt>
                <c:pt idx="3">
                  <c:v>13605.405637708845</c:v>
                </c:pt>
                <c:pt idx="4">
                  <c:v>19837.900803933782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BB-4DED-B44A-DF9385A0A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5448"/>
        <c:axId val="373474272"/>
      </c:scatterChart>
      <c:valAx>
        <c:axId val="37347544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4272"/>
        <c:crosses val="autoZero"/>
        <c:crossBetween val="midCat"/>
      </c:valAx>
      <c:valAx>
        <c:axId val="373474272"/>
        <c:scaling>
          <c:orientation val="minMax"/>
          <c:max val="25000"/>
          <c:min val="-2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(€ ha-1)</a:t>
                </a:r>
              </a:p>
            </c:rich>
          </c:tx>
          <c:layout>
            <c:manualLayout>
              <c:xMode val="edge"/>
              <c:yMode val="edge"/>
              <c:x val="3.0246917255628128E-2"/>
              <c:y val="0.47163451343156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5448"/>
        <c:crosses val="autoZero"/>
        <c:crossBetween val="midCat"/>
        <c:majorUnit val="5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Forage</a:t>
            </a:r>
            <a:r>
              <a:rPr lang="en-US" i="0" baseline="0"/>
              <a:t> maize</a:t>
            </a:r>
            <a:r>
              <a:rPr lang="en-US" i="0"/>
              <a:t>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SA'!$D$19:$H$19</c:f>
              <c:numCache>
                <c:formatCode>0</c:formatCode>
                <c:ptCount val="5"/>
                <c:pt idx="0">
                  <c:v>-12538.253637792393</c:v>
                </c:pt>
                <c:pt idx="1">
                  <c:v>-3522.2218618090428</c:v>
                </c:pt>
                <c:pt idx="2">
                  <c:v>5493.8099141743096</c:v>
                </c:pt>
                <c:pt idx="3">
                  <c:v>14509.841690157669</c:v>
                </c:pt>
                <c:pt idx="4">
                  <c:v>23525.873466141005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0E-4C26-8D98-CCEC06F65476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SA'!$D$26:$H$26</c:f>
              <c:numCache>
                <c:formatCode>0</c:formatCode>
                <c:ptCount val="5"/>
                <c:pt idx="0">
                  <c:v>-12538.253637792393</c:v>
                </c:pt>
                <c:pt idx="1">
                  <c:v>-3522.2218618090428</c:v>
                </c:pt>
                <c:pt idx="2">
                  <c:v>5493.8099141743096</c:v>
                </c:pt>
                <c:pt idx="3">
                  <c:v>14509.841690157662</c:v>
                </c:pt>
                <c:pt idx="4">
                  <c:v>23525.873466141005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0E-4C26-8D98-CCEC06F65476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>
                  <a:alpha val="9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SA'!$D$33:$H$33</c:f>
              <c:numCache>
                <c:formatCode>0</c:formatCode>
                <c:ptCount val="5"/>
                <c:pt idx="0">
                  <c:v>20164.293820656683</c:v>
                </c:pt>
                <c:pt idx="1">
                  <c:v>12829.051867415496</c:v>
                </c:pt>
                <c:pt idx="2">
                  <c:v>5493.8099141743096</c:v>
                </c:pt>
                <c:pt idx="3">
                  <c:v>-1841.4320390668763</c:v>
                </c:pt>
                <c:pt idx="4">
                  <c:v>-9176.673992308064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0E-4C26-8D98-CCEC06F65476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SA'!$D$40:$H$40</c:f>
              <c:numCache>
                <c:formatCode>0</c:formatCode>
                <c:ptCount val="5"/>
                <c:pt idx="0">
                  <c:v>7253.5194240000019</c:v>
                </c:pt>
                <c:pt idx="1">
                  <c:v>6278.4938630942634</c:v>
                </c:pt>
                <c:pt idx="2">
                  <c:v>5493.8099141743096</c:v>
                </c:pt>
                <c:pt idx="3">
                  <c:v>4856.3441317064735</c:v>
                </c:pt>
                <c:pt idx="4">
                  <c:v>4333.7415216367499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0E-4C26-8D98-CCEC06F65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137456"/>
        <c:axId val="478132360"/>
      </c:scatterChart>
      <c:valAx>
        <c:axId val="478137456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2360"/>
        <c:crosses val="autoZero"/>
        <c:crossBetween val="midCat"/>
      </c:valAx>
      <c:valAx>
        <c:axId val="478132360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7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Yield </a:t>
            </a:r>
          </a:p>
        </c:rich>
      </c:tx>
      <c:layout>
        <c:manualLayout>
          <c:xMode val="edge"/>
          <c:yMode val="edge"/>
          <c:x val="0.32806248504200691"/>
          <c:y val="1.81728322694561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26243982645308"/>
          <c:y val="0.16918699957904659"/>
          <c:w val="0.80746745995162361"/>
          <c:h val="0.66445782353961325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SA'!$D$29:$H$29</c:f>
              <c:numCache>
                <c:formatCode>0</c:formatCode>
                <c:ptCount val="5"/>
                <c:pt idx="0">
                  <c:v>-15886.316516307119</c:v>
                </c:pt>
                <c:pt idx="1">
                  <c:v>-7197.3716222013954</c:v>
                </c:pt>
                <c:pt idx="2">
                  <c:v>1491.5732719043299</c:v>
                </c:pt>
                <c:pt idx="3">
                  <c:v>10180.51816601005</c:v>
                </c:pt>
                <c:pt idx="4">
                  <c:v>18869.463060115773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F6-4AC5-99C5-AD22B66A40CA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SA'!$D$24:$H$24</c:f>
              <c:numCache>
                <c:formatCode>0</c:formatCode>
                <c:ptCount val="5"/>
                <c:pt idx="0">
                  <c:v>-3372.8834968746237</c:v>
                </c:pt>
                <c:pt idx="1">
                  <c:v>473.8164091804656</c:v>
                </c:pt>
                <c:pt idx="2">
                  <c:v>4320.5163152355553</c:v>
                </c:pt>
                <c:pt idx="3">
                  <c:v>8167.2162212906433</c:v>
                </c:pt>
                <c:pt idx="4">
                  <c:v>12013.916127345736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7D-449C-BC7C-6CF74DF7B9A0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SA'!$D$25:$H$25</c:f>
              <c:numCache>
                <c:formatCode>0</c:formatCode>
                <c:ptCount val="5"/>
                <c:pt idx="0">
                  <c:v>-4785.8392141021995</c:v>
                </c:pt>
                <c:pt idx="1">
                  <c:v>-91.0949242686047</c:v>
                </c:pt>
                <c:pt idx="2">
                  <c:v>4603.6493655649911</c:v>
                </c:pt>
                <c:pt idx="3">
                  <c:v>9298.3936553985877</c:v>
                </c:pt>
                <c:pt idx="4">
                  <c:v>13993.137945232185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7D-449C-BC7C-6CF74DF7B9A0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  <a:alpha val="98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SA'!$D$26:$H$26</c:f>
              <c:numCache>
                <c:formatCode>0</c:formatCode>
                <c:ptCount val="5"/>
                <c:pt idx="0">
                  <c:v>-12538.253637792393</c:v>
                </c:pt>
                <c:pt idx="1">
                  <c:v>-3522.2218618090428</c:v>
                </c:pt>
                <c:pt idx="2">
                  <c:v>5493.8099141743096</c:v>
                </c:pt>
                <c:pt idx="3">
                  <c:v>14509.841690157662</c:v>
                </c:pt>
                <c:pt idx="4">
                  <c:v>23525.873466141005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07D-449C-BC7C-6CF74DF7B9A0}"/>
            </c:ext>
          </c:extLst>
        </c:ser>
        <c:ser>
          <c:idx val="1"/>
          <c:order val="4"/>
          <c:tx>
            <c:v>Silphie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SA'!$D$28:$H$28</c:f>
              <c:numCache>
                <c:formatCode>0</c:formatCode>
                <c:ptCount val="5"/>
                <c:pt idx="0">
                  <c:v>-5092.0798609659341</c:v>
                </c:pt>
                <c:pt idx="1">
                  <c:v>1140.4153052589954</c:v>
                </c:pt>
                <c:pt idx="2">
                  <c:v>7372.9104714839232</c:v>
                </c:pt>
                <c:pt idx="3">
                  <c:v>13605.405637708845</c:v>
                </c:pt>
                <c:pt idx="4">
                  <c:v>19837.900803933782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B8-4CCF-8B18-0479101CA241}"/>
            </c:ext>
          </c:extLst>
        </c:ser>
        <c:ser>
          <c:idx val="0"/>
          <c:order val="5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SA'!$D$27:$H$27</c:f>
              <c:numCache>
                <c:formatCode>0</c:formatCode>
                <c:ptCount val="5"/>
                <c:pt idx="0">
                  <c:v>-7547.1792029081425</c:v>
                </c:pt>
                <c:pt idx="1">
                  <c:v>-2962.4909214398576</c:v>
                </c:pt>
                <c:pt idx="2">
                  <c:v>1622.1973600284255</c:v>
                </c:pt>
                <c:pt idx="3">
                  <c:v>6206.8856414967086</c:v>
                </c:pt>
                <c:pt idx="4">
                  <c:v>10791.573922964995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B8-4CCF-8B18-0479101CA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4664"/>
        <c:axId val="373471528"/>
      </c:scatterChart>
      <c:valAx>
        <c:axId val="373474664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1528"/>
        <c:crosses val="autoZero"/>
        <c:crossBetween val="midCat"/>
      </c:valAx>
      <c:valAx>
        <c:axId val="373471528"/>
        <c:scaling>
          <c:orientation val="minMax"/>
          <c:max val="25000"/>
          <c:min val="-2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(€ ha-1)</a:t>
                </a:r>
                <a:endParaRPr lang="en-GB"/>
              </a:p>
              <a:p>
                <a:pPr algn="ctr" rtl="0"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3.1080914115181556E-2"/>
              <c:y val="0.473839468765399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4664"/>
        <c:crosses val="autoZero"/>
        <c:crossBetween val="midCat"/>
        <c:majorUnit val="5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Discount Rate</a:t>
            </a:r>
          </a:p>
        </c:rich>
      </c:tx>
      <c:layout>
        <c:manualLayout>
          <c:xMode val="edge"/>
          <c:yMode val="edge"/>
          <c:x val="0.25077378244091103"/>
          <c:y val="7.404213094418875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49928666399628"/>
          <c:y val="0.16528984490139659"/>
          <c:w val="0.79184333735099899"/>
          <c:h val="0.65700856200435132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SA'!$D$43:$H$43</c:f>
              <c:numCache>
                <c:formatCode>0</c:formatCode>
                <c:ptCount val="5"/>
                <c:pt idx="0">
                  <c:v>1896.9924594285803</c:v>
                </c:pt>
                <c:pt idx="1">
                  <c:v>1672.8096558279758</c:v>
                </c:pt>
                <c:pt idx="2">
                  <c:v>1491.5732719043299</c:v>
                </c:pt>
                <c:pt idx="3">
                  <c:v>1343.6783877619473</c:v>
                </c:pt>
                <c:pt idx="4">
                  <c:v>1221.8937856004304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00-4D33-B0F3-AF9C472D20D1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SA'!$D$38:$H$38</c:f>
              <c:numCache>
                <c:formatCode>0</c:formatCode>
                <c:ptCount val="5"/>
                <c:pt idx="0">
                  <c:v>6992.2648959999988</c:v>
                </c:pt>
                <c:pt idx="1">
                  <c:v>5505.2548740137954</c:v>
                </c:pt>
                <c:pt idx="2">
                  <c:v>4320.5163152355553</c:v>
                </c:pt>
                <c:pt idx="3">
                  <c:v>3367.5118301471903</c:v>
                </c:pt>
                <c:pt idx="4">
                  <c:v>2593.7719867585056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D6-4D78-919A-874B48CDAAB0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SA'!$D$39:$H$39</c:f>
              <c:numCache>
                <c:formatCode>0</c:formatCode>
                <c:ptCount val="5"/>
                <c:pt idx="0">
                  <c:v>7134.5442559999919</c:v>
                </c:pt>
                <c:pt idx="1">
                  <c:v>5732.3530467219625</c:v>
                </c:pt>
                <c:pt idx="2">
                  <c:v>4603.6493655649911</c:v>
                </c:pt>
                <c:pt idx="3">
                  <c:v>3687.0349411895659</c:v>
                </c:pt>
                <c:pt idx="4">
                  <c:v>2936.2924369138564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D6-4D78-919A-874B48CDAAB0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SA'!$D$40:$H$40</c:f>
              <c:numCache>
                <c:formatCode>0</c:formatCode>
                <c:ptCount val="5"/>
                <c:pt idx="0">
                  <c:v>7253.5194240000019</c:v>
                </c:pt>
                <c:pt idx="1">
                  <c:v>6278.4938630942634</c:v>
                </c:pt>
                <c:pt idx="2">
                  <c:v>5493.8099141743096</c:v>
                </c:pt>
                <c:pt idx="3">
                  <c:v>4856.3441317064735</c:v>
                </c:pt>
                <c:pt idx="4">
                  <c:v>4333.7415216367499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D6-4D78-919A-874B48CDAAB0}"/>
            </c:ext>
          </c:extLst>
        </c:ser>
        <c:ser>
          <c:idx val="0"/>
          <c:order val="4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SA'!$D$41:$H$41</c:f>
              <c:numCache>
                <c:formatCode>0</c:formatCode>
                <c:ptCount val="5"/>
                <c:pt idx="0">
                  <c:v>4281.2562560000079</c:v>
                </c:pt>
                <c:pt idx="1">
                  <c:v>2807.3435300840301</c:v>
                </c:pt>
                <c:pt idx="2">
                  <c:v>1622.1973600284255</c:v>
                </c:pt>
                <c:pt idx="3">
                  <c:v>660.56356779665475</c:v>
                </c:pt>
                <c:pt idx="4">
                  <c:v>-126.57478687301227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F5-4051-9D53-76E43EF92EDA}"/>
            </c:ext>
          </c:extLst>
        </c:ser>
        <c:ser>
          <c:idx val="1"/>
          <c:order val="5"/>
          <c:tx>
            <c:v>Silphie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ash"/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SA'!$D$42:$H$42</c:f>
              <c:numCache>
                <c:formatCode>0</c:formatCode>
                <c:ptCount val="5"/>
                <c:pt idx="0">
                  <c:v>10889.335956000006</c:v>
                </c:pt>
                <c:pt idx="1">
                  <c:v>8940.8435664802437</c:v>
                </c:pt>
                <c:pt idx="2">
                  <c:v>7372.9104714839232</c:v>
                </c:pt>
                <c:pt idx="3">
                  <c:v>6099.8416120455904</c:v>
                </c:pt>
                <c:pt idx="4">
                  <c:v>5057.1937793220277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F5-4051-9D53-76E43EF9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8192"/>
        <c:axId val="373470744"/>
      </c:scatterChart>
      <c:valAx>
        <c:axId val="373478192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0744"/>
        <c:crosses val="autoZero"/>
        <c:crossBetween val="midCat"/>
      </c:valAx>
      <c:valAx>
        <c:axId val="373470744"/>
        <c:scaling>
          <c:orientation val="minMax"/>
          <c:max val="25000"/>
          <c:min val="-2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(€ ha-1)</a:t>
                </a:r>
                <a:endParaRPr lang="en-GB"/>
              </a:p>
              <a:p>
                <a:pPr algn="ctr" rtl="0"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3.744730499616454E-2"/>
              <c:y val="0.487811425363183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8192"/>
        <c:crosses val="autoZero"/>
        <c:crossBetween val="midCat"/>
        <c:majorUnit val="5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Costs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54522590162532"/>
          <c:y val="0.16528984490139659"/>
          <c:w val="0.8072683454963846"/>
          <c:h val="0.62135693732893549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SA'!$D$36:$H$36</c:f>
              <c:numCache>
                <c:formatCode>0</c:formatCode>
                <c:ptCount val="5"/>
                <c:pt idx="0">
                  <c:v>19510.120056901429</c:v>
                </c:pt>
                <c:pt idx="1">
                  <c:v>10500.846664402879</c:v>
                </c:pt>
                <c:pt idx="2">
                  <c:v>1491.5732719043299</c:v>
                </c:pt>
                <c:pt idx="3">
                  <c:v>-7517.7001205942252</c:v>
                </c:pt>
                <c:pt idx="4">
                  <c:v>-16526.973513092769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B7-47B0-B89C-86F7889D596F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  <a:alpha val="99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SA'!$D$31:$H$31</c:f>
              <c:numCache>
                <c:formatCode>0</c:formatCode>
                <c:ptCount val="5"/>
                <c:pt idx="0">
                  <c:v>9825.6300808001597</c:v>
                </c:pt>
                <c:pt idx="1">
                  <c:v>7073.0731980178571</c:v>
                </c:pt>
                <c:pt idx="2">
                  <c:v>4320.5163152355553</c:v>
                </c:pt>
                <c:pt idx="3">
                  <c:v>1567.9594324532573</c:v>
                </c:pt>
                <c:pt idx="4">
                  <c:v>-1184.597450329049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DF-4B27-B496-EB7DC1997928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SA'!$D$32:$H$32</c:f>
              <c:numCache>
                <c:formatCode>0</c:formatCode>
                <c:ptCount val="5"/>
                <c:pt idx="0">
                  <c:v>11521.718848357172</c:v>
                </c:pt>
                <c:pt idx="1">
                  <c:v>8062.6841069610819</c:v>
                </c:pt>
                <c:pt idx="2">
                  <c:v>4603.6493655649911</c:v>
                </c:pt>
                <c:pt idx="3">
                  <c:v>1144.6146241688984</c:v>
                </c:pt>
                <c:pt idx="4">
                  <c:v>-2314.4201172271896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DF-4B27-B496-EB7DC1997928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  <a:alpha val="9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SA'!$D$33:$H$33</c:f>
              <c:numCache>
                <c:formatCode>0</c:formatCode>
                <c:ptCount val="5"/>
                <c:pt idx="0">
                  <c:v>20164.293820656683</c:v>
                </c:pt>
                <c:pt idx="1">
                  <c:v>12829.051867415496</c:v>
                </c:pt>
                <c:pt idx="2">
                  <c:v>5493.8099141743096</c:v>
                </c:pt>
                <c:pt idx="3">
                  <c:v>-1841.4320390668763</c:v>
                </c:pt>
                <c:pt idx="4">
                  <c:v>-9176.673992308064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DF-4B27-B496-EB7DC1997928}"/>
            </c:ext>
          </c:extLst>
        </c:ser>
        <c:ser>
          <c:idx val="0"/>
          <c:order val="4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SA'!$D$34:$H$34</c:f>
              <c:numCache>
                <c:formatCode>0</c:formatCode>
                <c:ptCount val="5"/>
                <c:pt idx="0">
                  <c:v>11301.606831626548</c:v>
                </c:pt>
                <c:pt idx="1">
                  <c:v>6461.9020958274868</c:v>
                </c:pt>
                <c:pt idx="2">
                  <c:v>1622.1973600284255</c:v>
                </c:pt>
                <c:pt idx="3">
                  <c:v>-3217.5073757706323</c:v>
                </c:pt>
                <c:pt idx="4">
                  <c:v>-8057.2121115696973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B3-4B56-8BE8-FB2A39CADDFC}"/>
            </c:ext>
          </c:extLst>
        </c:ser>
        <c:ser>
          <c:idx val="1"/>
          <c:order val="5"/>
          <c:tx>
            <c:v>Silphie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SA'!$D$35:$H$35</c:f>
              <c:numCache>
                <c:formatCode>0</c:formatCode>
                <c:ptCount val="5"/>
                <c:pt idx="0">
                  <c:v>14597.220601139838</c:v>
                </c:pt>
                <c:pt idx="1">
                  <c:v>10985.06553631188</c:v>
                </c:pt>
                <c:pt idx="2">
                  <c:v>7372.9104714839232</c:v>
                </c:pt>
                <c:pt idx="3">
                  <c:v>3760.755406655966</c:v>
                </c:pt>
                <c:pt idx="4">
                  <c:v>148.60034182800882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B3-4B56-8BE8-FB2A39CAD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6232"/>
        <c:axId val="373475840"/>
      </c:scatterChart>
      <c:valAx>
        <c:axId val="373476232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5840"/>
        <c:crosses val="autoZero"/>
        <c:crossBetween val="midCat"/>
      </c:valAx>
      <c:valAx>
        <c:axId val="373475840"/>
        <c:scaling>
          <c:orientation val="minMax"/>
          <c:max val="25000"/>
          <c:min val="-2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(€ ha-1)</a:t>
                </a:r>
                <a:endParaRPr lang="en-GB"/>
              </a:p>
              <a:p>
                <a:pPr algn="ctr" rtl="0"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1.7799507773129178E-2"/>
              <c:y val="0.43441645027721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6232"/>
        <c:crosses val="autoZero"/>
        <c:crossBetween val="midCat"/>
        <c:majorUnit val="5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1"/>
              <a:t>Sida</a:t>
            </a:r>
            <a:r>
              <a:rPr lang="en-US"/>
              <a:t> NPV</a:t>
            </a:r>
          </a:p>
        </c:rich>
      </c:tx>
      <c:layout>
        <c:manualLayout>
          <c:xMode val="edge"/>
          <c:yMode val="edge"/>
          <c:x val="0.42843190233563039"/>
          <c:y val="7.05012202183984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1276999479992567E-2"/>
          <c:y val="0.137904413153182"/>
          <c:w val="0.87144722267198149"/>
          <c:h val="0.60601085393098564"/>
        </c:manualLayout>
      </c:layout>
      <c:scatterChart>
        <c:scatterStyle val="smoothMarker"/>
        <c:varyColors val="0"/>
        <c:ser>
          <c:idx val="4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SA'!$D$20:$H$20</c:f>
              <c:numCache>
                <c:formatCode>0</c:formatCode>
                <c:ptCount val="5"/>
                <c:pt idx="0">
                  <c:v>-7547.1792029081425</c:v>
                </c:pt>
                <c:pt idx="1">
                  <c:v>-2962.4909214398576</c:v>
                </c:pt>
                <c:pt idx="2">
                  <c:v>1622.1973600284255</c:v>
                </c:pt>
                <c:pt idx="3">
                  <c:v>6206.8856414967104</c:v>
                </c:pt>
                <c:pt idx="4">
                  <c:v>10791.573922964995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AA-4D6E-8E29-53D4F3764966}"/>
            </c:ext>
          </c:extLst>
        </c:ser>
        <c:ser>
          <c:idx val="2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SA'!$D$27:$H$27</c:f>
              <c:numCache>
                <c:formatCode>0</c:formatCode>
                <c:ptCount val="5"/>
                <c:pt idx="0">
                  <c:v>-7547.1792029081425</c:v>
                </c:pt>
                <c:pt idx="1">
                  <c:v>-2962.4909214398576</c:v>
                </c:pt>
                <c:pt idx="2">
                  <c:v>1622.1973600284255</c:v>
                </c:pt>
                <c:pt idx="3">
                  <c:v>6206.8856414967086</c:v>
                </c:pt>
                <c:pt idx="4">
                  <c:v>10791.573922964995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2F-45EC-A8C5-FF6AE2BBC09A}"/>
            </c:ext>
          </c:extLst>
        </c:ser>
        <c:ser>
          <c:idx val="0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SA'!$D$34:$H$34</c:f>
              <c:numCache>
                <c:formatCode>0</c:formatCode>
                <c:ptCount val="5"/>
                <c:pt idx="0">
                  <c:v>11301.606831626548</c:v>
                </c:pt>
                <c:pt idx="1">
                  <c:v>6461.9020958274868</c:v>
                </c:pt>
                <c:pt idx="2">
                  <c:v>1622.1973600284255</c:v>
                </c:pt>
                <c:pt idx="3">
                  <c:v>-3217.5073757706323</c:v>
                </c:pt>
                <c:pt idx="4">
                  <c:v>-8057.2121115696973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0AA-4D6E-8E29-53D4F3764966}"/>
            </c:ext>
          </c:extLst>
        </c:ser>
        <c:ser>
          <c:idx val="1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SA'!$D$41:$H$41</c:f>
              <c:numCache>
                <c:formatCode>0</c:formatCode>
                <c:ptCount val="5"/>
                <c:pt idx="0">
                  <c:v>4281.2562560000079</c:v>
                </c:pt>
                <c:pt idx="1">
                  <c:v>2807.3435300840301</c:v>
                </c:pt>
                <c:pt idx="2">
                  <c:v>1622.1973600284255</c:v>
                </c:pt>
                <c:pt idx="3">
                  <c:v>660.56356779665475</c:v>
                </c:pt>
                <c:pt idx="4">
                  <c:v>-126.57478687301227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0AA-4D6E-8E29-53D4F3764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7016"/>
        <c:axId val="373477800"/>
      </c:scatterChart>
      <c:valAx>
        <c:axId val="373477016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7800"/>
        <c:crosses val="autoZero"/>
        <c:crossBetween val="midCat"/>
        <c:majorUnit val="0.5"/>
      </c:valAx>
      <c:valAx>
        <c:axId val="373477800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7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741937528859547"/>
          <c:y val="0.68705933534969643"/>
          <c:w val="0.2595537445247158"/>
          <c:h val="0.310977940408269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1"/>
              <a:t>Silphium</a:t>
            </a:r>
            <a:r>
              <a:rPr lang="en-US"/>
              <a:t> 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SA'!$D$21:$H$21</c:f>
              <c:numCache>
                <c:formatCode>0</c:formatCode>
                <c:ptCount val="5"/>
                <c:pt idx="0">
                  <c:v>-5092.0798609659341</c:v>
                </c:pt>
                <c:pt idx="1">
                  <c:v>1140.4153052589954</c:v>
                </c:pt>
                <c:pt idx="2">
                  <c:v>7372.9104714839232</c:v>
                </c:pt>
                <c:pt idx="3">
                  <c:v>13605.405637708845</c:v>
                </c:pt>
                <c:pt idx="4">
                  <c:v>19837.900803933782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6A-47B7-9069-161FFCE46771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SA'!$D$28:$H$28</c:f>
              <c:numCache>
                <c:formatCode>0</c:formatCode>
                <c:ptCount val="5"/>
                <c:pt idx="0">
                  <c:v>-5092.0798609659341</c:v>
                </c:pt>
                <c:pt idx="1">
                  <c:v>1140.4153052589954</c:v>
                </c:pt>
                <c:pt idx="2">
                  <c:v>7372.9104714839232</c:v>
                </c:pt>
                <c:pt idx="3">
                  <c:v>13605.405637708845</c:v>
                </c:pt>
                <c:pt idx="4">
                  <c:v>19837.900803933782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3A-4BEB-907D-03B7ED0D8239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SA'!$D$35:$H$35</c:f>
              <c:numCache>
                <c:formatCode>0</c:formatCode>
                <c:ptCount val="5"/>
                <c:pt idx="0">
                  <c:v>14597.220601139838</c:v>
                </c:pt>
                <c:pt idx="1">
                  <c:v>10985.06553631188</c:v>
                </c:pt>
                <c:pt idx="2">
                  <c:v>7372.9104714839232</c:v>
                </c:pt>
                <c:pt idx="3">
                  <c:v>3760.755406655966</c:v>
                </c:pt>
                <c:pt idx="4">
                  <c:v>148.60034182800882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86A-47B7-9069-161FFCE46771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SA'!$D$42:$H$42</c:f>
              <c:numCache>
                <c:formatCode>0</c:formatCode>
                <c:ptCount val="5"/>
                <c:pt idx="0">
                  <c:v>10889.335956000006</c:v>
                </c:pt>
                <c:pt idx="1">
                  <c:v>8940.8435664802437</c:v>
                </c:pt>
                <c:pt idx="2">
                  <c:v>7372.9104714839232</c:v>
                </c:pt>
                <c:pt idx="3">
                  <c:v>6099.8416120455904</c:v>
                </c:pt>
                <c:pt idx="4">
                  <c:v>5057.1937793220277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86A-47B7-9069-161FFCE46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1136"/>
        <c:axId val="373472312"/>
      </c:scatterChart>
      <c:valAx>
        <c:axId val="373471136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2312"/>
        <c:crosses val="autoZero"/>
        <c:crossBetween val="midCat"/>
      </c:valAx>
      <c:valAx>
        <c:axId val="373472312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1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286220777997394"/>
          <c:y val="0.71472378139021309"/>
          <c:w val="0.22242213231941191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Rotation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SA'!$D$22:$H$22</c:f>
              <c:numCache>
                <c:formatCode>0</c:formatCode>
                <c:ptCount val="5"/>
                <c:pt idx="0">
                  <c:v>-15886.316516307119</c:v>
                </c:pt>
                <c:pt idx="1">
                  <c:v>-7197.3716222013954</c:v>
                </c:pt>
                <c:pt idx="2">
                  <c:v>1491.5732719043299</c:v>
                </c:pt>
                <c:pt idx="3">
                  <c:v>10180.51816601005</c:v>
                </c:pt>
                <c:pt idx="4">
                  <c:v>18869.463060115773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63-4BFF-B9DA-99CF59EC2199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SA'!$D$29:$H$29</c:f>
              <c:numCache>
                <c:formatCode>0</c:formatCode>
                <c:ptCount val="5"/>
                <c:pt idx="0">
                  <c:v>-15886.316516307119</c:v>
                </c:pt>
                <c:pt idx="1">
                  <c:v>-7197.3716222013954</c:v>
                </c:pt>
                <c:pt idx="2">
                  <c:v>1491.5732719043299</c:v>
                </c:pt>
                <c:pt idx="3">
                  <c:v>10180.51816601005</c:v>
                </c:pt>
                <c:pt idx="4">
                  <c:v>18869.463060115773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63-4BFF-B9DA-99CF59EC2199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SA'!$D$36:$H$36</c:f>
              <c:numCache>
                <c:formatCode>0</c:formatCode>
                <c:ptCount val="5"/>
                <c:pt idx="0">
                  <c:v>19510.120056901429</c:v>
                </c:pt>
                <c:pt idx="1">
                  <c:v>10500.846664402879</c:v>
                </c:pt>
                <c:pt idx="2">
                  <c:v>1491.5732719043299</c:v>
                </c:pt>
                <c:pt idx="3">
                  <c:v>-7517.7001205942252</c:v>
                </c:pt>
                <c:pt idx="4">
                  <c:v>-16526.973513092769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63-4BFF-B9DA-99CF59EC2199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SA'!$D$43:$H$43</c:f>
              <c:numCache>
                <c:formatCode>0</c:formatCode>
                <c:ptCount val="5"/>
                <c:pt idx="0">
                  <c:v>1896.9924594285803</c:v>
                </c:pt>
                <c:pt idx="1">
                  <c:v>1672.8096558279758</c:v>
                </c:pt>
                <c:pt idx="2">
                  <c:v>1491.5732719043299</c:v>
                </c:pt>
                <c:pt idx="3">
                  <c:v>1343.6783877619473</c:v>
                </c:pt>
                <c:pt idx="4">
                  <c:v>1221.8937856004304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63-4BFF-B9DA-99CF59EC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3488"/>
        <c:axId val="478138632"/>
      </c:scatterChart>
      <c:valAx>
        <c:axId val="37347348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8632"/>
        <c:crosses val="autoZero"/>
        <c:crossBetween val="midCat"/>
      </c:valAx>
      <c:valAx>
        <c:axId val="478138632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3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SRC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SA'!$D$17:$H$17</c:f>
              <c:numCache>
                <c:formatCode>0</c:formatCode>
                <c:ptCount val="5"/>
                <c:pt idx="0">
                  <c:v>-3372.8834968746237</c:v>
                </c:pt>
                <c:pt idx="1">
                  <c:v>473.8164091804656</c:v>
                </c:pt>
                <c:pt idx="2">
                  <c:v>4320.5163152355553</c:v>
                </c:pt>
                <c:pt idx="3">
                  <c:v>8167.2162212906433</c:v>
                </c:pt>
                <c:pt idx="4">
                  <c:v>12013.916127345736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00-47B4-AA36-4CBDAB0047C5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SA'!$D$24:$H$24</c:f>
              <c:numCache>
                <c:formatCode>0</c:formatCode>
                <c:ptCount val="5"/>
                <c:pt idx="0">
                  <c:v>-3372.8834968746237</c:v>
                </c:pt>
                <c:pt idx="1">
                  <c:v>473.8164091804656</c:v>
                </c:pt>
                <c:pt idx="2">
                  <c:v>4320.5163152355553</c:v>
                </c:pt>
                <c:pt idx="3">
                  <c:v>8167.2162212906433</c:v>
                </c:pt>
                <c:pt idx="4">
                  <c:v>12013.916127345736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00-47B4-AA36-4CBDAB0047C5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SA'!$D$31:$H$31</c:f>
              <c:numCache>
                <c:formatCode>0</c:formatCode>
                <c:ptCount val="5"/>
                <c:pt idx="0">
                  <c:v>9825.6300808001597</c:v>
                </c:pt>
                <c:pt idx="1">
                  <c:v>7073.0731980178571</c:v>
                </c:pt>
                <c:pt idx="2">
                  <c:v>4320.5163152355553</c:v>
                </c:pt>
                <c:pt idx="3">
                  <c:v>1567.9594324532573</c:v>
                </c:pt>
                <c:pt idx="4">
                  <c:v>-1184.597450329049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00-47B4-AA36-4CBDAB0047C5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SA'!$D$38:$H$38</c:f>
              <c:numCache>
                <c:formatCode>0</c:formatCode>
                <c:ptCount val="5"/>
                <c:pt idx="0">
                  <c:v>6992.2648959999988</c:v>
                </c:pt>
                <c:pt idx="1">
                  <c:v>5505.2548740137954</c:v>
                </c:pt>
                <c:pt idx="2">
                  <c:v>4320.5163152355553</c:v>
                </c:pt>
                <c:pt idx="3">
                  <c:v>3367.5118301471903</c:v>
                </c:pt>
                <c:pt idx="4">
                  <c:v>2593.7719867585056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00-47B4-AA36-4CBDAB004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131968"/>
        <c:axId val="478136280"/>
      </c:scatterChart>
      <c:valAx>
        <c:axId val="47813196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6280"/>
        <c:crosses val="autoZero"/>
        <c:crossBetween val="midCat"/>
      </c:valAx>
      <c:valAx>
        <c:axId val="478136280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1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Miscanthus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SA'!$D$18:$H$18</c:f>
              <c:numCache>
                <c:formatCode>0</c:formatCode>
                <c:ptCount val="5"/>
                <c:pt idx="0">
                  <c:v>-4785.8392141021995</c:v>
                </c:pt>
                <c:pt idx="1">
                  <c:v>-91.0949242686047</c:v>
                </c:pt>
                <c:pt idx="2">
                  <c:v>4603.6493655649911</c:v>
                </c:pt>
                <c:pt idx="3">
                  <c:v>9298.3936553985877</c:v>
                </c:pt>
                <c:pt idx="4">
                  <c:v>13993.137945232185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2D-45AC-9859-EEDF3F583B5C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SA'!$D$25:$H$25</c:f>
              <c:numCache>
                <c:formatCode>0</c:formatCode>
                <c:ptCount val="5"/>
                <c:pt idx="0">
                  <c:v>-4785.8392141021995</c:v>
                </c:pt>
                <c:pt idx="1">
                  <c:v>-91.0949242686047</c:v>
                </c:pt>
                <c:pt idx="2">
                  <c:v>4603.6493655649911</c:v>
                </c:pt>
                <c:pt idx="3">
                  <c:v>9298.3936553985877</c:v>
                </c:pt>
                <c:pt idx="4">
                  <c:v>13993.137945232185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2D-45AC-9859-EEDF3F583B5C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alpha val="99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SA'!$D$32:$H$32</c:f>
              <c:numCache>
                <c:formatCode>0</c:formatCode>
                <c:ptCount val="5"/>
                <c:pt idx="0">
                  <c:v>11521.718848357172</c:v>
                </c:pt>
                <c:pt idx="1">
                  <c:v>8062.6841069610819</c:v>
                </c:pt>
                <c:pt idx="2">
                  <c:v>4603.6493655649911</c:v>
                </c:pt>
                <c:pt idx="3">
                  <c:v>1144.6146241688984</c:v>
                </c:pt>
                <c:pt idx="4">
                  <c:v>-2314.4201172271896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2D-45AC-9859-EEDF3F583B5C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SA'!$D$39:$H$39</c:f>
              <c:numCache>
                <c:formatCode>0</c:formatCode>
                <c:ptCount val="5"/>
                <c:pt idx="0">
                  <c:v>7134.5442559999919</c:v>
                </c:pt>
                <c:pt idx="1">
                  <c:v>5732.3530467219625</c:v>
                </c:pt>
                <c:pt idx="2">
                  <c:v>4603.6493655649911</c:v>
                </c:pt>
                <c:pt idx="3">
                  <c:v>3687.0349411895659</c:v>
                </c:pt>
                <c:pt idx="4">
                  <c:v>2936.2924369138564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2D-45AC-9859-EEDF3F583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133928"/>
        <c:axId val="478132752"/>
      </c:scatterChart>
      <c:valAx>
        <c:axId val="47813392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2752"/>
        <c:crosses val="autoZero"/>
        <c:crossBetween val="midCat"/>
      </c:valAx>
      <c:valAx>
        <c:axId val="478132752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3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24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20450175" y="531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50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4114800" y="4981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76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4114800" y="10372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102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4114800" y="10372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128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4114800" y="10372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</xdr:col>
      <xdr:colOff>0</xdr:colOff>
      <xdr:row>154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90678000" y="531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24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4476750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50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4476750" y="1055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60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44767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44767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44767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22</xdr:col>
      <xdr:colOff>0</xdr:colOff>
      <xdr:row>128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162550" y="3208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50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6534150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60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6534150" y="1055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60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6534150" y="1055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65341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65341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65341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F00-00005C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F00-000069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0F00-00006A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F00-00006C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F00-00006D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F00-00006E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0F00-00006F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F00-000070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0F00-000071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0F00-000072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0F00-000073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0F00-000074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0F00-000075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0F00-000076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0F00-000077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0F00-000078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0F00-000079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0F00-00007A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0F00-00007B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0F00-00007C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0F00-00007D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0F00-00007F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0F00-000080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0F00-000081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000000-0008-0000-0F00-000082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0F00-000083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0F00-000084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0F00-000085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4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5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6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7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8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39" name="TextBox 113">
          <a:extLst>
            <a:ext uri="{FF2B5EF4-FFF2-40B4-BE49-F238E27FC236}">
              <a16:creationId xmlns:a16="http://schemas.microsoft.com/office/drawing/2014/main" id="{C046C012-0F62-4D46-B38E-EC85ADAACB39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40" name="TextBox 114">
          <a:extLst>
            <a:ext uri="{FF2B5EF4-FFF2-40B4-BE49-F238E27FC236}">
              <a16:creationId xmlns:a16="http://schemas.microsoft.com/office/drawing/2014/main" id="{EC92D843-4B48-4781-8984-EE2B6D603A0B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41" name="TextBox 115">
          <a:extLst>
            <a:ext uri="{FF2B5EF4-FFF2-40B4-BE49-F238E27FC236}">
              <a16:creationId xmlns:a16="http://schemas.microsoft.com/office/drawing/2014/main" id="{7A9EEC01-3D4B-4E5A-81AF-EE5487AE712D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42" name="TextBox 116">
          <a:extLst>
            <a:ext uri="{FF2B5EF4-FFF2-40B4-BE49-F238E27FC236}">
              <a16:creationId xmlns:a16="http://schemas.microsoft.com/office/drawing/2014/main" id="{4BB84636-1174-43FF-95F2-286B7F250D0F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43" name="TextBox 117">
          <a:extLst>
            <a:ext uri="{FF2B5EF4-FFF2-40B4-BE49-F238E27FC236}">
              <a16:creationId xmlns:a16="http://schemas.microsoft.com/office/drawing/2014/main" id="{213DDB8C-B017-45FE-87FB-8E894E41DCBF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4" name="TextBox 118">
          <a:extLst>
            <a:ext uri="{FF2B5EF4-FFF2-40B4-BE49-F238E27FC236}">
              <a16:creationId xmlns:a16="http://schemas.microsoft.com/office/drawing/2014/main" id="{9C9E7025-B9E4-487B-92F7-678D8145F33C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5" name="TextBox 119">
          <a:extLst>
            <a:ext uri="{FF2B5EF4-FFF2-40B4-BE49-F238E27FC236}">
              <a16:creationId xmlns:a16="http://schemas.microsoft.com/office/drawing/2014/main" id="{6C41E04B-4C3B-4700-9EAE-15F092879E9E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6" name="TextBox 120">
          <a:extLst>
            <a:ext uri="{FF2B5EF4-FFF2-40B4-BE49-F238E27FC236}">
              <a16:creationId xmlns:a16="http://schemas.microsoft.com/office/drawing/2014/main" id="{A74C8073-FE36-468F-8F34-B8D23212A7F5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7" name="TextBox 121">
          <a:extLst>
            <a:ext uri="{FF2B5EF4-FFF2-40B4-BE49-F238E27FC236}">
              <a16:creationId xmlns:a16="http://schemas.microsoft.com/office/drawing/2014/main" id="{E1C4A199-EC00-4371-91BA-7A57538BBBCE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8" name="TextBox 122">
          <a:extLst>
            <a:ext uri="{FF2B5EF4-FFF2-40B4-BE49-F238E27FC236}">
              <a16:creationId xmlns:a16="http://schemas.microsoft.com/office/drawing/2014/main" id="{25ECAA80-6427-4872-96C3-B76DB1DFB3B8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49" name="TextBox 123">
          <a:extLst>
            <a:ext uri="{FF2B5EF4-FFF2-40B4-BE49-F238E27FC236}">
              <a16:creationId xmlns:a16="http://schemas.microsoft.com/office/drawing/2014/main" id="{5DAC8811-AA42-485A-A14F-AE8C6A601E5A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50" name="TextBox 124">
          <a:extLst>
            <a:ext uri="{FF2B5EF4-FFF2-40B4-BE49-F238E27FC236}">
              <a16:creationId xmlns:a16="http://schemas.microsoft.com/office/drawing/2014/main" id="{89491AB1-19FF-4E8C-84CD-3C01AFD6F524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51" name="TextBox 125">
          <a:extLst>
            <a:ext uri="{FF2B5EF4-FFF2-40B4-BE49-F238E27FC236}">
              <a16:creationId xmlns:a16="http://schemas.microsoft.com/office/drawing/2014/main" id="{6803EEAC-A420-4360-AA77-1FD0662703AC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52" name="TextBox 126">
          <a:extLst>
            <a:ext uri="{FF2B5EF4-FFF2-40B4-BE49-F238E27FC236}">
              <a16:creationId xmlns:a16="http://schemas.microsoft.com/office/drawing/2014/main" id="{29F9CD39-F381-4911-9D88-AE4CFED4F9D5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53" name="TextBox 127">
          <a:extLst>
            <a:ext uri="{FF2B5EF4-FFF2-40B4-BE49-F238E27FC236}">
              <a16:creationId xmlns:a16="http://schemas.microsoft.com/office/drawing/2014/main" id="{894334EC-6D5E-4083-BEB9-B44A7BB9EA63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4" name="TextBox 128">
          <a:extLst>
            <a:ext uri="{FF2B5EF4-FFF2-40B4-BE49-F238E27FC236}">
              <a16:creationId xmlns:a16="http://schemas.microsoft.com/office/drawing/2014/main" id="{27E55AC4-5D24-4C1B-B08B-00F299E5E706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5" name="TextBox 129">
          <a:extLst>
            <a:ext uri="{FF2B5EF4-FFF2-40B4-BE49-F238E27FC236}">
              <a16:creationId xmlns:a16="http://schemas.microsoft.com/office/drawing/2014/main" id="{97EA4272-0D28-47A1-A353-940D9B9E07C8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6" name="TextBox 130">
          <a:extLst>
            <a:ext uri="{FF2B5EF4-FFF2-40B4-BE49-F238E27FC236}">
              <a16:creationId xmlns:a16="http://schemas.microsoft.com/office/drawing/2014/main" id="{B02F6F1E-CF7A-41F5-8EC9-9E1879FF33B5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7" name="TextBox 131">
          <a:extLst>
            <a:ext uri="{FF2B5EF4-FFF2-40B4-BE49-F238E27FC236}">
              <a16:creationId xmlns:a16="http://schemas.microsoft.com/office/drawing/2014/main" id="{932C0408-7DC5-4E2B-83F4-EFF91F6275F0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8" name="TextBox 132">
          <a:extLst>
            <a:ext uri="{FF2B5EF4-FFF2-40B4-BE49-F238E27FC236}">
              <a16:creationId xmlns:a16="http://schemas.microsoft.com/office/drawing/2014/main" id="{AE950464-E419-48A3-A39C-851462DD0EF0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6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7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8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9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0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5" name="TextBox 113">
          <a:extLst>
            <a:ext uri="{FF2B5EF4-FFF2-40B4-BE49-F238E27FC236}">
              <a16:creationId xmlns:a16="http://schemas.microsoft.com/office/drawing/2014/main" id="{C046C012-0F62-4D46-B38E-EC85ADAACB39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6" name="TextBox 114">
          <a:extLst>
            <a:ext uri="{FF2B5EF4-FFF2-40B4-BE49-F238E27FC236}">
              <a16:creationId xmlns:a16="http://schemas.microsoft.com/office/drawing/2014/main" id="{EC92D843-4B48-4781-8984-EE2B6D603A0B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7" name="TextBox 115">
          <a:extLst>
            <a:ext uri="{FF2B5EF4-FFF2-40B4-BE49-F238E27FC236}">
              <a16:creationId xmlns:a16="http://schemas.microsoft.com/office/drawing/2014/main" id="{7A9EEC01-3D4B-4E5A-81AF-EE5487AE712D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8" name="TextBox 116">
          <a:extLst>
            <a:ext uri="{FF2B5EF4-FFF2-40B4-BE49-F238E27FC236}">
              <a16:creationId xmlns:a16="http://schemas.microsoft.com/office/drawing/2014/main" id="{4BB84636-1174-43FF-95F2-286B7F250D0F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9" name="TextBox 117">
          <a:extLst>
            <a:ext uri="{FF2B5EF4-FFF2-40B4-BE49-F238E27FC236}">
              <a16:creationId xmlns:a16="http://schemas.microsoft.com/office/drawing/2014/main" id="{213DDB8C-B017-45FE-87FB-8E894E41DCBF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0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1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2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3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4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19" name="TextBox 118">
          <a:extLst>
            <a:ext uri="{FF2B5EF4-FFF2-40B4-BE49-F238E27FC236}">
              <a16:creationId xmlns:a16="http://schemas.microsoft.com/office/drawing/2014/main" id="{9C9E7025-B9E4-487B-92F7-678D8145F33C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0" name="TextBox 119">
          <a:extLst>
            <a:ext uri="{FF2B5EF4-FFF2-40B4-BE49-F238E27FC236}">
              <a16:creationId xmlns:a16="http://schemas.microsoft.com/office/drawing/2014/main" id="{6C41E04B-4C3B-4700-9EAE-15F092879E9E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1" name="TextBox 120">
          <a:extLst>
            <a:ext uri="{FF2B5EF4-FFF2-40B4-BE49-F238E27FC236}">
              <a16:creationId xmlns:a16="http://schemas.microsoft.com/office/drawing/2014/main" id="{A74C8073-FE36-468F-8F34-B8D23212A7F5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2" name="TextBox 121">
          <a:extLst>
            <a:ext uri="{FF2B5EF4-FFF2-40B4-BE49-F238E27FC236}">
              <a16:creationId xmlns:a16="http://schemas.microsoft.com/office/drawing/2014/main" id="{E1C4A199-EC00-4371-91BA-7A57538BBBCE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3" name="TextBox 122">
          <a:extLst>
            <a:ext uri="{FF2B5EF4-FFF2-40B4-BE49-F238E27FC236}">
              <a16:creationId xmlns:a16="http://schemas.microsoft.com/office/drawing/2014/main" id="{25ECAA80-6427-4872-96C3-B76DB1DFB3B8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4" name="TextBox 113">
          <a:extLst>
            <a:ext uri="{FF2B5EF4-FFF2-40B4-BE49-F238E27FC236}">
              <a16:creationId xmlns:a16="http://schemas.microsoft.com/office/drawing/2014/main" id="{C046C012-0F62-4D46-B38E-EC85ADAACB39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5" name="TextBox 114">
          <a:extLst>
            <a:ext uri="{FF2B5EF4-FFF2-40B4-BE49-F238E27FC236}">
              <a16:creationId xmlns:a16="http://schemas.microsoft.com/office/drawing/2014/main" id="{EC92D843-4B48-4781-8984-EE2B6D603A0B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6" name="TextBox 115">
          <a:extLst>
            <a:ext uri="{FF2B5EF4-FFF2-40B4-BE49-F238E27FC236}">
              <a16:creationId xmlns:a16="http://schemas.microsoft.com/office/drawing/2014/main" id="{7A9EEC01-3D4B-4E5A-81AF-EE5487AE712D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7" name="TextBox 116">
          <a:extLst>
            <a:ext uri="{FF2B5EF4-FFF2-40B4-BE49-F238E27FC236}">
              <a16:creationId xmlns:a16="http://schemas.microsoft.com/office/drawing/2014/main" id="{4BB84636-1174-43FF-95F2-286B7F250D0F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8" name="TextBox 117">
          <a:extLst>
            <a:ext uri="{FF2B5EF4-FFF2-40B4-BE49-F238E27FC236}">
              <a16:creationId xmlns:a16="http://schemas.microsoft.com/office/drawing/2014/main" id="{213DDB8C-B017-45FE-87FB-8E894E41DCBF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9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30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31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32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33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38" name="TextBox 123">
          <a:extLst>
            <a:ext uri="{FF2B5EF4-FFF2-40B4-BE49-F238E27FC236}">
              <a16:creationId xmlns:a16="http://schemas.microsoft.com/office/drawing/2014/main" id="{5DAC8811-AA42-485A-A14F-AE8C6A601E5A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39" name="TextBox 124">
          <a:extLst>
            <a:ext uri="{FF2B5EF4-FFF2-40B4-BE49-F238E27FC236}">
              <a16:creationId xmlns:a16="http://schemas.microsoft.com/office/drawing/2014/main" id="{89491AB1-19FF-4E8C-84CD-3C01AFD6F524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0" name="TextBox 125">
          <a:extLst>
            <a:ext uri="{FF2B5EF4-FFF2-40B4-BE49-F238E27FC236}">
              <a16:creationId xmlns:a16="http://schemas.microsoft.com/office/drawing/2014/main" id="{6803EEAC-A420-4360-AA77-1FD0662703AC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1" name="TextBox 126">
          <a:extLst>
            <a:ext uri="{FF2B5EF4-FFF2-40B4-BE49-F238E27FC236}">
              <a16:creationId xmlns:a16="http://schemas.microsoft.com/office/drawing/2014/main" id="{29F9CD39-F381-4911-9D88-AE4CFED4F9D5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2" name="TextBox 127">
          <a:extLst>
            <a:ext uri="{FF2B5EF4-FFF2-40B4-BE49-F238E27FC236}">
              <a16:creationId xmlns:a16="http://schemas.microsoft.com/office/drawing/2014/main" id="{894334EC-6D5E-4083-BEB9-B44A7BB9EA63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3" name="TextBox 118">
          <a:extLst>
            <a:ext uri="{FF2B5EF4-FFF2-40B4-BE49-F238E27FC236}">
              <a16:creationId xmlns:a16="http://schemas.microsoft.com/office/drawing/2014/main" id="{9C9E7025-B9E4-487B-92F7-678D8145F33C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4" name="TextBox 119">
          <a:extLst>
            <a:ext uri="{FF2B5EF4-FFF2-40B4-BE49-F238E27FC236}">
              <a16:creationId xmlns:a16="http://schemas.microsoft.com/office/drawing/2014/main" id="{6C41E04B-4C3B-4700-9EAE-15F092879E9E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5" name="TextBox 120">
          <a:extLst>
            <a:ext uri="{FF2B5EF4-FFF2-40B4-BE49-F238E27FC236}">
              <a16:creationId xmlns:a16="http://schemas.microsoft.com/office/drawing/2014/main" id="{A74C8073-FE36-468F-8F34-B8D23212A7F5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6" name="TextBox 121">
          <a:extLst>
            <a:ext uri="{FF2B5EF4-FFF2-40B4-BE49-F238E27FC236}">
              <a16:creationId xmlns:a16="http://schemas.microsoft.com/office/drawing/2014/main" id="{E1C4A199-EC00-4371-91BA-7A57538BBBCE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7" name="TextBox 122">
          <a:extLst>
            <a:ext uri="{FF2B5EF4-FFF2-40B4-BE49-F238E27FC236}">
              <a16:creationId xmlns:a16="http://schemas.microsoft.com/office/drawing/2014/main" id="{25ECAA80-6427-4872-96C3-B76DB1DFB3B8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8" name="TextBox 113">
          <a:extLst>
            <a:ext uri="{FF2B5EF4-FFF2-40B4-BE49-F238E27FC236}">
              <a16:creationId xmlns:a16="http://schemas.microsoft.com/office/drawing/2014/main" id="{C046C012-0F62-4D46-B38E-EC85ADAACB39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9" name="TextBox 114">
          <a:extLst>
            <a:ext uri="{FF2B5EF4-FFF2-40B4-BE49-F238E27FC236}">
              <a16:creationId xmlns:a16="http://schemas.microsoft.com/office/drawing/2014/main" id="{EC92D843-4B48-4781-8984-EE2B6D603A0B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0" name="TextBox 115">
          <a:extLst>
            <a:ext uri="{FF2B5EF4-FFF2-40B4-BE49-F238E27FC236}">
              <a16:creationId xmlns:a16="http://schemas.microsoft.com/office/drawing/2014/main" id="{7A9EEC01-3D4B-4E5A-81AF-EE5487AE712D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1" name="TextBox 116">
          <a:extLst>
            <a:ext uri="{FF2B5EF4-FFF2-40B4-BE49-F238E27FC236}">
              <a16:creationId xmlns:a16="http://schemas.microsoft.com/office/drawing/2014/main" id="{4BB84636-1174-43FF-95F2-286B7F250D0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2" name="TextBox 117">
          <a:extLst>
            <a:ext uri="{FF2B5EF4-FFF2-40B4-BE49-F238E27FC236}">
              <a16:creationId xmlns:a16="http://schemas.microsoft.com/office/drawing/2014/main" id="{213DDB8C-B017-45FE-87FB-8E894E41DCB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3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4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5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6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7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000-00003F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000-000040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000-000041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000-000042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000-000043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000-000044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000-000045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1000-000046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1000-000060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1000-000061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1000-000062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1000-00006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1000-000064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1000-000065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1000-000066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1000-000067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1000-00006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1000-00006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1000-00006A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1000-00006B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1000-00006C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1000-00006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1000-00006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1000-00006F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1000-000070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1000-000071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1000-00007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1000-00007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1000-000074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1000-000075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1000-000076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1000-000077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1000-000078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1000-000079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1000-00007A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1000-00007B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1000-00007C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1000-00007D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1000-00007E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1000-00007F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1000-000080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1000-000081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000000-0008-0000-1000-000082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1000-000083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1000-000084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1000-000085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0000000-0008-0000-1000-000086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0000000-0008-0000-1000-000087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0000000-0008-0000-1000-000088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0000000-0008-0000-1000-000089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0000000-0008-0000-1000-00008A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0000000-0008-0000-1000-00008B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00000000-0008-0000-1000-00008C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00000000-0008-0000-1000-00008D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1000-00008E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1000-00008F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1000-000090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1000-000091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46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47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48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49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50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1" name="TextBox 125">
          <a:extLst>
            <a:ext uri="{FF2B5EF4-FFF2-40B4-BE49-F238E27FC236}">
              <a16:creationId xmlns:a16="http://schemas.microsoft.com/office/drawing/2014/main" id="{13C69C0A-D660-4AC2-93AA-EE2664AD5EEE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2" name="TextBox 126">
          <a:extLst>
            <a:ext uri="{FF2B5EF4-FFF2-40B4-BE49-F238E27FC236}">
              <a16:creationId xmlns:a16="http://schemas.microsoft.com/office/drawing/2014/main" id="{656FCA43-7356-4988-A671-BDE6437DA13F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3" name="TextBox 127">
          <a:extLst>
            <a:ext uri="{FF2B5EF4-FFF2-40B4-BE49-F238E27FC236}">
              <a16:creationId xmlns:a16="http://schemas.microsoft.com/office/drawing/2014/main" id="{A47750D6-D4D5-4FA9-908C-2411160D8DAD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4" name="TextBox 128">
          <a:extLst>
            <a:ext uri="{FF2B5EF4-FFF2-40B4-BE49-F238E27FC236}">
              <a16:creationId xmlns:a16="http://schemas.microsoft.com/office/drawing/2014/main" id="{19610887-8C68-46F4-953C-FF5B2E49F3B4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5" name="TextBox 129">
          <a:extLst>
            <a:ext uri="{FF2B5EF4-FFF2-40B4-BE49-F238E27FC236}">
              <a16:creationId xmlns:a16="http://schemas.microsoft.com/office/drawing/2014/main" id="{0BDD9137-10FD-4E59-A8B4-BA0B79EC3C9C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56" name="TextBox 130">
          <a:extLst>
            <a:ext uri="{FF2B5EF4-FFF2-40B4-BE49-F238E27FC236}">
              <a16:creationId xmlns:a16="http://schemas.microsoft.com/office/drawing/2014/main" id="{982E05EE-9B1A-4A24-9426-6242AD7F2B1B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57" name="TextBox 131">
          <a:extLst>
            <a:ext uri="{FF2B5EF4-FFF2-40B4-BE49-F238E27FC236}">
              <a16:creationId xmlns:a16="http://schemas.microsoft.com/office/drawing/2014/main" id="{86C3D6FC-5EBC-4FB0-8929-36DB9568162E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58" name="TextBox 132">
          <a:extLst>
            <a:ext uri="{FF2B5EF4-FFF2-40B4-BE49-F238E27FC236}">
              <a16:creationId xmlns:a16="http://schemas.microsoft.com/office/drawing/2014/main" id="{CBDC54B6-6028-47AE-8528-D5BB0D017716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59" name="TextBox 133">
          <a:extLst>
            <a:ext uri="{FF2B5EF4-FFF2-40B4-BE49-F238E27FC236}">
              <a16:creationId xmlns:a16="http://schemas.microsoft.com/office/drawing/2014/main" id="{7A3C16E7-265B-4D0A-8AC4-8CC3DABE112B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60" name="TextBox 134">
          <a:extLst>
            <a:ext uri="{FF2B5EF4-FFF2-40B4-BE49-F238E27FC236}">
              <a16:creationId xmlns:a16="http://schemas.microsoft.com/office/drawing/2014/main" id="{83E04FE2-C6AE-4FC7-BE8F-6B41A2EF17DB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1" name="TextBox 135">
          <a:extLst>
            <a:ext uri="{FF2B5EF4-FFF2-40B4-BE49-F238E27FC236}">
              <a16:creationId xmlns:a16="http://schemas.microsoft.com/office/drawing/2014/main" id="{917AE795-5EA5-43CE-9E1C-F0318C43C5E4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2" name="TextBox 136">
          <a:extLst>
            <a:ext uri="{FF2B5EF4-FFF2-40B4-BE49-F238E27FC236}">
              <a16:creationId xmlns:a16="http://schemas.microsoft.com/office/drawing/2014/main" id="{1DD727B2-E02A-40BF-B5C2-224CEB54EE14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3" name="TextBox 137">
          <a:extLst>
            <a:ext uri="{FF2B5EF4-FFF2-40B4-BE49-F238E27FC236}">
              <a16:creationId xmlns:a16="http://schemas.microsoft.com/office/drawing/2014/main" id="{75AFB9BE-0E1A-41F3-AF34-F3F2DDEF86AF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4" name="TextBox 138">
          <a:extLst>
            <a:ext uri="{FF2B5EF4-FFF2-40B4-BE49-F238E27FC236}">
              <a16:creationId xmlns:a16="http://schemas.microsoft.com/office/drawing/2014/main" id="{ACCA4278-460E-47D7-A313-87CEBBD3F3A2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5" name="TextBox 139">
          <a:extLst>
            <a:ext uri="{FF2B5EF4-FFF2-40B4-BE49-F238E27FC236}">
              <a16:creationId xmlns:a16="http://schemas.microsoft.com/office/drawing/2014/main" id="{A5BC2133-52B1-43C0-ACD1-22C60A179E6E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66" name="TextBox 140">
          <a:extLst>
            <a:ext uri="{FF2B5EF4-FFF2-40B4-BE49-F238E27FC236}">
              <a16:creationId xmlns:a16="http://schemas.microsoft.com/office/drawing/2014/main" id="{697F6297-C299-43F0-8454-825714B4ECAD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67" name="TextBox 141">
          <a:extLst>
            <a:ext uri="{FF2B5EF4-FFF2-40B4-BE49-F238E27FC236}">
              <a16:creationId xmlns:a16="http://schemas.microsoft.com/office/drawing/2014/main" id="{234B0DF9-4867-424D-BD31-940C46F9E1B8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68" name="TextBox 142">
          <a:extLst>
            <a:ext uri="{FF2B5EF4-FFF2-40B4-BE49-F238E27FC236}">
              <a16:creationId xmlns:a16="http://schemas.microsoft.com/office/drawing/2014/main" id="{7AF1B0D9-D9E6-4ABD-AAD9-0E53DDD36111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69" name="TextBox 143">
          <a:extLst>
            <a:ext uri="{FF2B5EF4-FFF2-40B4-BE49-F238E27FC236}">
              <a16:creationId xmlns:a16="http://schemas.microsoft.com/office/drawing/2014/main" id="{6798D132-342B-4805-A592-B42D344F6D2C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70" name="TextBox 144">
          <a:extLst>
            <a:ext uri="{FF2B5EF4-FFF2-40B4-BE49-F238E27FC236}">
              <a16:creationId xmlns:a16="http://schemas.microsoft.com/office/drawing/2014/main" id="{827D64E8-C4E4-4D4B-B88A-FA954AFE1EAC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27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28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29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30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31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6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7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8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9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0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1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2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3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4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5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0" name="TextBox 125">
          <a:extLst>
            <a:ext uri="{FF2B5EF4-FFF2-40B4-BE49-F238E27FC236}">
              <a16:creationId xmlns:a16="http://schemas.microsoft.com/office/drawing/2014/main" id="{13C69C0A-D660-4AC2-93AA-EE2664AD5EEE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1" name="TextBox 126">
          <a:extLst>
            <a:ext uri="{FF2B5EF4-FFF2-40B4-BE49-F238E27FC236}">
              <a16:creationId xmlns:a16="http://schemas.microsoft.com/office/drawing/2014/main" id="{656FCA43-7356-4988-A671-BDE6437DA13F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2" name="TextBox 127">
          <a:extLst>
            <a:ext uri="{FF2B5EF4-FFF2-40B4-BE49-F238E27FC236}">
              <a16:creationId xmlns:a16="http://schemas.microsoft.com/office/drawing/2014/main" id="{A47750D6-D4D5-4FA9-908C-2411160D8DAD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3" name="TextBox 128">
          <a:extLst>
            <a:ext uri="{FF2B5EF4-FFF2-40B4-BE49-F238E27FC236}">
              <a16:creationId xmlns:a16="http://schemas.microsoft.com/office/drawing/2014/main" id="{19610887-8C68-46F4-953C-FF5B2E49F3B4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4" name="TextBox 129">
          <a:extLst>
            <a:ext uri="{FF2B5EF4-FFF2-40B4-BE49-F238E27FC236}">
              <a16:creationId xmlns:a16="http://schemas.microsoft.com/office/drawing/2014/main" id="{0BDD9137-10FD-4E59-A8B4-BA0B79EC3C9C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5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6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7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8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9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0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1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2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3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4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9" name="TextBox 130">
          <a:extLst>
            <a:ext uri="{FF2B5EF4-FFF2-40B4-BE49-F238E27FC236}">
              <a16:creationId xmlns:a16="http://schemas.microsoft.com/office/drawing/2014/main" id="{982E05EE-9B1A-4A24-9426-6242AD7F2B1B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0" name="TextBox 131">
          <a:extLst>
            <a:ext uri="{FF2B5EF4-FFF2-40B4-BE49-F238E27FC236}">
              <a16:creationId xmlns:a16="http://schemas.microsoft.com/office/drawing/2014/main" id="{86C3D6FC-5EBC-4FB0-8929-36DB9568162E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1" name="TextBox 132">
          <a:extLst>
            <a:ext uri="{FF2B5EF4-FFF2-40B4-BE49-F238E27FC236}">
              <a16:creationId xmlns:a16="http://schemas.microsoft.com/office/drawing/2014/main" id="{CBDC54B6-6028-47AE-8528-D5BB0D017716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2" name="TextBox 133">
          <a:extLst>
            <a:ext uri="{FF2B5EF4-FFF2-40B4-BE49-F238E27FC236}">
              <a16:creationId xmlns:a16="http://schemas.microsoft.com/office/drawing/2014/main" id="{7A3C16E7-265B-4D0A-8AC4-8CC3DABE112B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3" name="TextBox 134">
          <a:extLst>
            <a:ext uri="{FF2B5EF4-FFF2-40B4-BE49-F238E27FC236}">
              <a16:creationId xmlns:a16="http://schemas.microsoft.com/office/drawing/2014/main" id="{83E04FE2-C6AE-4FC7-BE8F-6B41A2EF17DB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4" name="TextBox 125">
          <a:extLst>
            <a:ext uri="{FF2B5EF4-FFF2-40B4-BE49-F238E27FC236}">
              <a16:creationId xmlns:a16="http://schemas.microsoft.com/office/drawing/2014/main" id="{13C69C0A-D660-4AC2-93AA-EE2664AD5EEE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5" name="TextBox 126">
          <a:extLst>
            <a:ext uri="{FF2B5EF4-FFF2-40B4-BE49-F238E27FC236}">
              <a16:creationId xmlns:a16="http://schemas.microsoft.com/office/drawing/2014/main" id="{656FCA43-7356-4988-A671-BDE6437DA13F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6" name="TextBox 127">
          <a:extLst>
            <a:ext uri="{FF2B5EF4-FFF2-40B4-BE49-F238E27FC236}">
              <a16:creationId xmlns:a16="http://schemas.microsoft.com/office/drawing/2014/main" id="{A47750D6-D4D5-4FA9-908C-2411160D8DAD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7" name="TextBox 128">
          <a:extLst>
            <a:ext uri="{FF2B5EF4-FFF2-40B4-BE49-F238E27FC236}">
              <a16:creationId xmlns:a16="http://schemas.microsoft.com/office/drawing/2014/main" id="{19610887-8C68-46F4-953C-FF5B2E49F3B4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8" name="TextBox 129">
          <a:extLst>
            <a:ext uri="{FF2B5EF4-FFF2-40B4-BE49-F238E27FC236}">
              <a16:creationId xmlns:a16="http://schemas.microsoft.com/office/drawing/2014/main" id="{0BDD9137-10FD-4E59-A8B4-BA0B79EC3C9C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9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0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1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2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3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4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5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6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7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8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3" name="TextBox 135">
          <a:extLst>
            <a:ext uri="{FF2B5EF4-FFF2-40B4-BE49-F238E27FC236}">
              <a16:creationId xmlns:a16="http://schemas.microsoft.com/office/drawing/2014/main" id="{917AE795-5EA5-43CE-9E1C-F0318C43C5E4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4" name="TextBox 136">
          <a:extLst>
            <a:ext uri="{FF2B5EF4-FFF2-40B4-BE49-F238E27FC236}">
              <a16:creationId xmlns:a16="http://schemas.microsoft.com/office/drawing/2014/main" id="{1DD727B2-E02A-40BF-B5C2-224CEB54EE14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5" name="TextBox 137">
          <a:extLst>
            <a:ext uri="{FF2B5EF4-FFF2-40B4-BE49-F238E27FC236}">
              <a16:creationId xmlns:a16="http://schemas.microsoft.com/office/drawing/2014/main" id="{75AFB9BE-0E1A-41F3-AF34-F3F2DDEF86A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6" name="TextBox 138">
          <a:extLst>
            <a:ext uri="{FF2B5EF4-FFF2-40B4-BE49-F238E27FC236}">
              <a16:creationId xmlns:a16="http://schemas.microsoft.com/office/drawing/2014/main" id="{ACCA4278-460E-47D7-A313-87CEBBD3F3A2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7" name="TextBox 139">
          <a:extLst>
            <a:ext uri="{FF2B5EF4-FFF2-40B4-BE49-F238E27FC236}">
              <a16:creationId xmlns:a16="http://schemas.microsoft.com/office/drawing/2014/main" id="{A5BC2133-52B1-43C0-ACD1-22C60A179E6E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8" name="TextBox 130">
          <a:extLst>
            <a:ext uri="{FF2B5EF4-FFF2-40B4-BE49-F238E27FC236}">
              <a16:creationId xmlns:a16="http://schemas.microsoft.com/office/drawing/2014/main" id="{982E05EE-9B1A-4A24-9426-6242AD7F2B1B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9" name="TextBox 131">
          <a:extLst>
            <a:ext uri="{FF2B5EF4-FFF2-40B4-BE49-F238E27FC236}">
              <a16:creationId xmlns:a16="http://schemas.microsoft.com/office/drawing/2014/main" id="{86C3D6FC-5EBC-4FB0-8929-36DB9568162E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0" name="TextBox 132">
          <a:extLst>
            <a:ext uri="{FF2B5EF4-FFF2-40B4-BE49-F238E27FC236}">
              <a16:creationId xmlns:a16="http://schemas.microsoft.com/office/drawing/2014/main" id="{CBDC54B6-6028-47AE-8528-D5BB0D017716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1" name="TextBox 133">
          <a:extLst>
            <a:ext uri="{FF2B5EF4-FFF2-40B4-BE49-F238E27FC236}">
              <a16:creationId xmlns:a16="http://schemas.microsoft.com/office/drawing/2014/main" id="{7A3C16E7-265B-4D0A-8AC4-8CC3DABE112B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2" name="TextBox 134">
          <a:extLst>
            <a:ext uri="{FF2B5EF4-FFF2-40B4-BE49-F238E27FC236}">
              <a16:creationId xmlns:a16="http://schemas.microsoft.com/office/drawing/2014/main" id="{83E04FE2-C6AE-4FC7-BE8F-6B41A2EF17DB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3" name="TextBox 125">
          <a:extLst>
            <a:ext uri="{FF2B5EF4-FFF2-40B4-BE49-F238E27FC236}">
              <a16:creationId xmlns:a16="http://schemas.microsoft.com/office/drawing/2014/main" id="{13C69C0A-D660-4AC2-93AA-EE2664AD5EEE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4" name="TextBox 126">
          <a:extLst>
            <a:ext uri="{FF2B5EF4-FFF2-40B4-BE49-F238E27FC236}">
              <a16:creationId xmlns:a16="http://schemas.microsoft.com/office/drawing/2014/main" id="{656FCA43-7356-4988-A671-BDE6437DA13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5" name="TextBox 127">
          <a:extLst>
            <a:ext uri="{FF2B5EF4-FFF2-40B4-BE49-F238E27FC236}">
              <a16:creationId xmlns:a16="http://schemas.microsoft.com/office/drawing/2014/main" id="{A47750D6-D4D5-4FA9-908C-2411160D8DAD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6" name="TextBox 128">
          <a:extLst>
            <a:ext uri="{FF2B5EF4-FFF2-40B4-BE49-F238E27FC236}">
              <a16:creationId xmlns:a16="http://schemas.microsoft.com/office/drawing/2014/main" id="{19610887-8C68-46F4-953C-FF5B2E49F3B4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7" name="TextBox 129">
          <a:extLst>
            <a:ext uri="{FF2B5EF4-FFF2-40B4-BE49-F238E27FC236}">
              <a16:creationId xmlns:a16="http://schemas.microsoft.com/office/drawing/2014/main" id="{0BDD9137-10FD-4E59-A8B4-BA0B79EC3C9C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8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9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0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1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2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3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4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5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6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7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100-00003B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100-00003C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100-00003D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100-00003F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100-000040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100-000041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100-000042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100-00004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100-000044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100-000045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1100-000046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1100-00004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1100-00004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1100-00004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1100-00004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1100-00004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1100-00004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1100-00004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1100-00004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1100-00004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1100-00005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1100-00005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1100-00005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1100-00005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1100-00005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1100-00005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1100-00005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1100-000057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1100-000058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1100-000059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1100-00005A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1100-00005B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1100-00005C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1100-00005D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1100-00005E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1100-00005F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1100-000060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1100-000061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1100-000062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1100-000063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1100-000064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1100-000065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1100-000066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1100-000067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1100-000068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1100-000069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1100-00006A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1100-00006B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1100-00006C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1100-00006D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1100-00006E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1100-00006F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1100-000070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1100-000071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1100-000072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1100-000073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1100-000074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7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8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9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0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1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2" name="TextBox 96">
          <a:extLst>
            <a:ext uri="{FF2B5EF4-FFF2-40B4-BE49-F238E27FC236}">
              <a16:creationId xmlns:a16="http://schemas.microsoft.com/office/drawing/2014/main" id="{00E2193A-0DC1-4646-8915-DC09DB8C9DD4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3" name="TextBox 97">
          <a:extLst>
            <a:ext uri="{FF2B5EF4-FFF2-40B4-BE49-F238E27FC236}">
              <a16:creationId xmlns:a16="http://schemas.microsoft.com/office/drawing/2014/main" id="{87B24255-F8C1-45CA-BF4E-AC782B1B7038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4" name="TextBox 98">
          <a:extLst>
            <a:ext uri="{FF2B5EF4-FFF2-40B4-BE49-F238E27FC236}">
              <a16:creationId xmlns:a16="http://schemas.microsoft.com/office/drawing/2014/main" id="{F765D0CE-B72C-4B2A-82D2-09D42E89EEA7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5" name="TextBox 99">
          <a:extLst>
            <a:ext uri="{FF2B5EF4-FFF2-40B4-BE49-F238E27FC236}">
              <a16:creationId xmlns:a16="http://schemas.microsoft.com/office/drawing/2014/main" id="{D7F9A973-73D0-47B6-ABF0-703117B44809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6" name="TextBox 100">
          <a:extLst>
            <a:ext uri="{FF2B5EF4-FFF2-40B4-BE49-F238E27FC236}">
              <a16:creationId xmlns:a16="http://schemas.microsoft.com/office/drawing/2014/main" id="{453CCD33-800D-4A0D-85E8-61C6E8FA3E9B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7" name="TextBox 101">
          <a:extLst>
            <a:ext uri="{FF2B5EF4-FFF2-40B4-BE49-F238E27FC236}">
              <a16:creationId xmlns:a16="http://schemas.microsoft.com/office/drawing/2014/main" id="{D3621B4D-EF95-4F37-97D5-A149AF4C92A6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8" name="TextBox 102">
          <a:extLst>
            <a:ext uri="{FF2B5EF4-FFF2-40B4-BE49-F238E27FC236}">
              <a16:creationId xmlns:a16="http://schemas.microsoft.com/office/drawing/2014/main" id="{FBF9EB8A-F1A3-454F-B1AE-EBD7BD58E6D9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9" name="TextBox 103">
          <a:extLst>
            <a:ext uri="{FF2B5EF4-FFF2-40B4-BE49-F238E27FC236}">
              <a16:creationId xmlns:a16="http://schemas.microsoft.com/office/drawing/2014/main" id="{7638EA05-2399-432E-B3FF-F55BEF8FDF14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30" name="TextBox 104">
          <a:extLst>
            <a:ext uri="{FF2B5EF4-FFF2-40B4-BE49-F238E27FC236}">
              <a16:creationId xmlns:a16="http://schemas.microsoft.com/office/drawing/2014/main" id="{51A6CE60-D45B-439B-BBD8-CCFF47501B82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31" name="TextBox 105">
          <a:extLst>
            <a:ext uri="{FF2B5EF4-FFF2-40B4-BE49-F238E27FC236}">
              <a16:creationId xmlns:a16="http://schemas.microsoft.com/office/drawing/2014/main" id="{3150E7F6-FE2B-4C8D-94BD-898A55ADC2CA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2" name="TextBox 106">
          <a:extLst>
            <a:ext uri="{FF2B5EF4-FFF2-40B4-BE49-F238E27FC236}">
              <a16:creationId xmlns:a16="http://schemas.microsoft.com/office/drawing/2014/main" id="{1E5ED1DD-25FE-439F-B1D3-2892DB5F1DFB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3" name="TextBox 107">
          <a:extLst>
            <a:ext uri="{FF2B5EF4-FFF2-40B4-BE49-F238E27FC236}">
              <a16:creationId xmlns:a16="http://schemas.microsoft.com/office/drawing/2014/main" id="{42C4A165-E850-4681-B950-FB51F1629523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4" name="TextBox 108">
          <a:extLst>
            <a:ext uri="{FF2B5EF4-FFF2-40B4-BE49-F238E27FC236}">
              <a16:creationId xmlns:a16="http://schemas.microsoft.com/office/drawing/2014/main" id="{395EB09D-D1B1-429A-AD74-8C0CEEDF1C72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5" name="TextBox 109">
          <a:extLst>
            <a:ext uri="{FF2B5EF4-FFF2-40B4-BE49-F238E27FC236}">
              <a16:creationId xmlns:a16="http://schemas.microsoft.com/office/drawing/2014/main" id="{933BD4E1-ABEF-4ED4-B1B8-2BB24722FBF4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6" name="TextBox 110">
          <a:extLst>
            <a:ext uri="{FF2B5EF4-FFF2-40B4-BE49-F238E27FC236}">
              <a16:creationId xmlns:a16="http://schemas.microsoft.com/office/drawing/2014/main" id="{2526DDAC-A37B-4DE7-A1A4-8E854A2B6351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7" name="TextBox 111">
          <a:extLst>
            <a:ext uri="{FF2B5EF4-FFF2-40B4-BE49-F238E27FC236}">
              <a16:creationId xmlns:a16="http://schemas.microsoft.com/office/drawing/2014/main" id="{032F93CC-588D-482A-B925-3430F5B51C59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8" name="TextBox 112">
          <a:extLst>
            <a:ext uri="{FF2B5EF4-FFF2-40B4-BE49-F238E27FC236}">
              <a16:creationId xmlns:a16="http://schemas.microsoft.com/office/drawing/2014/main" id="{DFBF251F-C043-4F1F-97C3-D77E41AA7A37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9" name="TextBox 113">
          <a:extLst>
            <a:ext uri="{FF2B5EF4-FFF2-40B4-BE49-F238E27FC236}">
              <a16:creationId xmlns:a16="http://schemas.microsoft.com/office/drawing/2014/main" id="{7AD0683A-6174-419E-8C72-ED7A319A5D22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40" name="TextBox 114">
          <a:extLst>
            <a:ext uri="{FF2B5EF4-FFF2-40B4-BE49-F238E27FC236}">
              <a16:creationId xmlns:a16="http://schemas.microsoft.com/office/drawing/2014/main" id="{0CB847F1-9367-4E5A-9485-3C6CAF3B3909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41" name="TextBox 115">
          <a:extLst>
            <a:ext uri="{FF2B5EF4-FFF2-40B4-BE49-F238E27FC236}">
              <a16:creationId xmlns:a16="http://schemas.microsoft.com/office/drawing/2014/main" id="{4CE66A6B-8009-46D6-9D26-0F449F361DA9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1100-00003B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1100-00003C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1100-00003D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0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1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2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3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4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5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6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7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8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9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4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5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6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7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8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9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0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1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2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3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4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5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6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7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8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3" name="TextBox 96">
          <a:extLst>
            <a:ext uri="{FF2B5EF4-FFF2-40B4-BE49-F238E27FC236}">
              <a16:creationId xmlns:a16="http://schemas.microsoft.com/office/drawing/2014/main" id="{00E2193A-0DC1-4646-8915-DC09DB8C9DD4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4" name="TextBox 97">
          <a:extLst>
            <a:ext uri="{FF2B5EF4-FFF2-40B4-BE49-F238E27FC236}">
              <a16:creationId xmlns:a16="http://schemas.microsoft.com/office/drawing/2014/main" id="{87B24255-F8C1-45CA-BF4E-AC782B1B7038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5" name="TextBox 98">
          <a:extLst>
            <a:ext uri="{FF2B5EF4-FFF2-40B4-BE49-F238E27FC236}">
              <a16:creationId xmlns:a16="http://schemas.microsoft.com/office/drawing/2014/main" id="{F765D0CE-B72C-4B2A-82D2-09D42E89EEA7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6" name="TextBox 99">
          <a:extLst>
            <a:ext uri="{FF2B5EF4-FFF2-40B4-BE49-F238E27FC236}">
              <a16:creationId xmlns:a16="http://schemas.microsoft.com/office/drawing/2014/main" id="{D7F9A973-73D0-47B6-ABF0-703117B44809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7" name="TextBox 100">
          <a:extLst>
            <a:ext uri="{FF2B5EF4-FFF2-40B4-BE49-F238E27FC236}">
              <a16:creationId xmlns:a16="http://schemas.microsoft.com/office/drawing/2014/main" id="{453CCD33-800D-4A0D-85E8-61C6E8FA3E9B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8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9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0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1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2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3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4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5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6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7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8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9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0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1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2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7" name="TextBox 101">
          <a:extLst>
            <a:ext uri="{FF2B5EF4-FFF2-40B4-BE49-F238E27FC236}">
              <a16:creationId xmlns:a16="http://schemas.microsoft.com/office/drawing/2014/main" id="{D3621B4D-EF95-4F37-97D5-A149AF4C92A6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8" name="TextBox 102">
          <a:extLst>
            <a:ext uri="{FF2B5EF4-FFF2-40B4-BE49-F238E27FC236}">
              <a16:creationId xmlns:a16="http://schemas.microsoft.com/office/drawing/2014/main" id="{FBF9EB8A-F1A3-454F-B1AE-EBD7BD58E6D9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9" name="TextBox 103">
          <a:extLst>
            <a:ext uri="{FF2B5EF4-FFF2-40B4-BE49-F238E27FC236}">
              <a16:creationId xmlns:a16="http://schemas.microsoft.com/office/drawing/2014/main" id="{7638EA05-2399-432E-B3FF-F55BEF8FDF14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0" name="TextBox 104">
          <a:extLst>
            <a:ext uri="{FF2B5EF4-FFF2-40B4-BE49-F238E27FC236}">
              <a16:creationId xmlns:a16="http://schemas.microsoft.com/office/drawing/2014/main" id="{51A6CE60-D45B-439B-BBD8-CCFF47501B82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1" name="TextBox 105">
          <a:extLst>
            <a:ext uri="{FF2B5EF4-FFF2-40B4-BE49-F238E27FC236}">
              <a16:creationId xmlns:a16="http://schemas.microsoft.com/office/drawing/2014/main" id="{3150E7F6-FE2B-4C8D-94BD-898A55ADC2CA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2" name="TextBox 96">
          <a:extLst>
            <a:ext uri="{FF2B5EF4-FFF2-40B4-BE49-F238E27FC236}">
              <a16:creationId xmlns:a16="http://schemas.microsoft.com/office/drawing/2014/main" id="{00E2193A-0DC1-4646-8915-DC09DB8C9DD4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3" name="TextBox 97">
          <a:extLst>
            <a:ext uri="{FF2B5EF4-FFF2-40B4-BE49-F238E27FC236}">
              <a16:creationId xmlns:a16="http://schemas.microsoft.com/office/drawing/2014/main" id="{87B24255-F8C1-45CA-BF4E-AC782B1B7038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4" name="TextBox 98">
          <a:extLst>
            <a:ext uri="{FF2B5EF4-FFF2-40B4-BE49-F238E27FC236}">
              <a16:creationId xmlns:a16="http://schemas.microsoft.com/office/drawing/2014/main" id="{F765D0CE-B72C-4B2A-82D2-09D42E89EEA7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5" name="TextBox 99">
          <a:extLst>
            <a:ext uri="{FF2B5EF4-FFF2-40B4-BE49-F238E27FC236}">
              <a16:creationId xmlns:a16="http://schemas.microsoft.com/office/drawing/2014/main" id="{D7F9A973-73D0-47B6-ABF0-703117B44809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6" name="TextBox 100">
          <a:extLst>
            <a:ext uri="{FF2B5EF4-FFF2-40B4-BE49-F238E27FC236}">
              <a16:creationId xmlns:a16="http://schemas.microsoft.com/office/drawing/2014/main" id="{453CCD33-800D-4A0D-85E8-61C6E8FA3E9B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7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8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9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0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1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2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3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4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5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6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7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8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9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90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91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6" name="TextBox 106">
          <a:extLst>
            <a:ext uri="{FF2B5EF4-FFF2-40B4-BE49-F238E27FC236}">
              <a16:creationId xmlns:a16="http://schemas.microsoft.com/office/drawing/2014/main" id="{1E5ED1DD-25FE-439F-B1D3-2892DB5F1DFB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7" name="TextBox 107">
          <a:extLst>
            <a:ext uri="{FF2B5EF4-FFF2-40B4-BE49-F238E27FC236}">
              <a16:creationId xmlns:a16="http://schemas.microsoft.com/office/drawing/2014/main" id="{42C4A165-E850-4681-B950-FB51F1629523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8" name="TextBox 108">
          <a:extLst>
            <a:ext uri="{FF2B5EF4-FFF2-40B4-BE49-F238E27FC236}">
              <a16:creationId xmlns:a16="http://schemas.microsoft.com/office/drawing/2014/main" id="{395EB09D-D1B1-429A-AD74-8C0CEEDF1C72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9" name="TextBox 109">
          <a:extLst>
            <a:ext uri="{FF2B5EF4-FFF2-40B4-BE49-F238E27FC236}">
              <a16:creationId xmlns:a16="http://schemas.microsoft.com/office/drawing/2014/main" id="{933BD4E1-ABEF-4ED4-B1B8-2BB24722FBF4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0" name="TextBox 110">
          <a:extLst>
            <a:ext uri="{FF2B5EF4-FFF2-40B4-BE49-F238E27FC236}">
              <a16:creationId xmlns:a16="http://schemas.microsoft.com/office/drawing/2014/main" id="{2526DDAC-A37B-4DE7-A1A4-8E854A2B6351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1" name="TextBox 101">
          <a:extLst>
            <a:ext uri="{FF2B5EF4-FFF2-40B4-BE49-F238E27FC236}">
              <a16:creationId xmlns:a16="http://schemas.microsoft.com/office/drawing/2014/main" id="{D3621B4D-EF95-4F37-97D5-A149AF4C92A6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2" name="TextBox 102">
          <a:extLst>
            <a:ext uri="{FF2B5EF4-FFF2-40B4-BE49-F238E27FC236}">
              <a16:creationId xmlns:a16="http://schemas.microsoft.com/office/drawing/2014/main" id="{FBF9EB8A-F1A3-454F-B1AE-EBD7BD58E6D9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3" name="TextBox 103">
          <a:extLst>
            <a:ext uri="{FF2B5EF4-FFF2-40B4-BE49-F238E27FC236}">
              <a16:creationId xmlns:a16="http://schemas.microsoft.com/office/drawing/2014/main" id="{7638EA05-2399-432E-B3FF-F55BEF8FDF14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4" name="TextBox 104">
          <a:extLst>
            <a:ext uri="{FF2B5EF4-FFF2-40B4-BE49-F238E27FC236}">
              <a16:creationId xmlns:a16="http://schemas.microsoft.com/office/drawing/2014/main" id="{51A6CE60-D45B-439B-BBD8-CCFF47501B82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5" name="TextBox 105">
          <a:extLst>
            <a:ext uri="{FF2B5EF4-FFF2-40B4-BE49-F238E27FC236}">
              <a16:creationId xmlns:a16="http://schemas.microsoft.com/office/drawing/2014/main" id="{3150E7F6-FE2B-4C8D-94BD-898A55ADC2CA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6" name="TextBox 96">
          <a:extLst>
            <a:ext uri="{FF2B5EF4-FFF2-40B4-BE49-F238E27FC236}">
              <a16:creationId xmlns:a16="http://schemas.microsoft.com/office/drawing/2014/main" id="{00E2193A-0DC1-4646-8915-DC09DB8C9DD4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7" name="TextBox 97">
          <a:extLst>
            <a:ext uri="{FF2B5EF4-FFF2-40B4-BE49-F238E27FC236}">
              <a16:creationId xmlns:a16="http://schemas.microsoft.com/office/drawing/2014/main" id="{87B24255-F8C1-45CA-BF4E-AC782B1B7038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8" name="TextBox 98">
          <a:extLst>
            <a:ext uri="{FF2B5EF4-FFF2-40B4-BE49-F238E27FC236}">
              <a16:creationId xmlns:a16="http://schemas.microsoft.com/office/drawing/2014/main" id="{F765D0CE-B72C-4B2A-82D2-09D42E89EEA7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9" name="TextBox 99">
          <a:extLst>
            <a:ext uri="{FF2B5EF4-FFF2-40B4-BE49-F238E27FC236}">
              <a16:creationId xmlns:a16="http://schemas.microsoft.com/office/drawing/2014/main" id="{D7F9A973-73D0-47B6-ABF0-703117B44809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0" name="TextBox 100">
          <a:extLst>
            <a:ext uri="{FF2B5EF4-FFF2-40B4-BE49-F238E27FC236}">
              <a16:creationId xmlns:a16="http://schemas.microsoft.com/office/drawing/2014/main" id="{453CCD33-800D-4A0D-85E8-61C6E8FA3E9B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1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2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3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4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5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6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7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8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9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0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1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2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3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4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5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200-00002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200-00002D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200-00002E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200-000033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200-000034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200-000035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200-000036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1200-000037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1200-000038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1200-000039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1200-00003A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200-00003B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200-00003C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200-00003D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200-00003E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200-00003F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200-000040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200-000041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200-000042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200-00004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200-000044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200-000045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1200-000046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1200-00004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1200-00004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1200-00004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1200-00004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1200-00004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1200-00004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1200-00004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1200-00004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1200-00004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1200-00005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1200-00005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1200-00005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1200-00005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1200-00005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1200-00005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1200-00005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1200-000057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1200-000058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1200-000059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1200-00005A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1200-00005B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1200-00005C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1200-00005D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1200-00005E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1200-00005F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1200-000060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1200-000061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1200-000062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1200-000063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1200-000064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1200-000065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1200-000066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1200-000067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1200-000068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1200-000069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1200-00006A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1200-00006B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1200-00006C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1200-00006D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1200-00006E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1200-00006F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1200-000070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1200-000071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1200-000072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1200-000073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1200-000074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7" name="TextBox 91">
          <a:extLst>
            <a:ext uri="{FF2B5EF4-FFF2-40B4-BE49-F238E27FC236}">
              <a16:creationId xmlns:a16="http://schemas.microsoft.com/office/drawing/2014/main" id="{F2D60A73-9E98-4A91-9AD6-F4DA0433FBB3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8" name="TextBox 92">
          <a:extLst>
            <a:ext uri="{FF2B5EF4-FFF2-40B4-BE49-F238E27FC236}">
              <a16:creationId xmlns:a16="http://schemas.microsoft.com/office/drawing/2014/main" id="{A1D0FE92-765A-441F-9E51-C2FA7AD85444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9" name="TextBox 93">
          <a:extLst>
            <a:ext uri="{FF2B5EF4-FFF2-40B4-BE49-F238E27FC236}">
              <a16:creationId xmlns:a16="http://schemas.microsoft.com/office/drawing/2014/main" id="{1658F965-E4D0-4D3E-8956-5930B0A4C5C7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0" name="TextBox 94">
          <a:extLst>
            <a:ext uri="{FF2B5EF4-FFF2-40B4-BE49-F238E27FC236}">
              <a16:creationId xmlns:a16="http://schemas.microsoft.com/office/drawing/2014/main" id="{D3E0A1F1-4C42-4052-B217-E01E2AD42243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1" name="TextBox 95">
          <a:extLst>
            <a:ext uri="{FF2B5EF4-FFF2-40B4-BE49-F238E27FC236}">
              <a16:creationId xmlns:a16="http://schemas.microsoft.com/office/drawing/2014/main" id="{90E9CF62-06B3-4E9A-BDE2-D025A1F5B07D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2" name="TextBox 96">
          <a:extLst>
            <a:ext uri="{FF2B5EF4-FFF2-40B4-BE49-F238E27FC236}">
              <a16:creationId xmlns:a16="http://schemas.microsoft.com/office/drawing/2014/main" id="{2CF40A41-6711-462A-93F6-AD888A0EFF9F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3" name="TextBox 97">
          <a:extLst>
            <a:ext uri="{FF2B5EF4-FFF2-40B4-BE49-F238E27FC236}">
              <a16:creationId xmlns:a16="http://schemas.microsoft.com/office/drawing/2014/main" id="{4B5D51C8-58E0-4038-8B1E-BC9C5B082C71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4" name="TextBox 98">
          <a:extLst>
            <a:ext uri="{FF2B5EF4-FFF2-40B4-BE49-F238E27FC236}">
              <a16:creationId xmlns:a16="http://schemas.microsoft.com/office/drawing/2014/main" id="{85522068-01AB-4FA5-B45C-9C8508C21007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5" name="TextBox 99">
          <a:extLst>
            <a:ext uri="{FF2B5EF4-FFF2-40B4-BE49-F238E27FC236}">
              <a16:creationId xmlns:a16="http://schemas.microsoft.com/office/drawing/2014/main" id="{FDD909A6-E52E-4CDA-A705-90EDFE7FA844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6" name="TextBox 100">
          <a:extLst>
            <a:ext uri="{FF2B5EF4-FFF2-40B4-BE49-F238E27FC236}">
              <a16:creationId xmlns:a16="http://schemas.microsoft.com/office/drawing/2014/main" id="{64FF73BE-4742-4CF9-9ED8-CFF2A464ECE2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7" name="TextBox 101">
          <a:extLst>
            <a:ext uri="{FF2B5EF4-FFF2-40B4-BE49-F238E27FC236}">
              <a16:creationId xmlns:a16="http://schemas.microsoft.com/office/drawing/2014/main" id="{99483E8E-DD4C-494D-B281-6E27DEC5BCE4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8" name="TextBox 102">
          <a:extLst>
            <a:ext uri="{FF2B5EF4-FFF2-40B4-BE49-F238E27FC236}">
              <a16:creationId xmlns:a16="http://schemas.microsoft.com/office/drawing/2014/main" id="{BD949A90-AE66-44D6-ACD0-C782C7CEE3AE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9" name="TextBox 103">
          <a:extLst>
            <a:ext uri="{FF2B5EF4-FFF2-40B4-BE49-F238E27FC236}">
              <a16:creationId xmlns:a16="http://schemas.microsoft.com/office/drawing/2014/main" id="{21701EA4-A16B-4C07-ABCD-1A66FD9A3E29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30" name="TextBox 104">
          <a:extLst>
            <a:ext uri="{FF2B5EF4-FFF2-40B4-BE49-F238E27FC236}">
              <a16:creationId xmlns:a16="http://schemas.microsoft.com/office/drawing/2014/main" id="{0B0DE16C-8550-4889-B340-CE8556BEC81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31" name="TextBox 105">
          <a:extLst>
            <a:ext uri="{FF2B5EF4-FFF2-40B4-BE49-F238E27FC236}">
              <a16:creationId xmlns:a16="http://schemas.microsoft.com/office/drawing/2014/main" id="{ACF09181-FD2B-403D-86AC-0449D267BC48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2" name="TextBox 106">
          <a:extLst>
            <a:ext uri="{FF2B5EF4-FFF2-40B4-BE49-F238E27FC236}">
              <a16:creationId xmlns:a16="http://schemas.microsoft.com/office/drawing/2014/main" id="{B47EDDFA-39DF-4E81-84B7-21AF55416024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3" name="TextBox 107">
          <a:extLst>
            <a:ext uri="{FF2B5EF4-FFF2-40B4-BE49-F238E27FC236}">
              <a16:creationId xmlns:a16="http://schemas.microsoft.com/office/drawing/2014/main" id="{5CA09C6F-A868-4413-A989-B002FDC79721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4" name="TextBox 108">
          <a:extLst>
            <a:ext uri="{FF2B5EF4-FFF2-40B4-BE49-F238E27FC236}">
              <a16:creationId xmlns:a16="http://schemas.microsoft.com/office/drawing/2014/main" id="{BD9BFBDD-15D9-4901-B751-63ECBAAA978D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5" name="TextBox 109">
          <a:extLst>
            <a:ext uri="{FF2B5EF4-FFF2-40B4-BE49-F238E27FC236}">
              <a16:creationId xmlns:a16="http://schemas.microsoft.com/office/drawing/2014/main" id="{17988DE2-A49D-4CF4-92FB-23E3FE8DD239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6" name="TextBox 110">
          <a:extLst>
            <a:ext uri="{FF2B5EF4-FFF2-40B4-BE49-F238E27FC236}">
              <a16:creationId xmlns:a16="http://schemas.microsoft.com/office/drawing/2014/main" id="{AAFCC39A-43BE-404B-B9E2-63C5E748582E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7" name="TextBox 111">
          <a:extLst>
            <a:ext uri="{FF2B5EF4-FFF2-40B4-BE49-F238E27FC236}">
              <a16:creationId xmlns:a16="http://schemas.microsoft.com/office/drawing/2014/main" id="{CFB373D7-E2F6-401E-9EC9-A51C051CEB0E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8" name="TextBox 112">
          <a:extLst>
            <a:ext uri="{FF2B5EF4-FFF2-40B4-BE49-F238E27FC236}">
              <a16:creationId xmlns:a16="http://schemas.microsoft.com/office/drawing/2014/main" id="{1E279CCF-2145-40FA-9A07-4B38984FB78A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9" name="TextBox 113">
          <a:extLst>
            <a:ext uri="{FF2B5EF4-FFF2-40B4-BE49-F238E27FC236}">
              <a16:creationId xmlns:a16="http://schemas.microsoft.com/office/drawing/2014/main" id="{9513B1F8-BB29-4F4E-8D7A-AEEDFB2F3BF3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40" name="TextBox 114">
          <a:extLst>
            <a:ext uri="{FF2B5EF4-FFF2-40B4-BE49-F238E27FC236}">
              <a16:creationId xmlns:a16="http://schemas.microsoft.com/office/drawing/2014/main" id="{9C9F4158-CDC3-4A64-98F4-61DE5951646E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41" name="TextBox 115">
          <a:extLst>
            <a:ext uri="{FF2B5EF4-FFF2-40B4-BE49-F238E27FC236}">
              <a16:creationId xmlns:a16="http://schemas.microsoft.com/office/drawing/2014/main" id="{D0BC9C49-AA68-4A1F-8CE3-4EA063017434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78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79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0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1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2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3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4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5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6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7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8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9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90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91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92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7" name="TextBox 91">
          <a:extLst>
            <a:ext uri="{FF2B5EF4-FFF2-40B4-BE49-F238E27FC236}">
              <a16:creationId xmlns:a16="http://schemas.microsoft.com/office/drawing/2014/main" id="{F2D60A73-9E98-4A91-9AD6-F4DA0433FBB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8" name="TextBox 92">
          <a:extLst>
            <a:ext uri="{FF2B5EF4-FFF2-40B4-BE49-F238E27FC236}">
              <a16:creationId xmlns:a16="http://schemas.microsoft.com/office/drawing/2014/main" id="{A1D0FE92-765A-441F-9E51-C2FA7AD85444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9" name="TextBox 93">
          <a:extLst>
            <a:ext uri="{FF2B5EF4-FFF2-40B4-BE49-F238E27FC236}">
              <a16:creationId xmlns:a16="http://schemas.microsoft.com/office/drawing/2014/main" id="{1658F965-E4D0-4D3E-8956-5930B0A4C5C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0" name="TextBox 94">
          <a:extLst>
            <a:ext uri="{FF2B5EF4-FFF2-40B4-BE49-F238E27FC236}">
              <a16:creationId xmlns:a16="http://schemas.microsoft.com/office/drawing/2014/main" id="{D3E0A1F1-4C42-4052-B217-E01E2AD4224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1" name="TextBox 95">
          <a:extLst>
            <a:ext uri="{FF2B5EF4-FFF2-40B4-BE49-F238E27FC236}">
              <a16:creationId xmlns:a16="http://schemas.microsoft.com/office/drawing/2014/main" id="{90E9CF62-06B3-4E9A-BDE2-D025A1F5B07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2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3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4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5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6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7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8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9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0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1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2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3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4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5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6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1" name="TextBox 91">
          <a:extLst>
            <a:ext uri="{FF2B5EF4-FFF2-40B4-BE49-F238E27FC236}">
              <a16:creationId xmlns:a16="http://schemas.microsoft.com/office/drawing/2014/main" id="{F2D60A73-9E98-4A91-9AD6-F4DA0433FBB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2" name="TextBox 92">
          <a:extLst>
            <a:ext uri="{FF2B5EF4-FFF2-40B4-BE49-F238E27FC236}">
              <a16:creationId xmlns:a16="http://schemas.microsoft.com/office/drawing/2014/main" id="{A1D0FE92-765A-441F-9E51-C2FA7AD85444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3" name="TextBox 93">
          <a:extLst>
            <a:ext uri="{FF2B5EF4-FFF2-40B4-BE49-F238E27FC236}">
              <a16:creationId xmlns:a16="http://schemas.microsoft.com/office/drawing/2014/main" id="{1658F965-E4D0-4D3E-8956-5930B0A4C5C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4" name="TextBox 94">
          <a:extLst>
            <a:ext uri="{FF2B5EF4-FFF2-40B4-BE49-F238E27FC236}">
              <a16:creationId xmlns:a16="http://schemas.microsoft.com/office/drawing/2014/main" id="{D3E0A1F1-4C42-4052-B217-E01E2AD4224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5" name="TextBox 95">
          <a:extLst>
            <a:ext uri="{FF2B5EF4-FFF2-40B4-BE49-F238E27FC236}">
              <a16:creationId xmlns:a16="http://schemas.microsoft.com/office/drawing/2014/main" id="{90E9CF62-06B3-4E9A-BDE2-D025A1F5B07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6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7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8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9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0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1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2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3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4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5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6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7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8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9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0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5" name="TextBox 91">
          <a:extLst>
            <a:ext uri="{FF2B5EF4-FFF2-40B4-BE49-F238E27FC236}">
              <a16:creationId xmlns:a16="http://schemas.microsoft.com/office/drawing/2014/main" id="{F2D60A73-9E98-4A91-9AD6-F4DA0433FBB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6" name="TextBox 92">
          <a:extLst>
            <a:ext uri="{FF2B5EF4-FFF2-40B4-BE49-F238E27FC236}">
              <a16:creationId xmlns:a16="http://schemas.microsoft.com/office/drawing/2014/main" id="{A1D0FE92-765A-441F-9E51-C2FA7AD85444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7" name="TextBox 93">
          <a:extLst>
            <a:ext uri="{FF2B5EF4-FFF2-40B4-BE49-F238E27FC236}">
              <a16:creationId xmlns:a16="http://schemas.microsoft.com/office/drawing/2014/main" id="{1658F965-E4D0-4D3E-8956-5930B0A4C5C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8" name="TextBox 94">
          <a:extLst>
            <a:ext uri="{FF2B5EF4-FFF2-40B4-BE49-F238E27FC236}">
              <a16:creationId xmlns:a16="http://schemas.microsoft.com/office/drawing/2014/main" id="{D3E0A1F1-4C42-4052-B217-E01E2AD4224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9" name="TextBox 95">
          <a:extLst>
            <a:ext uri="{FF2B5EF4-FFF2-40B4-BE49-F238E27FC236}">
              <a16:creationId xmlns:a16="http://schemas.microsoft.com/office/drawing/2014/main" id="{90E9CF62-06B3-4E9A-BDE2-D025A1F5B07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0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1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2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3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4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5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6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7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8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9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0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1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2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3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4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69" name="TextBox 91">
          <a:extLst>
            <a:ext uri="{FF2B5EF4-FFF2-40B4-BE49-F238E27FC236}">
              <a16:creationId xmlns:a16="http://schemas.microsoft.com/office/drawing/2014/main" id="{F2D60A73-9E98-4A91-9AD6-F4DA0433FBB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0" name="TextBox 92">
          <a:extLst>
            <a:ext uri="{FF2B5EF4-FFF2-40B4-BE49-F238E27FC236}">
              <a16:creationId xmlns:a16="http://schemas.microsoft.com/office/drawing/2014/main" id="{A1D0FE92-765A-441F-9E51-C2FA7AD85444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1" name="TextBox 93">
          <a:extLst>
            <a:ext uri="{FF2B5EF4-FFF2-40B4-BE49-F238E27FC236}">
              <a16:creationId xmlns:a16="http://schemas.microsoft.com/office/drawing/2014/main" id="{1658F965-E4D0-4D3E-8956-5930B0A4C5C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2" name="TextBox 94">
          <a:extLst>
            <a:ext uri="{FF2B5EF4-FFF2-40B4-BE49-F238E27FC236}">
              <a16:creationId xmlns:a16="http://schemas.microsoft.com/office/drawing/2014/main" id="{D3E0A1F1-4C42-4052-B217-E01E2AD4224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3" name="TextBox 95">
          <a:extLst>
            <a:ext uri="{FF2B5EF4-FFF2-40B4-BE49-F238E27FC236}">
              <a16:creationId xmlns:a16="http://schemas.microsoft.com/office/drawing/2014/main" id="{90E9CF62-06B3-4E9A-BDE2-D025A1F5B07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4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5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6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7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8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9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0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1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2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3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4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5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6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7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8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95250</xdr:colOff>
      <xdr:row>16</xdr:row>
      <xdr:rowOff>107950</xdr:rowOff>
    </xdr:from>
    <xdr:to>
      <xdr:col>16</xdr:col>
      <xdr:colOff>43584</xdr:colOff>
      <xdr:row>26</xdr:row>
      <xdr:rowOff>108783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1390</xdr:colOff>
      <xdr:row>13</xdr:row>
      <xdr:rowOff>10498</xdr:rowOff>
    </xdr:from>
    <xdr:to>
      <xdr:col>22</xdr:col>
      <xdr:colOff>637640</xdr:colOff>
      <xdr:row>23</xdr:row>
      <xdr:rowOff>11331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679319</xdr:colOff>
      <xdr:row>32</xdr:row>
      <xdr:rowOff>9422</xdr:rowOff>
    </xdr:from>
    <xdr:to>
      <xdr:col>22</xdr:col>
      <xdr:colOff>627653</xdr:colOff>
      <xdr:row>42</xdr:row>
      <xdr:rowOff>10256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155402</xdr:colOff>
      <xdr:row>32</xdr:row>
      <xdr:rowOff>56092</xdr:rowOff>
    </xdr:from>
    <xdr:to>
      <xdr:col>16</xdr:col>
      <xdr:colOff>103736</xdr:colOff>
      <xdr:row>42</xdr:row>
      <xdr:rowOff>56926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535517</xdr:colOff>
      <xdr:row>76</xdr:row>
      <xdr:rowOff>108528</xdr:rowOff>
    </xdr:from>
    <xdr:to>
      <xdr:col>18</xdr:col>
      <xdr:colOff>80232</xdr:colOff>
      <xdr:row>97</xdr:row>
      <xdr:rowOff>142875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670846</xdr:colOff>
      <xdr:row>77</xdr:row>
      <xdr:rowOff>45381</xdr:rowOff>
    </xdr:from>
    <xdr:to>
      <xdr:col>25</xdr:col>
      <xdr:colOff>668514</xdr:colOff>
      <xdr:row>98</xdr:row>
      <xdr:rowOff>70204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656167</xdr:colOff>
      <xdr:row>76</xdr:row>
      <xdr:rowOff>105833</xdr:rowOff>
    </xdr:from>
    <xdr:to>
      <xdr:col>33</xdr:col>
      <xdr:colOff>651718</xdr:colOff>
      <xdr:row>97</xdr:row>
      <xdr:rowOff>130656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63500</xdr:colOff>
      <xdr:row>76</xdr:row>
      <xdr:rowOff>148167</xdr:rowOff>
    </xdr:from>
    <xdr:to>
      <xdr:col>42</xdr:col>
      <xdr:colOff>64343</xdr:colOff>
      <xdr:row>97</xdr:row>
      <xdr:rowOff>172990</xdr:rowOff>
    </xdr:to>
    <xdr:graphicFrame macro="">
      <xdr:nvGraphicFramePr>
        <xdr:cNvPr id="9" name="Chart 7">
          <a:extLst>
            <a:ext uri="{FF2B5EF4-FFF2-40B4-BE49-F238E27FC236}">
              <a16:creationId xmlns:a16="http://schemas.microsoft.com/office/drawing/2014/main" id="{5104026D-AF51-4C60-8CD4-80C9F3F45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42</xdr:col>
      <xdr:colOff>666750</xdr:colOff>
      <xdr:row>76</xdr:row>
      <xdr:rowOff>127000</xdr:rowOff>
    </xdr:from>
    <xdr:to>
      <xdr:col>49</xdr:col>
      <xdr:colOff>667594</xdr:colOff>
      <xdr:row>97</xdr:row>
      <xdr:rowOff>151823</xdr:rowOff>
    </xdr:to>
    <xdr:graphicFrame macro="">
      <xdr:nvGraphicFramePr>
        <xdr:cNvPr id="10" name="Chart 7">
          <a:extLst>
            <a:ext uri="{FF2B5EF4-FFF2-40B4-BE49-F238E27FC236}">
              <a16:creationId xmlns:a16="http://schemas.microsoft.com/office/drawing/2014/main" id="{C2641DE4-3350-4242-BF1C-1E67BC530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50</xdr:col>
      <xdr:colOff>656167</xdr:colOff>
      <xdr:row>76</xdr:row>
      <xdr:rowOff>105833</xdr:rowOff>
    </xdr:from>
    <xdr:to>
      <xdr:col>57</xdr:col>
      <xdr:colOff>657009</xdr:colOff>
      <xdr:row>97</xdr:row>
      <xdr:rowOff>130656</xdr:rowOff>
    </xdr:to>
    <xdr:graphicFrame macro="">
      <xdr:nvGraphicFramePr>
        <xdr:cNvPr id="11" name="Chart 7">
          <a:extLst>
            <a:ext uri="{FF2B5EF4-FFF2-40B4-BE49-F238E27FC236}">
              <a16:creationId xmlns:a16="http://schemas.microsoft.com/office/drawing/2014/main" id="{0B6E1231-A2DB-4C55-B6CD-6F9568196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Q93"/>
  <sheetViews>
    <sheetView topLeftCell="E10" workbookViewId="0">
      <selection activeCell="H21" sqref="H21"/>
    </sheetView>
  </sheetViews>
  <sheetFormatPr defaultColWidth="9" defaultRowHeight="14" x14ac:dyDescent="0.3"/>
  <cols>
    <col min="10" max="10" width="17.58203125" customWidth="1"/>
    <col min="11" max="11" width="10.58203125" customWidth="1"/>
    <col min="12" max="12" width="14.08203125" customWidth="1"/>
    <col min="13" max="13" width="29.5" customWidth="1"/>
    <col min="14" max="14" width="21" bestFit="1" customWidth="1"/>
    <col min="16" max="16" width="10" customWidth="1"/>
  </cols>
  <sheetData>
    <row r="3" spans="2:13" x14ac:dyDescent="0.3">
      <c r="B3" s="677" t="s">
        <v>381</v>
      </c>
      <c r="C3" s="677"/>
      <c r="D3" s="677" t="s">
        <v>365</v>
      </c>
      <c r="E3" s="366"/>
      <c r="F3" s="366"/>
      <c r="G3" s="366"/>
      <c r="H3" s="366"/>
      <c r="I3" s="366"/>
      <c r="J3" s="366"/>
      <c r="L3" s="366"/>
      <c r="M3" s="366"/>
    </row>
    <row r="4" spans="2:13" x14ac:dyDescent="0.3">
      <c r="B4" s="678" t="s">
        <v>382</v>
      </c>
      <c r="C4" s="678"/>
      <c r="D4" s="678">
        <v>1</v>
      </c>
      <c r="E4" s="366"/>
      <c r="F4" s="366"/>
      <c r="G4" s="366"/>
      <c r="H4" s="366"/>
      <c r="I4" s="366"/>
      <c r="J4" s="366"/>
      <c r="L4" s="366"/>
      <c r="M4" s="366"/>
    </row>
    <row r="5" spans="2:13" ht="14.5" x14ac:dyDescent="0.35">
      <c r="B5" s="377" t="s">
        <v>364</v>
      </c>
      <c r="C5" s="377"/>
      <c r="D5" s="366"/>
      <c r="E5" s="366"/>
      <c r="F5" s="366"/>
      <c r="G5" s="366"/>
      <c r="H5" s="366"/>
      <c r="I5" s="778"/>
      <c r="J5" s="366"/>
      <c r="L5" s="366"/>
      <c r="M5" s="366"/>
    </row>
    <row r="6" spans="2:13" x14ac:dyDescent="0.3">
      <c r="B6" s="366"/>
      <c r="C6" s="366"/>
      <c r="D6" s="366"/>
      <c r="E6" s="366"/>
      <c r="F6" s="366"/>
      <c r="G6" s="366"/>
      <c r="H6" s="366"/>
      <c r="I6" s="366"/>
      <c r="J6" s="366"/>
      <c r="L6" s="366"/>
      <c r="M6" s="366"/>
    </row>
    <row r="7" spans="2:13" x14ac:dyDescent="0.3">
      <c r="B7" s="368" t="s">
        <v>360</v>
      </c>
      <c r="C7" s="366"/>
      <c r="D7" s="366"/>
      <c r="E7" s="366"/>
      <c r="F7" s="366"/>
      <c r="G7" s="366"/>
      <c r="H7" s="366"/>
      <c r="I7" s="366"/>
      <c r="J7" s="366"/>
      <c r="K7" s="367"/>
      <c r="L7" s="366"/>
      <c r="M7" s="366"/>
    </row>
    <row r="8" spans="2:13" x14ac:dyDescent="0.3">
      <c r="B8" s="368"/>
      <c r="C8" s="366"/>
      <c r="D8" s="366"/>
      <c r="E8" s="366"/>
      <c r="F8" s="366"/>
      <c r="G8" s="366"/>
      <c r="H8" s="366"/>
      <c r="I8" s="366"/>
      <c r="J8" s="366"/>
      <c r="K8" s="367"/>
      <c r="L8" s="366"/>
      <c r="M8" s="366"/>
    </row>
    <row r="9" spans="2:13" x14ac:dyDescent="0.3">
      <c r="B9" s="367" t="s">
        <v>388</v>
      </c>
      <c r="C9" s="366"/>
      <c r="D9" s="366"/>
      <c r="E9" s="366"/>
      <c r="F9" s="366"/>
      <c r="G9" s="366"/>
      <c r="H9" s="366"/>
      <c r="I9" s="366"/>
      <c r="J9" s="366"/>
      <c r="K9" s="367"/>
      <c r="L9" s="366"/>
      <c r="M9" s="366"/>
    </row>
    <row r="10" spans="2:13" x14ac:dyDescent="0.3">
      <c r="B10" s="367" t="s">
        <v>359</v>
      </c>
      <c r="C10" s="366"/>
      <c r="D10" s="366"/>
      <c r="E10" s="366"/>
      <c r="F10" s="366"/>
      <c r="G10" s="366"/>
      <c r="H10" s="366"/>
      <c r="I10" s="366"/>
      <c r="J10" s="366"/>
      <c r="K10" s="367"/>
      <c r="L10" s="366"/>
      <c r="M10" s="366"/>
    </row>
    <row r="11" spans="2:13" x14ac:dyDescent="0.3">
      <c r="B11" s="367" t="s">
        <v>389</v>
      </c>
      <c r="C11" s="366"/>
      <c r="D11" s="366"/>
      <c r="E11" s="366"/>
      <c r="F11" s="366"/>
      <c r="G11" s="366"/>
      <c r="H11" s="366"/>
      <c r="I11" s="366"/>
      <c r="J11" s="366"/>
      <c r="K11" s="367"/>
      <c r="L11" s="366"/>
      <c r="M11" s="366"/>
    </row>
    <row r="12" spans="2:13" x14ac:dyDescent="0.3">
      <c r="B12" s="366"/>
      <c r="C12" s="366"/>
      <c r="D12" s="366"/>
      <c r="E12" s="366"/>
      <c r="F12" s="366"/>
      <c r="G12" s="366"/>
      <c r="H12" s="366"/>
      <c r="I12" s="366"/>
      <c r="J12" s="366"/>
      <c r="K12" s="367"/>
      <c r="L12" s="366"/>
      <c r="M12" s="366"/>
    </row>
    <row r="13" spans="2:13" x14ac:dyDescent="0.3">
      <c r="B13" s="376" t="s">
        <v>363</v>
      </c>
      <c r="C13" s="375"/>
      <c r="D13" s="375"/>
      <c r="E13" s="366"/>
      <c r="F13" s="366"/>
      <c r="G13" s="366"/>
      <c r="H13" s="366"/>
      <c r="I13" s="366"/>
      <c r="J13" s="366"/>
      <c r="K13" s="366"/>
      <c r="L13" s="366"/>
      <c r="M13" s="366"/>
    </row>
    <row r="14" spans="2:13" x14ac:dyDescent="0.3"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</row>
    <row r="15" spans="2:13" x14ac:dyDescent="0.3">
      <c r="B15" s="367" t="s">
        <v>362</v>
      </c>
      <c r="C15" s="366"/>
      <c r="D15" s="366"/>
      <c r="E15" s="366"/>
      <c r="F15" s="366"/>
      <c r="G15" s="366"/>
      <c r="H15" s="366"/>
      <c r="I15" s="366"/>
      <c r="K15" s="366"/>
      <c r="L15" s="366"/>
      <c r="M15" s="366"/>
    </row>
    <row r="16" spans="2:13" x14ac:dyDescent="0.3">
      <c r="B16" s="367"/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</row>
    <row r="17" spans="2:15" x14ac:dyDescent="0.3">
      <c r="B17" s="367" t="s">
        <v>361</v>
      </c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</row>
    <row r="18" spans="2:15" x14ac:dyDescent="0.3">
      <c r="B18" s="367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19" spans="2:15" x14ac:dyDescent="0.3">
      <c r="B19" s="367"/>
      <c r="C19" s="366"/>
      <c r="D19" s="366"/>
      <c r="E19" s="366"/>
      <c r="F19" s="366"/>
      <c r="G19" s="366"/>
      <c r="H19" s="366"/>
      <c r="I19" s="366"/>
      <c r="J19" s="366"/>
      <c r="K19" s="366"/>
      <c r="L19" s="366"/>
      <c r="M19" s="366"/>
    </row>
    <row r="20" spans="2:15" x14ac:dyDescent="0.3">
      <c r="B20" s="367"/>
      <c r="C20" s="370" t="s">
        <v>641</v>
      </c>
      <c r="D20" s="366"/>
      <c r="E20" s="366"/>
      <c r="F20" s="370" t="s">
        <v>369</v>
      </c>
      <c r="G20" s="366"/>
      <c r="H20" s="370" t="s">
        <v>642</v>
      </c>
      <c r="I20" s="366"/>
      <c r="N20" s="372" t="s">
        <v>643</v>
      </c>
      <c r="O20" s="581" t="s">
        <v>644</v>
      </c>
    </row>
    <row r="21" spans="2:15" x14ac:dyDescent="0.3">
      <c r="B21" s="367"/>
      <c r="C21" s="370"/>
      <c r="D21" s="366"/>
      <c r="E21" s="366"/>
      <c r="F21" s="566"/>
      <c r="G21" s="366"/>
      <c r="H21" s="370" t="s">
        <v>690</v>
      </c>
      <c r="I21" s="366"/>
      <c r="N21" s="372" t="s">
        <v>645</v>
      </c>
      <c r="O21" s="581" t="s">
        <v>646</v>
      </c>
    </row>
    <row r="22" spans="2:15" x14ac:dyDescent="0.3">
      <c r="B22" s="367"/>
      <c r="C22" s="374"/>
      <c r="D22" s="366"/>
      <c r="E22" s="366"/>
      <c r="F22" s="366"/>
      <c r="G22" s="366"/>
      <c r="H22" s="366"/>
      <c r="I22" s="366"/>
      <c r="J22" s="366"/>
      <c r="K22" s="366"/>
      <c r="L22" s="366"/>
      <c r="M22" s="366"/>
    </row>
    <row r="23" spans="2:15" x14ac:dyDescent="0.3">
      <c r="B23" s="367"/>
      <c r="C23" s="374"/>
      <c r="D23" s="366"/>
      <c r="E23" s="366"/>
      <c r="F23" s="366"/>
      <c r="G23" s="366"/>
      <c r="H23" s="366"/>
      <c r="I23" s="366"/>
      <c r="J23" s="366"/>
      <c r="K23" s="366"/>
      <c r="L23" s="366"/>
      <c r="M23" s="366"/>
    </row>
    <row r="24" spans="2:15" x14ac:dyDescent="0.3">
      <c r="B24" s="367"/>
      <c r="C24" s="370" t="s">
        <v>618</v>
      </c>
      <c r="D24" s="366"/>
      <c r="E24" s="366"/>
      <c r="F24" s="370" t="s">
        <v>563</v>
      </c>
      <c r="G24" s="366"/>
      <c r="H24" s="370" t="s">
        <v>444</v>
      </c>
      <c r="N24" s="372">
        <v>1.1299999999999999</v>
      </c>
      <c r="O24" s="581" t="s">
        <v>640</v>
      </c>
    </row>
    <row r="25" spans="2:15" x14ac:dyDescent="0.3">
      <c r="B25" s="367"/>
      <c r="C25" s="374"/>
      <c r="D25" s="366"/>
      <c r="E25" s="366"/>
      <c r="F25" s="366"/>
      <c r="G25" s="366"/>
      <c r="H25" s="370" t="s">
        <v>619</v>
      </c>
      <c r="I25" s="366"/>
      <c r="N25" s="869">
        <v>175.95</v>
      </c>
      <c r="O25" s="581" t="s">
        <v>620</v>
      </c>
    </row>
    <row r="26" spans="2:15" x14ac:dyDescent="0.3">
      <c r="B26" s="367"/>
      <c r="C26" s="374"/>
      <c r="D26" s="366"/>
      <c r="E26" s="366"/>
      <c r="F26" s="366"/>
      <c r="G26" s="366"/>
      <c r="H26" s="566"/>
      <c r="I26" s="366"/>
      <c r="N26" s="581"/>
      <c r="O26" s="581"/>
    </row>
    <row r="27" spans="2:15" x14ac:dyDescent="0.3">
      <c r="B27" s="367"/>
      <c r="C27" s="374"/>
      <c r="D27" s="366"/>
      <c r="E27" s="366"/>
      <c r="F27" s="370" t="s">
        <v>371</v>
      </c>
      <c r="G27" s="366"/>
      <c r="H27" s="370" t="s">
        <v>633</v>
      </c>
      <c r="I27" s="366"/>
      <c r="N27" s="868">
        <v>0.1</v>
      </c>
      <c r="O27" s="581" t="s">
        <v>634</v>
      </c>
    </row>
    <row r="28" spans="2:15" x14ac:dyDescent="0.3">
      <c r="B28" s="367"/>
      <c r="C28" s="374"/>
      <c r="D28" s="366"/>
      <c r="E28" s="366"/>
      <c r="F28" s="566"/>
      <c r="G28" s="366"/>
      <c r="H28" s="370" t="s">
        <v>655</v>
      </c>
      <c r="I28" s="366"/>
      <c r="J28" s="366"/>
      <c r="K28" s="366"/>
      <c r="L28" s="366"/>
      <c r="M28" s="366"/>
      <c r="N28" s="872">
        <v>72</v>
      </c>
      <c r="O28" s="369" t="s">
        <v>654</v>
      </c>
    </row>
    <row r="29" spans="2:15" x14ac:dyDescent="0.3">
      <c r="B29" s="367"/>
      <c r="C29" s="374"/>
      <c r="D29" s="366"/>
      <c r="E29" s="366"/>
      <c r="F29" s="366"/>
      <c r="G29" s="366"/>
      <c r="H29" s="566"/>
      <c r="I29" s="366"/>
      <c r="N29" s="581"/>
      <c r="O29" s="581"/>
    </row>
    <row r="30" spans="2:15" x14ac:dyDescent="0.3">
      <c r="B30" s="367"/>
      <c r="C30" s="374"/>
      <c r="D30" s="366"/>
      <c r="E30" s="366"/>
      <c r="F30" s="366"/>
      <c r="G30" s="366"/>
      <c r="H30" s="366"/>
      <c r="I30" s="366"/>
      <c r="J30" s="366"/>
      <c r="K30" s="366"/>
      <c r="L30" s="366"/>
      <c r="M30" s="366"/>
    </row>
    <row r="31" spans="2:15" x14ac:dyDescent="0.3">
      <c r="B31" s="367"/>
      <c r="C31" s="370" t="s">
        <v>621</v>
      </c>
      <c r="D31" s="366"/>
      <c r="E31" s="366"/>
      <c r="F31" s="370" t="s">
        <v>369</v>
      </c>
      <c r="G31" s="366"/>
      <c r="H31" s="370" t="s">
        <v>622</v>
      </c>
      <c r="I31" s="366"/>
      <c r="N31" s="369" t="s">
        <v>623</v>
      </c>
      <c r="O31" s="369" t="s">
        <v>624</v>
      </c>
    </row>
    <row r="32" spans="2:15" x14ac:dyDescent="0.3">
      <c r="B32" s="367"/>
      <c r="C32" s="370"/>
      <c r="D32" s="366"/>
      <c r="E32" s="366"/>
      <c r="F32" s="566"/>
      <c r="G32" s="366"/>
      <c r="H32" s="566"/>
      <c r="I32" s="366"/>
      <c r="N32" s="581"/>
      <c r="O32" s="581"/>
    </row>
    <row r="33" spans="2:16" x14ac:dyDescent="0.3">
      <c r="B33" s="367"/>
      <c r="C33" s="370"/>
      <c r="D33" s="366"/>
      <c r="E33" s="366"/>
      <c r="F33" s="566"/>
      <c r="G33" s="366"/>
      <c r="H33" s="566"/>
      <c r="I33" s="366"/>
      <c r="N33" s="581"/>
      <c r="O33" s="581"/>
    </row>
    <row r="34" spans="2:16" x14ac:dyDescent="0.3">
      <c r="B34" s="367"/>
      <c r="C34" s="370" t="s">
        <v>625</v>
      </c>
      <c r="D34" s="366"/>
      <c r="E34" s="366"/>
      <c r="F34" s="370" t="s">
        <v>369</v>
      </c>
      <c r="G34" s="366"/>
      <c r="H34" s="370" t="s">
        <v>626</v>
      </c>
      <c r="I34" s="366"/>
      <c r="N34" s="369" t="s">
        <v>627</v>
      </c>
      <c r="O34" s="369" t="s">
        <v>385</v>
      </c>
      <c r="P34" s="366"/>
    </row>
    <row r="35" spans="2:16" ht="14.5" x14ac:dyDescent="0.35">
      <c r="B35" s="367"/>
      <c r="C35" s="370"/>
      <c r="D35" s="366"/>
      <c r="E35" s="366"/>
      <c r="F35" s="566"/>
      <c r="G35" s="366"/>
      <c r="H35" s="370" t="s">
        <v>628</v>
      </c>
      <c r="I35" s="366"/>
      <c r="N35" s="369" t="s">
        <v>629</v>
      </c>
      <c r="O35" s="369" t="s">
        <v>385</v>
      </c>
      <c r="P35" s="367" t="s">
        <v>630</v>
      </c>
    </row>
    <row r="36" spans="2:16" ht="14.5" x14ac:dyDescent="0.35">
      <c r="B36" s="367"/>
      <c r="C36" s="370"/>
      <c r="D36" s="366"/>
      <c r="E36" s="366"/>
      <c r="F36" s="566"/>
      <c r="G36" s="366"/>
      <c r="H36" s="370" t="s">
        <v>631</v>
      </c>
      <c r="I36" s="366"/>
      <c r="N36" s="372" t="s">
        <v>632</v>
      </c>
      <c r="O36" s="369" t="s">
        <v>385</v>
      </c>
      <c r="P36" s="367" t="s">
        <v>630</v>
      </c>
    </row>
    <row r="37" spans="2:16" x14ac:dyDescent="0.3">
      <c r="B37" s="367"/>
      <c r="C37" s="370"/>
      <c r="D37" s="366"/>
      <c r="E37" s="366"/>
      <c r="F37" s="566"/>
      <c r="G37" s="366"/>
      <c r="H37" s="370" t="s">
        <v>648</v>
      </c>
      <c r="I37" s="366"/>
      <c r="N37" s="369">
        <v>14.99</v>
      </c>
      <c r="O37" s="369" t="s">
        <v>649</v>
      </c>
      <c r="P37" s="367" t="s">
        <v>650</v>
      </c>
    </row>
    <row r="38" spans="2:16" ht="14.5" x14ac:dyDescent="0.35">
      <c r="B38" s="367"/>
      <c r="C38" s="370"/>
      <c r="D38" s="366"/>
      <c r="E38" s="366"/>
      <c r="F38" s="566"/>
      <c r="G38" s="366"/>
      <c r="H38" s="370" t="s">
        <v>651</v>
      </c>
      <c r="I38" s="366"/>
      <c r="N38" s="372" t="s">
        <v>652</v>
      </c>
      <c r="O38" s="369" t="s">
        <v>624</v>
      </c>
      <c r="P38" s="366"/>
    </row>
    <row r="39" spans="2:16" x14ac:dyDescent="0.3">
      <c r="B39" s="367"/>
      <c r="C39" s="374"/>
      <c r="D39" s="366"/>
      <c r="E39" s="366"/>
      <c r="F39" s="366"/>
      <c r="G39" s="366"/>
      <c r="H39" s="566"/>
      <c r="I39" s="366"/>
      <c r="J39" s="366"/>
      <c r="K39" s="366"/>
      <c r="L39" s="366"/>
      <c r="M39" s="366"/>
    </row>
    <row r="40" spans="2:16" x14ac:dyDescent="0.3">
      <c r="B40" s="367"/>
      <c r="C40" s="374"/>
      <c r="D40" s="366"/>
      <c r="E40" s="366"/>
      <c r="F40" s="366"/>
      <c r="G40" s="366"/>
      <c r="H40" s="366"/>
      <c r="I40" s="366"/>
      <c r="J40" s="366"/>
      <c r="K40" s="366"/>
      <c r="L40" s="366"/>
      <c r="M40" s="366"/>
    </row>
    <row r="41" spans="2:16" x14ac:dyDescent="0.3">
      <c r="B41" s="366"/>
      <c r="C41" s="370" t="s">
        <v>214</v>
      </c>
      <c r="D41" s="366"/>
      <c r="E41" s="366"/>
      <c r="F41" s="303" t="s">
        <v>369</v>
      </c>
      <c r="G41" s="366"/>
      <c r="H41" s="370" t="s">
        <v>372</v>
      </c>
      <c r="I41" s="366"/>
      <c r="N41" s="868">
        <f>AVERAGE(30,45)</f>
        <v>37.5</v>
      </c>
      <c r="O41" s="371" t="s">
        <v>384</v>
      </c>
      <c r="P41" s="366"/>
    </row>
    <row r="42" spans="2:16" x14ac:dyDescent="0.3">
      <c r="B42" s="366"/>
      <c r="C42" s="370"/>
      <c r="D42" s="366"/>
      <c r="E42" s="366"/>
      <c r="G42" s="366"/>
      <c r="H42" s="370" t="s">
        <v>647</v>
      </c>
      <c r="I42" s="366"/>
      <c r="N42" s="869">
        <f>4.75*35</f>
        <v>166.25</v>
      </c>
      <c r="O42" s="371" t="s">
        <v>387</v>
      </c>
      <c r="P42" s="366"/>
    </row>
    <row r="43" spans="2:16" x14ac:dyDescent="0.3">
      <c r="B43" s="367"/>
      <c r="C43" s="374"/>
      <c r="D43" s="366"/>
      <c r="E43" s="366"/>
      <c r="G43" s="366"/>
      <c r="H43" s="370" t="s">
        <v>526</v>
      </c>
      <c r="I43" s="366"/>
      <c r="N43" s="869">
        <v>85</v>
      </c>
      <c r="O43" s="371" t="s">
        <v>387</v>
      </c>
      <c r="P43" s="366"/>
    </row>
    <row r="44" spans="2:16" x14ac:dyDescent="0.3">
      <c r="B44" s="367"/>
      <c r="C44" s="374"/>
      <c r="D44" s="366"/>
      <c r="E44" s="366"/>
      <c r="G44" s="366"/>
      <c r="H44" s="370" t="s">
        <v>527</v>
      </c>
      <c r="I44" s="366"/>
      <c r="N44" s="869">
        <v>3</v>
      </c>
      <c r="O44" s="371" t="s">
        <v>386</v>
      </c>
      <c r="P44" s="366"/>
    </row>
    <row r="45" spans="2:16" x14ac:dyDescent="0.3">
      <c r="B45" s="367"/>
      <c r="C45" s="374"/>
      <c r="D45" s="366"/>
      <c r="E45" s="366"/>
      <c r="G45" s="366"/>
      <c r="H45" s="370" t="s">
        <v>528</v>
      </c>
      <c r="I45" s="366"/>
      <c r="N45" s="372">
        <v>175</v>
      </c>
      <c r="O45" s="371" t="s">
        <v>387</v>
      </c>
      <c r="P45" s="366"/>
    </row>
    <row r="46" spans="2:16" x14ac:dyDescent="0.3">
      <c r="B46" s="367"/>
      <c r="C46" s="374"/>
      <c r="D46" s="366"/>
      <c r="E46" s="366"/>
      <c r="G46" s="366"/>
      <c r="H46" s="566"/>
      <c r="I46" s="366"/>
      <c r="N46" s="581"/>
      <c r="O46" s="581"/>
      <c r="P46" s="366"/>
    </row>
    <row r="47" spans="2:16" x14ac:dyDescent="0.3">
      <c r="B47" s="367"/>
      <c r="C47" s="374"/>
      <c r="D47" s="366"/>
      <c r="E47" s="366"/>
      <c r="F47" s="370" t="s">
        <v>371</v>
      </c>
      <c r="G47" s="366"/>
      <c r="H47" s="370" t="s">
        <v>657</v>
      </c>
      <c r="N47" s="869">
        <v>15000</v>
      </c>
      <c r="O47" s="1001" t="s">
        <v>658</v>
      </c>
      <c r="P47" s="366"/>
    </row>
    <row r="48" spans="2:16" x14ac:dyDescent="0.3">
      <c r="B48" s="367"/>
      <c r="C48" s="374"/>
      <c r="D48" s="366"/>
      <c r="E48" s="366"/>
      <c r="F48" s="566"/>
      <c r="G48" s="366"/>
      <c r="H48" s="370" t="s">
        <v>502</v>
      </c>
      <c r="I48" s="366"/>
      <c r="N48" s="372" t="s">
        <v>499</v>
      </c>
      <c r="O48" s="369" t="s">
        <v>498</v>
      </c>
      <c r="P48" s="466"/>
    </row>
    <row r="49" spans="2:16" x14ac:dyDescent="0.3">
      <c r="B49" s="367"/>
      <c r="C49" s="374"/>
      <c r="D49" s="366"/>
      <c r="E49" s="366"/>
      <c r="F49" s="566"/>
      <c r="G49" s="366"/>
      <c r="H49" s="871" t="s">
        <v>501</v>
      </c>
      <c r="I49" s="366"/>
      <c r="N49" s="372" t="s">
        <v>503</v>
      </c>
      <c r="O49" s="369" t="s">
        <v>387</v>
      </c>
      <c r="P49" s="466"/>
    </row>
    <row r="50" spans="2:16" x14ac:dyDescent="0.3">
      <c r="B50" s="367"/>
      <c r="C50" s="374"/>
      <c r="D50" s="366"/>
      <c r="E50" s="366"/>
      <c r="F50" s="566"/>
      <c r="G50" s="366"/>
      <c r="H50" s="871" t="s">
        <v>659</v>
      </c>
      <c r="I50" s="366"/>
      <c r="N50" s="369">
        <v>1190</v>
      </c>
      <c r="O50" s="369" t="s">
        <v>387</v>
      </c>
      <c r="P50" s="466"/>
    </row>
    <row r="51" spans="2:16" x14ac:dyDescent="0.3">
      <c r="B51" s="367"/>
      <c r="C51" s="374"/>
      <c r="D51" s="366"/>
      <c r="E51" s="366"/>
      <c r="F51" s="566"/>
      <c r="G51" s="366"/>
      <c r="H51" s="871" t="s">
        <v>511</v>
      </c>
      <c r="I51" s="366"/>
      <c r="N51" s="372" t="s">
        <v>512</v>
      </c>
      <c r="O51" s="369" t="s">
        <v>387</v>
      </c>
      <c r="P51" s="466"/>
    </row>
    <row r="52" spans="2:16" x14ac:dyDescent="0.3">
      <c r="B52" s="367"/>
      <c r="C52" s="374"/>
      <c r="D52" s="366"/>
      <c r="E52" s="366"/>
      <c r="F52" s="566"/>
      <c r="G52" s="366"/>
      <c r="H52" s="871" t="s">
        <v>515</v>
      </c>
      <c r="I52" s="366"/>
      <c r="N52" s="869">
        <v>50</v>
      </c>
      <c r="O52" s="369" t="s">
        <v>387</v>
      </c>
      <c r="P52" s="466"/>
    </row>
    <row r="53" spans="2:16" x14ac:dyDescent="0.3">
      <c r="B53" s="367"/>
      <c r="C53" s="374"/>
      <c r="D53" s="366"/>
      <c r="E53" s="366"/>
      <c r="F53" s="566"/>
      <c r="G53" s="366"/>
      <c r="H53" s="871" t="s">
        <v>518</v>
      </c>
      <c r="I53" s="366"/>
      <c r="J53" s="366"/>
      <c r="K53" s="366"/>
      <c r="L53" s="366"/>
      <c r="M53" s="366"/>
      <c r="N53" s="869">
        <v>450</v>
      </c>
      <c r="O53" s="369" t="s">
        <v>387</v>
      </c>
      <c r="P53" s="466"/>
    </row>
    <row r="54" spans="2:16" x14ac:dyDescent="0.3">
      <c r="B54" s="367"/>
      <c r="C54" s="374"/>
      <c r="D54" s="366"/>
      <c r="E54" s="366"/>
      <c r="F54" s="566"/>
      <c r="G54" s="366"/>
      <c r="H54" s="915"/>
      <c r="I54" s="366"/>
      <c r="J54" s="366"/>
      <c r="K54" s="366"/>
      <c r="L54" s="366"/>
      <c r="M54" s="366"/>
      <c r="N54" s="916"/>
      <c r="O54" s="581"/>
      <c r="P54" s="466"/>
    </row>
    <row r="55" spans="2:16" x14ac:dyDescent="0.3">
      <c r="B55" s="367"/>
      <c r="C55" s="373" t="s">
        <v>562</v>
      </c>
      <c r="D55" s="366"/>
      <c r="E55" s="366"/>
      <c r="F55" s="303" t="s">
        <v>563</v>
      </c>
      <c r="G55" s="366"/>
      <c r="H55" s="871" t="s">
        <v>564</v>
      </c>
      <c r="I55" s="366"/>
      <c r="J55" s="366"/>
      <c r="K55" s="366"/>
      <c r="L55" s="366"/>
      <c r="M55" s="366"/>
      <c r="N55" s="218">
        <v>107.1</v>
      </c>
      <c r="O55" s="218" t="s">
        <v>543</v>
      </c>
      <c r="P55" s="466"/>
    </row>
    <row r="56" spans="2:16" x14ac:dyDescent="0.3">
      <c r="B56" s="367"/>
      <c r="C56" s="374"/>
      <c r="D56" s="366"/>
      <c r="E56" s="366"/>
      <c r="F56" s="566"/>
      <c r="G56" s="366"/>
      <c r="H56" s="873"/>
      <c r="I56" s="366"/>
      <c r="J56" s="366"/>
      <c r="K56" s="366"/>
      <c r="L56" s="366"/>
      <c r="M56" s="366"/>
      <c r="N56" s="874"/>
      <c r="O56" s="581"/>
      <c r="P56" s="466"/>
    </row>
    <row r="57" spans="2:16" x14ac:dyDescent="0.3">
      <c r="B57" s="367"/>
      <c r="C57" s="373" t="s">
        <v>504</v>
      </c>
      <c r="D57" s="366"/>
      <c r="E57" s="366"/>
      <c r="F57" s="303" t="s">
        <v>505</v>
      </c>
      <c r="G57" s="366"/>
      <c r="H57" s="370" t="s">
        <v>506</v>
      </c>
      <c r="I57" s="366"/>
      <c r="J57" s="366"/>
      <c r="K57" s="366"/>
      <c r="L57" s="366"/>
      <c r="M57" s="366"/>
      <c r="N57" s="1003">
        <v>14000</v>
      </c>
      <c r="O57" s="369" t="s">
        <v>507</v>
      </c>
      <c r="P57" s="466"/>
    </row>
    <row r="58" spans="2:16" x14ac:dyDescent="0.3">
      <c r="B58" s="367"/>
      <c r="C58" s="373"/>
      <c r="D58" s="366"/>
      <c r="E58" s="366"/>
      <c r="F58" s="304"/>
      <c r="G58" s="366"/>
      <c r="H58" s="370" t="s">
        <v>509</v>
      </c>
      <c r="I58" s="366"/>
      <c r="J58" s="366"/>
      <c r="K58" s="366"/>
      <c r="L58" s="366"/>
      <c r="M58" s="366"/>
      <c r="N58" s="218">
        <v>2.5</v>
      </c>
      <c r="O58" s="369" t="s">
        <v>385</v>
      </c>
      <c r="P58" s="466"/>
    </row>
    <row r="59" spans="2:16" x14ac:dyDescent="0.3">
      <c r="B59" s="367"/>
      <c r="C59" s="373"/>
      <c r="D59" s="366"/>
      <c r="E59" s="366"/>
      <c r="F59" s="304"/>
      <c r="G59" s="366"/>
      <c r="H59" s="370" t="s">
        <v>510</v>
      </c>
      <c r="I59" s="366"/>
      <c r="J59" s="366"/>
      <c r="K59" s="366"/>
      <c r="L59" s="366"/>
      <c r="M59" s="366"/>
      <c r="N59" s="218">
        <f>295*2</f>
        <v>590</v>
      </c>
      <c r="O59" s="369" t="s">
        <v>624</v>
      </c>
      <c r="P59" s="466"/>
    </row>
    <row r="60" spans="2:16" x14ac:dyDescent="0.3">
      <c r="B60" s="367"/>
      <c r="C60" s="374"/>
      <c r="D60" s="366"/>
      <c r="E60" s="366"/>
      <c r="G60" s="366"/>
      <c r="H60" s="566"/>
      <c r="I60" s="366"/>
      <c r="N60" s="581"/>
      <c r="O60" s="581"/>
      <c r="P60" s="366"/>
    </row>
    <row r="61" spans="2:16" x14ac:dyDescent="0.3">
      <c r="B61" s="367"/>
      <c r="C61" s="370" t="s">
        <v>447</v>
      </c>
      <c r="D61" s="366"/>
      <c r="E61" s="366"/>
      <c r="F61" s="303" t="s">
        <v>369</v>
      </c>
      <c r="G61" s="366"/>
      <c r="H61" s="370" t="s">
        <v>446</v>
      </c>
      <c r="I61" s="366"/>
      <c r="N61" s="372" t="s">
        <v>445</v>
      </c>
      <c r="O61" s="371" t="s">
        <v>383</v>
      </c>
      <c r="P61" s="366"/>
    </row>
    <row r="62" spans="2:16" x14ac:dyDescent="0.3">
      <c r="B62" s="367"/>
      <c r="C62" s="370"/>
      <c r="D62" s="366"/>
      <c r="E62" s="366"/>
      <c r="F62" s="304"/>
      <c r="G62" s="366"/>
      <c r="H62" s="566"/>
      <c r="I62" s="366"/>
      <c r="N62" s="581"/>
      <c r="O62" s="371"/>
      <c r="P62" s="366"/>
    </row>
    <row r="63" spans="2:16" x14ac:dyDescent="0.3">
      <c r="B63" s="367"/>
      <c r="C63" s="370" t="s">
        <v>378</v>
      </c>
      <c r="D63" s="366"/>
      <c r="E63" s="366"/>
      <c r="F63" s="303" t="s">
        <v>369</v>
      </c>
      <c r="G63" s="366"/>
      <c r="H63" s="370" t="s">
        <v>541</v>
      </c>
      <c r="I63" s="366"/>
      <c r="N63" s="372" t="s">
        <v>560</v>
      </c>
      <c r="O63" s="369" t="s">
        <v>385</v>
      </c>
      <c r="P63" s="366"/>
    </row>
    <row r="64" spans="2:16" x14ac:dyDescent="0.3">
      <c r="B64" s="367"/>
      <c r="C64" s="370"/>
      <c r="D64" s="366"/>
      <c r="E64" s="366"/>
      <c r="F64" s="304"/>
      <c r="G64" s="366"/>
      <c r="H64" s="566"/>
      <c r="I64" s="366"/>
      <c r="N64" s="581"/>
      <c r="O64" s="371"/>
      <c r="P64" s="366"/>
    </row>
    <row r="65" spans="2:17" x14ac:dyDescent="0.3">
      <c r="B65" s="367"/>
      <c r="C65" s="64"/>
      <c r="D65" s="366"/>
      <c r="E65" s="366"/>
      <c r="F65" s="370" t="s">
        <v>371</v>
      </c>
      <c r="G65" s="366"/>
      <c r="H65" s="871" t="s">
        <v>540</v>
      </c>
      <c r="I65" s="366"/>
      <c r="N65" s="369" t="s">
        <v>539</v>
      </c>
      <c r="O65" s="369" t="s">
        <v>385</v>
      </c>
      <c r="P65" s="366"/>
    </row>
    <row r="66" spans="2:17" x14ac:dyDescent="0.3">
      <c r="B66" s="367"/>
      <c r="C66" s="370"/>
      <c r="D66" s="366"/>
      <c r="E66" s="366"/>
      <c r="F66" s="566"/>
      <c r="G66" s="366"/>
      <c r="H66" s="566"/>
      <c r="I66" s="366"/>
      <c r="N66" s="581"/>
      <c r="O66" s="581"/>
      <c r="P66" s="366"/>
    </row>
    <row r="67" spans="2:17" x14ac:dyDescent="0.3">
      <c r="B67" s="367"/>
      <c r="C67" s="370" t="s">
        <v>376</v>
      </c>
      <c r="D67" s="366"/>
      <c r="E67" s="366"/>
      <c r="F67" s="370" t="s">
        <v>371</v>
      </c>
      <c r="G67" s="366"/>
      <c r="H67" s="370" t="s">
        <v>660</v>
      </c>
      <c r="I67" s="366"/>
      <c r="N67" s="1002">
        <f>350/1000</f>
        <v>0.35</v>
      </c>
      <c r="O67" s="369" t="s">
        <v>508</v>
      </c>
      <c r="P67" s="366"/>
    </row>
    <row r="68" spans="2:17" x14ac:dyDescent="0.3">
      <c r="B68" s="367"/>
      <c r="C68" s="367"/>
      <c r="D68" s="366"/>
      <c r="E68" s="366"/>
      <c r="F68" s="367"/>
      <c r="G68" s="366"/>
      <c r="H68" s="366"/>
      <c r="I68" s="366"/>
      <c r="N68" s="371"/>
      <c r="O68" s="371"/>
      <c r="P68" s="366"/>
    </row>
    <row r="69" spans="2:17" x14ac:dyDescent="0.3">
      <c r="B69" s="367"/>
      <c r="C69" s="367"/>
      <c r="D69" s="366"/>
      <c r="E69" s="366"/>
      <c r="F69" s="367"/>
      <c r="G69" s="366"/>
      <c r="H69" s="366"/>
      <c r="I69" s="366"/>
      <c r="N69" s="371"/>
      <c r="O69" s="371"/>
      <c r="P69" s="366"/>
    </row>
    <row r="70" spans="2:17" ht="14.5" x14ac:dyDescent="0.35">
      <c r="B70" s="367" t="s">
        <v>375</v>
      </c>
      <c r="C70" s="367"/>
      <c r="D70" s="366"/>
      <c r="E70" s="366"/>
      <c r="F70" s="419" t="s">
        <v>369</v>
      </c>
      <c r="G70" s="366"/>
      <c r="H70" s="419" t="s">
        <v>544</v>
      </c>
      <c r="I70" s="366"/>
      <c r="N70" s="369" t="s">
        <v>545</v>
      </c>
      <c r="O70" s="369" t="s">
        <v>387</v>
      </c>
      <c r="P70" s="367" t="s">
        <v>551</v>
      </c>
    </row>
    <row r="71" spans="2:17" x14ac:dyDescent="0.3">
      <c r="B71" s="367"/>
      <c r="C71" s="367"/>
      <c r="D71" s="366"/>
      <c r="E71" s="366"/>
      <c r="F71" s="367"/>
      <c r="G71" s="366"/>
      <c r="H71" s="366"/>
      <c r="I71" s="366"/>
      <c r="N71" s="371"/>
      <c r="O71" s="371"/>
      <c r="P71" s="366"/>
    </row>
    <row r="72" spans="2:17" x14ac:dyDescent="0.3">
      <c r="C72" s="367"/>
      <c r="D72" s="366"/>
      <c r="E72" s="366"/>
      <c r="F72" s="370" t="s">
        <v>371</v>
      </c>
      <c r="G72" s="366"/>
      <c r="H72" s="419" t="s">
        <v>588</v>
      </c>
      <c r="I72" s="366"/>
      <c r="N72" s="369" t="s">
        <v>656</v>
      </c>
      <c r="O72" s="369" t="s">
        <v>383</v>
      </c>
      <c r="P72" s="367" t="s">
        <v>542</v>
      </c>
    </row>
    <row r="73" spans="2:17" x14ac:dyDescent="0.3">
      <c r="C73" s="367"/>
      <c r="D73" s="366"/>
      <c r="E73" s="366"/>
      <c r="F73" s="566"/>
      <c r="G73" s="366"/>
      <c r="H73" s="419" t="s">
        <v>591</v>
      </c>
      <c r="I73" s="366"/>
      <c r="N73" s="369">
        <v>12.54</v>
      </c>
      <c r="O73" s="369" t="s">
        <v>383</v>
      </c>
      <c r="P73" s="367" t="s">
        <v>592</v>
      </c>
    </row>
    <row r="74" spans="2:17" ht="14.5" x14ac:dyDescent="0.35">
      <c r="B74" s="367"/>
      <c r="C74" s="367"/>
      <c r="D74" s="366"/>
      <c r="E74" s="366"/>
      <c r="F74" s="367"/>
      <c r="G74" s="366"/>
      <c r="H74" s="871" t="s">
        <v>521</v>
      </c>
      <c r="I74" s="366"/>
      <c r="N74" s="369" t="s">
        <v>520</v>
      </c>
      <c r="O74" s="369" t="s">
        <v>385</v>
      </c>
      <c r="P74" s="367" t="s">
        <v>542</v>
      </c>
    </row>
    <row r="75" spans="2:17" ht="14.5" x14ac:dyDescent="0.35">
      <c r="B75" s="367"/>
      <c r="C75" s="367"/>
      <c r="D75" s="366"/>
      <c r="E75" s="366"/>
      <c r="F75" s="367"/>
      <c r="G75" s="366"/>
      <c r="H75" s="871" t="s">
        <v>522</v>
      </c>
      <c r="I75" s="366"/>
      <c r="N75" s="369" t="s">
        <v>523</v>
      </c>
      <c r="O75" s="369" t="s">
        <v>385</v>
      </c>
      <c r="P75" s="367" t="s">
        <v>542</v>
      </c>
    </row>
    <row r="76" spans="2:17" ht="14.5" x14ac:dyDescent="0.35">
      <c r="B76" s="367"/>
      <c r="C76" s="367"/>
      <c r="D76" s="366"/>
      <c r="E76" s="366"/>
      <c r="F76" s="367"/>
      <c r="G76" s="366"/>
      <c r="H76" s="871" t="s">
        <v>546</v>
      </c>
      <c r="I76" s="366"/>
      <c r="N76" s="369" t="s">
        <v>661</v>
      </c>
      <c r="O76" s="369" t="s">
        <v>387</v>
      </c>
      <c r="P76" s="367" t="s">
        <v>551</v>
      </c>
    </row>
    <row r="77" spans="2:17" ht="14.5" x14ac:dyDescent="0.35">
      <c r="B77" s="367"/>
      <c r="C77" s="367"/>
      <c r="D77" s="366"/>
      <c r="E77" s="366"/>
      <c r="F77" s="367"/>
      <c r="G77" s="366"/>
      <c r="H77" s="871" t="s">
        <v>547</v>
      </c>
      <c r="I77" s="366"/>
      <c r="N77" s="369" t="s">
        <v>662</v>
      </c>
      <c r="O77" s="369" t="s">
        <v>387</v>
      </c>
      <c r="P77" s="367" t="s">
        <v>551</v>
      </c>
    </row>
    <row r="78" spans="2:17" x14ac:dyDescent="0.3">
      <c r="B78" s="367"/>
      <c r="C78" s="367"/>
      <c r="D78" s="366"/>
      <c r="E78" s="366"/>
      <c r="F78" s="367"/>
      <c r="G78" s="366"/>
      <c r="H78" s="871" t="s">
        <v>519</v>
      </c>
      <c r="I78" s="981"/>
      <c r="J78" s="981"/>
      <c r="K78" s="981"/>
      <c r="L78" s="981"/>
      <c r="M78" s="981"/>
      <c r="N78" s="982">
        <v>240.7</v>
      </c>
      <c r="O78" s="983" t="s">
        <v>589</v>
      </c>
      <c r="P78" s="367" t="s">
        <v>590</v>
      </c>
    </row>
    <row r="79" spans="2:17" x14ac:dyDescent="0.3">
      <c r="B79" s="367"/>
      <c r="C79" s="367"/>
      <c r="D79" s="366"/>
      <c r="E79" s="366"/>
      <c r="F79" s="367"/>
      <c r="G79" s="366"/>
      <c r="H79" s="566"/>
      <c r="I79" s="366"/>
      <c r="N79" s="371"/>
      <c r="O79" s="371"/>
      <c r="P79" s="366"/>
    </row>
    <row r="80" spans="2:17" x14ac:dyDescent="0.3">
      <c r="B80" s="367" t="s">
        <v>377</v>
      </c>
      <c r="C80" s="367"/>
      <c r="D80" s="366"/>
      <c r="E80" s="366"/>
      <c r="F80" s="419" t="s">
        <v>370</v>
      </c>
      <c r="G80" s="366"/>
      <c r="H80" s="871" t="s">
        <v>367</v>
      </c>
      <c r="I80" s="366"/>
      <c r="J80" s="366"/>
      <c r="K80" s="366"/>
      <c r="N80" s="420" t="s">
        <v>368</v>
      </c>
      <c r="O80" s="369" t="s">
        <v>387</v>
      </c>
      <c r="Q80" s="303" t="s">
        <v>213</v>
      </c>
    </row>
    <row r="81" spans="2:17" x14ac:dyDescent="0.3">
      <c r="B81" s="367"/>
      <c r="C81" s="367"/>
      <c r="D81" s="366"/>
      <c r="E81" s="366"/>
      <c r="F81" s="418"/>
      <c r="G81" s="366"/>
      <c r="H81" s="871" t="s">
        <v>653</v>
      </c>
      <c r="I81" s="366"/>
      <c r="J81" s="366"/>
      <c r="K81" s="366"/>
      <c r="N81" s="992">
        <v>3.5</v>
      </c>
      <c r="O81" s="369" t="s">
        <v>387</v>
      </c>
      <c r="Q81" s="303" t="s">
        <v>213</v>
      </c>
    </row>
    <row r="82" spans="2:17" x14ac:dyDescent="0.3">
      <c r="B82" s="367"/>
      <c r="C82" s="367"/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Q82" s="63"/>
    </row>
    <row r="83" spans="2:17" x14ac:dyDescent="0.3">
      <c r="B83" s="367"/>
      <c r="C83" s="366"/>
      <c r="D83" s="366"/>
      <c r="E83" s="366"/>
      <c r="F83" s="370" t="s">
        <v>371</v>
      </c>
      <c r="G83" s="366"/>
      <c r="H83" s="871" t="s">
        <v>500</v>
      </c>
      <c r="I83" s="366"/>
      <c r="J83" s="366"/>
      <c r="K83" s="366"/>
      <c r="L83" s="366"/>
      <c r="M83" s="366"/>
      <c r="N83" s="872">
        <v>180</v>
      </c>
      <c r="O83" s="369" t="s">
        <v>387</v>
      </c>
      <c r="Q83" s="303" t="s">
        <v>214</v>
      </c>
    </row>
    <row r="84" spans="2:17" x14ac:dyDescent="0.3">
      <c r="B84" s="367"/>
      <c r="C84" s="366"/>
      <c r="D84" s="366"/>
      <c r="E84" s="366"/>
      <c r="F84" s="366"/>
      <c r="G84" s="366"/>
      <c r="H84" s="871" t="s">
        <v>552</v>
      </c>
      <c r="I84" s="366"/>
      <c r="J84" s="366"/>
      <c r="K84" s="366"/>
      <c r="L84" s="366"/>
      <c r="M84" s="366"/>
      <c r="N84" s="872">
        <v>120</v>
      </c>
      <c r="O84" s="369" t="s">
        <v>387</v>
      </c>
      <c r="Q84" s="303" t="s">
        <v>214</v>
      </c>
    </row>
    <row r="85" spans="2:17" x14ac:dyDescent="0.3">
      <c r="B85" s="367"/>
      <c r="C85" s="366"/>
      <c r="D85" s="366"/>
      <c r="E85" s="366"/>
      <c r="F85" s="366"/>
      <c r="G85" s="366"/>
      <c r="H85" s="871" t="s">
        <v>513</v>
      </c>
      <c r="I85" s="366"/>
      <c r="J85" s="366"/>
      <c r="K85" s="366"/>
      <c r="L85" s="366"/>
      <c r="M85" s="366"/>
      <c r="N85" s="872">
        <v>126.3</v>
      </c>
      <c r="O85" s="369" t="s">
        <v>387</v>
      </c>
      <c r="Q85" s="303" t="s">
        <v>213</v>
      </c>
    </row>
    <row r="86" spans="2:17" x14ac:dyDescent="0.3">
      <c r="B86" s="367"/>
      <c r="C86" s="366"/>
      <c r="D86" s="366"/>
      <c r="E86" s="366"/>
      <c r="F86" s="366"/>
      <c r="G86" s="366"/>
      <c r="H86" s="871" t="s">
        <v>514</v>
      </c>
      <c r="I86" s="366"/>
      <c r="J86" s="366"/>
      <c r="K86" s="366"/>
      <c r="L86" s="366"/>
      <c r="M86" s="366"/>
      <c r="N86" s="1006">
        <v>45</v>
      </c>
      <c r="O86" s="369" t="s">
        <v>387</v>
      </c>
      <c r="Q86" s="303" t="s">
        <v>214</v>
      </c>
    </row>
    <row r="87" spans="2:17" x14ac:dyDescent="0.3">
      <c r="B87" s="367"/>
      <c r="C87" s="366"/>
      <c r="D87" s="366"/>
      <c r="E87" s="366"/>
      <c r="F87" s="366"/>
      <c r="G87" s="366"/>
      <c r="H87" s="871" t="s">
        <v>516</v>
      </c>
      <c r="N87" s="582">
        <v>20</v>
      </c>
      <c r="O87" s="369" t="s">
        <v>387</v>
      </c>
      <c r="Q87" s="303" t="s">
        <v>213</v>
      </c>
    </row>
    <row r="88" spans="2:17" x14ac:dyDescent="0.3">
      <c r="B88" s="367"/>
      <c r="C88" s="366"/>
      <c r="D88" s="366"/>
      <c r="E88" s="366"/>
      <c r="F88" s="366"/>
      <c r="G88" s="366"/>
      <c r="H88" s="871" t="s">
        <v>517</v>
      </c>
      <c r="I88" s="366"/>
      <c r="J88" s="366"/>
      <c r="K88" s="366"/>
      <c r="L88" s="366"/>
      <c r="M88" s="366"/>
      <c r="N88" s="582">
        <v>40.299999999999997</v>
      </c>
      <c r="O88" s="369" t="s">
        <v>387</v>
      </c>
      <c r="Q88" s="303" t="s">
        <v>213</v>
      </c>
    </row>
    <row r="89" spans="2:17" x14ac:dyDescent="0.3">
      <c r="C89" s="366"/>
      <c r="D89" s="366"/>
      <c r="E89" s="366"/>
      <c r="F89" s="366"/>
      <c r="G89" s="366"/>
      <c r="H89" s="871" t="s">
        <v>524</v>
      </c>
      <c r="I89" s="366"/>
      <c r="J89" s="366"/>
      <c r="K89" s="366"/>
      <c r="L89" s="366"/>
      <c r="M89" s="366"/>
      <c r="N89" s="875">
        <v>100</v>
      </c>
      <c r="O89" s="369" t="s">
        <v>387</v>
      </c>
      <c r="Q89" s="303" t="s">
        <v>214</v>
      </c>
    </row>
    <row r="90" spans="2:17" x14ac:dyDescent="0.3">
      <c r="C90" s="366"/>
      <c r="D90" s="366"/>
      <c r="E90" s="366"/>
      <c r="F90" s="366"/>
      <c r="G90" s="366"/>
      <c r="H90" s="16" t="s">
        <v>525</v>
      </c>
      <c r="I90" s="366"/>
      <c r="J90" s="366"/>
      <c r="K90" s="366"/>
      <c r="L90" s="366"/>
      <c r="M90" s="366"/>
      <c r="N90" s="872">
        <v>175</v>
      </c>
      <c r="O90" s="369" t="s">
        <v>387</v>
      </c>
      <c r="Q90" s="303" t="s">
        <v>214</v>
      </c>
    </row>
    <row r="91" spans="2:17" x14ac:dyDescent="0.3">
      <c r="C91" s="366"/>
      <c r="D91" s="366"/>
      <c r="E91" s="366"/>
      <c r="F91" s="366"/>
      <c r="G91" s="366"/>
      <c r="H91" s="16" t="s">
        <v>663</v>
      </c>
      <c r="N91" s="218">
        <v>170</v>
      </c>
      <c r="O91" s="369" t="s">
        <v>387</v>
      </c>
      <c r="Q91" s="210" t="s">
        <v>529</v>
      </c>
    </row>
    <row r="92" spans="2:17" x14ac:dyDescent="0.3">
      <c r="C92" s="366"/>
      <c r="D92" s="366"/>
      <c r="E92" s="366"/>
      <c r="H92" s="16" t="s">
        <v>554</v>
      </c>
      <c r="N92" s="218" t="s">
        <v>553</v>
      </c>
      <c r="O92" s="369" t="s">
        <v>387</v>
      </c>
      <c r="Q92" s="303" t="s">
        <v>214</v>
      </c>
    </row>
    <row r="93" spans="2:17" x14ac:dyDescent="0.3">
      <c r="C93" s="366"/>
      <c r="D93" s="366"/>
      <c r="E93" s="366"/>
    </row>
  </sheetData>
  <sheetProtection selectLockedCells="1" selectUnlockedCells="1"/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69"/>
  <sheetViews>
    <sheetView topLeftCell="A3" workbookViewId="0">
      <selection activeCell="B23" sqref="B23"/>
    </sheetView>
  </sheetViews>
  <sheetFormatPr defaultColWidth="9" defaultRowHeight="14" x14ac:dyDescent="0.3"/>
  <cols>
    <col min="2" max="2" width="17.75" customWidth="1"/>
  </cols>
  <sheetData>
    <row r="3" spans="2:16" x14ac:dyDescent="0.3"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</row>
    <row r="4" spans="2:16" x14ac:dyDescent="0.3">
      <c r="B4" s="506"/>
      <c r="C4" s="435"/>
      <c r="D4" s="514" t="s">
        <v>4</v>
      </c>
      <c r="E4" s="514" t="s">
        <v>5</v>
      </c>
      <c r="F4" s="514" t="s">
        <v>6</v>
      </c>
      <c r="G4" s="514" t="s">
        <v>7</v>
      </c>
      <c r="H4" s="514" t="s">
        <v>260</v>
      </c>
      <c r="I4" s="366"/>
      <c r="J4" s="366"/>
      <c r="K4" s="366"/>
      <c r="L4" s="366"/>
      <c r="M4" s="366"/>
      <c r="N4" s="366"/>
      <c r="O4" s="366"/>
      <c r="P4" s="366"/>
    </row>
    <row r="5" spans="2:16" x14ac:dyDescent="0.3">
      <c r="B5" s="725" t="s">
        <v>222</v>
      </c>
      <c r="C5" s="725" t="s">
        <v>342</v>
      </c>
      <c r="D5" s="154">
        <f>'Arable Inputs'!D18</f>
        <v>7.45</v>
      </c>
      <c r="E5" s="154">
        <f>'Arable Inputs'!E18</f>
        <v>4.1100000000000003</v>
      </c>
      <c r="F5" s="154">
        <f>'Arable Inputs'!F18</f>
        <v>3.3</v>
      </c>
      <c r="G5" s="154">
        <f>'Arable Inputs'!G18</f>
        <v>63.1</v>
      </c>
      <c r="H5" s="154">
        <f>'Arable Inputs'!H18</f>
        <v>8.14</v>
      </c>
      <c r="I5" s="366"/>
      <c r="J5" s="366"/>
      <c r="K5" s="366"/>
      <c r="L5" s="366"/>
      <c r="M5" s="366"/>
      <c r="N5" s="366"/>
      <c r="O5" s="366"/>
      <c r="P5" s="366"/>
    </row>
    <row r="6" spans="2:16" x14ac:dyDescent="0.3"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</row>
    <row r="7" spans="2:16" x14ac:dyDescent="0.3"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</row>
    <row r="8" spans="2:16" x14ac:dyDescent="0.3">
      <c r="B8" s="506"/>
      <c r="C8" s="435"/>
      <c r="D8" s="514" t="s">
        <v>4</v>
      </c>
      <c r="E8" s="514" t="s">
        <v>5</v>
      </c>
      <c r="F8" s="514" t="s">
        <v>6</v>
      </c>
      <c r="G8" s="514" t="s">
        <v>7</v>
      </c>
      <c r="H8" s="514" t="s">
        <v>260</v>
      </c>
      <c r="I8" s="366"/>
      <c r="J8" s="366"/>
      <c r="K8" s="366"/>
      <c r="L8" s="366"/>
      <c r="M8" s="366"/>
      <c r="N8" s="366"/>
      <c r="O8" s="366"/>
      <c r="P8" s="366"/>
    </row>
    <row r="9" spans="2:16" x14ac:dyDescent="0.3">
      <c r="B9" s="725" t="s">
        <v>224</v>
      </c>
      <c r="C9" s="725" t="s">
        <v>595</v>
      </c>
      <c r="D9" s="155">
        <f>'Arable Inputs'!D25</f>
        <v>193.7</v>
      </c>
      <c r="E9" s="155">
        <f>'Arable Inputs'!E25</f>
        <v>154.80000000000001</v>
      </c>
      <c r="F9" s="155">
        <f>'Arable Inputs'!F25</f>
        <v>345.1</v>
      </c>
      <c r="G9" s="155">
        <f>'Arable Inputs'!G25</f>
        <v>26</v>
      </c>
      <c r="H9" s="155">
        <f>'Arable Inputs'!H25</f>
        <v>182.8</v>
      </c>
      <c r="I9" s="366"/>
      <c r="J9" s="366"/>
      <c r="K9" s="366"/>
      <c r="L9" s="366"/>
      <c r="M9" s="366"/>
      <c r="N9" s="366"/>
      <c r="O9" s="366"/>
      <c r="P9" s="366"/>
    </row>
    <row r="10" spans="2:16" x14ac:dyDescent="0.3">
      <c r="B10" s="366"/>
      <c r="C10" s="366"/>
      <c r="D10" s="366"/>
      <c r="E10" s="366"/>
      <c r="F10" s="366"/>
      <c r="G10" s="366"/>
      <c r="H10" s="366"/>
      <c r="I10" s="366"/>
      <c r="J10" s="366"/>
      <c r="K10" s="366"/>
      <c r="L10" s="366"/>
      <c r="M10" s="366"/>
      <c r="N10" s="366"/>
      <c r="O10" s="366"/>
      <c r="P10" s="366"/>
    </row>
    <row r="11" spans="2:16" x14ac:dyDescent="0.3">
      <c r="B11" s="366"/>
      <c r="C11" s="366"/>
      <c r="D11" s="366"/>
      <c r="E11" s="366"/>
      <c r="F11" s="366"/>
      <c r="G11" s="366"/>
      <c r="H11" s="366"/>
      <c r="I11" s="366"/>
      <c r="J11" s="366"/>
      <c r="K11" s="366"/>
      <c r="L11" s="366"/>
      <c r="M11" s="366"/>
      <c r="N11" s="366"/>
      <c r="O11" s="366"/>
      <c r="P11" s="366"/>
    </row>
    <row r="12" spans="2:16" x14ac:dyDescent="0.3">
      <c r="B12" s="725" t="s">
        <v>219</v>
      </c>
      <c r="C12" s="726" t="s">
        <v>594</v>
      </c>
      <c r="D12" s="155">
        <f>'Arable Inputs'!D10</f>
        <v>175.95</v>
      </c>
      <c r="E12" s="366"/>
      <c r="F12" s="366"/>
      <c r="G12" s="366"/>
      <c r="H12" s="366"/>
      <c r="I12" s="366"/>
      <c r="J12" s="366"/>
      <c r="K12" s="366"/>
      <c r="L12" s="366"/>
      <c r="M12" s="366"/>
      <c r="N12" s="366"/>
      <c r="O12" s="366"/>
      <c r="P12" s="366"/>
    </row>
    <row r="13" spans="2:16" x14ac:dyDescent="0.3">
      <c r="B13" s="366"/>
      <c r="C13" s="366"/>
      <c r="D13" s="366"/>
      <c r="E13" s="366"/>
      <c r="F13" s="366"/>
      <c r="G13" s="366"/>
      <c r="H13" s="366"/>
      <c r="I13" s="366"/>
      <c r="J13" s="366"/>
      <c r="K13" s="366"/>
      <c r="L13" s="366"/>
      <c r="M13" s="366"/>
      <c r="N13" s="366"/>
      <c r="O13" s="366"/>
      <c r="P13" s="366"/>
    </row>
    <row r="14" spans="2:16" x14ac:dyDescent="0.3"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  <c r="N14" s="366"/>
      <c r="O14" s="366"/>
      <c r="P14" s="366"/>
    </row>
    <row r="15" spans="2:16" x14ac:dyDescent="0.3">
      <c r="B15" s="518" t="s">
        <v>339</v>
      </c>
      <c r="C15" s="681"/>
      <c r="D15" s="514" t="s">
        <v>4</v>
      </c>
      <c r="E15" s="514" t="s">
        <v>5</v>
      </c>
      <c r="F15" s="514" t="s">
        <v>6</v>
      </c>
      <c r="G15" s="514" t="s">
        <v>7</v>
      </c>
      <c r="H15" s="514" t="s">
        <v>260</v>
      </c>
      <c r="I15" s="366"/>
      <c r="J15" s="366"/>
      <c r="K15" s="366"/>
      <c r="L15" s="366"/>
      <c r="M15" s="366"/>
      <c r="N15" s="366"/>
      <c r="O15" s="366"/>
      <c r="P15" s="366"/>
    </row>
    <row r="16" spans="2:16" x14ac:dyDescent="0.3">
      <c r="B16" s="355" t="s">
        <v>12</v>
      </c>
      <c r="C16" s="356" t="s">
        <v>599</v>
      </c>
      <c r="D16" s="111">
        <f>'Arable margins'!E47</f>
        <v>671.92799999999988</v>
      </c>
      <c r="E16" s="111">
        <f>'Arable margins'!F47</f>
        <v>468.64299999999992</v>
      </c>
      <c r="F16" s="111">
        <f>'Arable margins'!G47</f>
        <v>619.745</v>
      </c>
      <c r="G16" s="111">
        <f>'Arable margins'!H47</f>
        <v>819.30399999999986</v>
      </c>
      <c r="H16" s="111">
        <f>'Arable margins'!I47</f>
        <v>574.23049999999989</v>
      </c>
      <c r="I16" s="366"/>
      <c r="J16" s="366"/>
      <c r="K16" s="366"/>
      <c r="L16" s="366"/>
      <c r="M16" s="366"/>
      <c r="N16" s="366"/>
      <c r="O16" s="366"/>
      <c r="P16" s="366"/>
    </row>
    <row r="17" spans="2:16" x14ac:dyDescent="0.3">
      <c r="B17" s="366"/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  <c r="O17" s="366"/>
      <c r="P17" s="366"/>
    </row>
    <row r="18" spans="2:16" x14ac:dyDescent="0.3"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  <c r="N18" s="366"/>
      <c r="O18" s="366"/>
      <c r="P18" s="366"/>
    </row>
    <row r="19" spans="2:16" x14ac:dyDescent="0.3">
      <c r="B19" s="518" t="s">
        <v>22</v>
      </c>
      <c r="C19" s="681"/>
      <c r="D19" s="514" t="s">
        <v>4</v>
      </c>
      <c r="E19" s="514" t="s">
        <v>5</v>
      </c>
      <c r="F19" s="514" t="s">
        <v>6</v>
      </c>
      <c r="G19" s="514" t="s">
        <v>7</v>
      </c>
      <c r="H19" s="514" t="s">
        <v>260</v>
      </c>
      <c r="I19" s="366"/>
      <c r="J19" s="366"/>
      <c r="K19" s="366"/>
      <c r="L19" s="366"/>
      <c r="M19" s="366"/>
      <c r="N19" s="366"/>
      <c r="O19" s="366"/>
      <c r="P19" s="366"/>
    </row>
    <row r="20" spans="2:16" x14ac:dyDescent="0.3">
      <c r="B20" s="357" t="s">
        <v>12</v>
      </c>
      <c r="C20" s="356" t="s">
        <v>599</v>
      </c>
      <c r="D20" s="100">
        <f>'Arable margins'!E76</f>
        <v>969.47373599999992</v>
      </c>
      <c r="E20" s="100">
        <f>'Arable margins'!F76</f>
        <v>888.75536799999986</v>
      </c>
      <c r="F20" s="100">
        <f>'Arable margins'!G76</f>
        <v>710.23622685714281</v>
      </c>
      <c r="G20" s="100">
        <f>'Arable margins'!H76</f>
        <v>996.95456799999988</v>
      </c>
      <c r="H20" s="100">
        <f>'Arable margins'!I76</f>
        <v>636.366536</v>
      </c>
      <c r="I20" s="366"/>
      <c r="J20" s="366"/>
      <c r="K20" s="366"/>
      <c r="L20" s="366"/>
      <c r="M20" s="366"/>
      <c r="N20" s="366"/>
      <c r="O20" s="366"/>
      <c r="P20" s="366"/>
    </row>
    <row r="21" spans="2:16" x14ac:dyDescent="0.3">
      <c r="B21" s="366"/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  <c r="O21" s="366"/>
      <c r="P21" s="366"/>
    </row>
    <row r="22" spans="2:16" x14ac:dyDescent="0.3">
      <c r="B22" s="366"/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  <c r="O22" s="366"/>
      <c r="P22" s="366"/>
    </row>
    <row r="23" spans="2:16" x14ac:dyDescent="0.3">
      <c r="B23" s="518" t="s">
        <v>670</v>
      </c>
      <c r="C23" s="681"/>
      <c r="D23" s="514" t="s">
        <v>4</v>
      </c>
      <c r="E23" s="514" t="s">
        <v>5</v>
      </c>
      <c r="F23" s="514" t="s">
        <v>6</v>
      </c>
      <c r="G23" s="514" t="s">
        <v>7</v>
      </c>
      <c r="H23" s="514" t="s">
        <v>260</v>
      </c>
      <c r="I23" s="366"/>
      <c r="J23" s="366"/>
      <c r="K23" s="366"/>
      <c r="L23" s="366"/>
      <c r="M23" s="366"/>
      <c r="N23" s="366"/>
      <c r="O23" s="366"/>
      <c r="P23" s="366"/>
    </row>
    <row r="24" spans="2:16" x14ac:dyDescent="0.3">
      <c r="B24" s="331" t="s">
        <v>12</v>
      </c>
      <c r="C24" s="333" t="s">
        <v>599</v>
      </c>
      <c r="D24" s="694">
        <f>'Margins summary'!E12</f>
        <v>1729.52</v>
      </c>
      <c r="E24" s="694">
        <f>'Margins summary'!F12</f>
        <v>913.07799999999997</v>
      </c>
      <c r="F24" s="694">
        <f>'Margins summary'!G12</f>
        <v>1249.0049999999999</v>
      </c>
      <c r="G24" s="694">
        <f>'Margins summary'!H12</f>
        <v>1640.6000000000001</v>
      </c>
      <c r="H24" s="694">
        <f>'Margins summary'!I12</f>
        <v>1487.9920000000002</v>
      </c>
      <c r="I24" s="366"/>
      <c r="J24" s="366"/>
      <c r="K24" s="366"/>
      <c r="L24" s="366"/>
      <c r="M24" s="366"/>
      <c r="N24" s="366"/>
      <c r="O24" s="366"/>
      <c r="P24" s="366"/>
    </row>
    <row r="25" spans="2:16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6" spans="2:16" x14ac:dyDescent="0.3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  <c r="O26" s="366"/>
      <c r="P26" s="366"/>
    </row>
    <row r="27" spans="2:16" x14ac:dyDescent="0.3">
      <c r="B27" s="518" t="s">
        <v>671</v>
      </c>
      <c r="C27" s="681"/>
      <c r="D27" s="514" t="s">
        <v>4</v>
      </c>
      <c r="E27" s="514" t="s">
        <v>5</v>
      </c>
      <c r="F27" s="514" t="s">
        <v>6</v>
      </c>
      <c r="G27" s="514" t="s">
        <v>7</v>
      </c>
      <c r="H27" s="514" t="s">
        <v>260</v>
      </c>
      <c r="I27" s="366"/>
      <c r="J27" s="366"/>
      <c r="K27" s="366"/>
      <c r="L27" s="366"/>
      <c r="M27" s="366"/>
      <c r="N27" s="366"/>
      <c r="O27" s="366"/>
      <c r="P27" s="366"/>
    </row>
    <row r="28" spans="2:16" x14ac:dyDescent="0.3">
      <c r="B28" s="331" t="s">
        <v>12</v>
      </c>
      <c r="C28" s="333" t="s">
        <v>599</v>
      </c>
      <c r="D28" s="694">
        <f>'Margins summary'!E18</f>
        <v>1905.47</v>
      </c>
      <c r="E28" s="694">
        <f>'Margins summary'!F18</f>
        <v>1089.028</v>
      </c>
      <c r="F28" s="694">
        <f>'Margins summary'!G18</f>
        <v>1424.9549999999999</v>
      </c>
      <c r="G28" s="694">
        <f>'Margins summary'!H18</f>
        <v>1816.5500000000002</v>
      </c>
      <c r="H28" s="694">
        <f>'Margins summary'!I18</f>
        <v>1663.9420000000002</v>
      </c>
      <c r="I28" s="366"/>
      <c r="J28" s="366"/>
      <c r="K28" s="366"/>
      <c r="L28" s="366"/>
      <c r="M28" s="366"/>
      <c r="N28" s="366"/>
      <c r="O28" s="366"/>
      <c r="P28" s="366"/>
    </row>
    <row r="29" spans="2:16" x14ac:dyDescent="0.3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/>
      <c r="P29" s="366"/>
    </row>
    <row r="30" spans="2:16" x14ac:dyDescent="0.3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</row>
    <row r="31" spans="2:16" x14ac:dyDescent="0.3">
      <c r="B31" s="366"/>
      <c r="C31" s="518" t="s">
        <v>672</v>
      </c>
      <c r="D31" s="680"/>
      <c r="E31" s="680"/>
      <c r="F31" s="680"/>
      <c r="G31" s="680"/>
      <c r="H31" s="681"/>
      <c r="I31" s="366"/>
      <c r="J31" s="518" t="s">
        <v>673</v>
      </c>
      <c r="K31" s="680"/>
      <c r="L31" s="680"/>
      <c r="M31" s="680"/>
      <c r="N31" s="680"/>
      <c r="O31" s="681"/>
      <c r="P31" s="366"/>
    </row>
    <row r="32" spans="2:16" x14ac:dyDescent="0.3">
      <c r="B32" s="358"/>
      <c r="C32" s="564"/>
      <c r="D32" s="727" t="s">
        <v>4</v>
      </c>
      <c r="E32" s="727" t="s">
        <v>5</v>
      </c>
      <c r="F32" s="727" t="s">
        <v>6</v>
      </c>
      <c r="G32" s="727" t="s">
        <v>7</v>
      </c>
      <c r="H32" s="727" t="s">
        <v>260</v>
      </c>
      <c r="I32" s="366"/>
      <c r="J32" s="564"/>
      <c r="K32" s="727" t="s">
        <v>4</v>
      </c>
      <c r="L32" s="727" t="s">
        <v>5</v>
      </c>
      <c r="M32" s="727" t="s">
        <v>6</v>
      </c>
      <c r="N32" s="727" t="s">
        <v>7</v>
      </c>
      <c r="O32" s="727" t="s">
        <v>260</v>
      </c>
      <c r="P32" s="366"/>
    </row>
    <row r="33" spans="2:16" x14ac:dyDescent="0.3">
      <c r="B33" s="366"/>
      <c r="C33" s="728">
        <v>1</v>
      </c>
      <c r="D33" s="559">
        <f>'Arable NPV'!N13</f>
        <v>88.118264000000181</v>
      </c>
      <c r="E33" s="559">
        <f>'Arable NPV'!N39</f>
        <v>-444.32036799999969</v>
      </c>
      <c r="F33" s="559">
        <f>'Arable NPV'!N65</f>
        <v>-80.976226857142819</v>
      </c>
      <c r="G33" s="559">
        <f>'Arable NPV'!N91</f>
        <v>-175.6585679999996</v>
      </c>
      <c r="H33" s="559">
        <f>'Arable NPV'!N117</f>
        <v>277.3949640000003</v>
      </c>
      <c r="I33" s="366"/>
      <c r="J33" s="728">
        <v>1</v>
      </c>
      <c r="K33" s="559">
        <f>'Arable NPV'!O13</f>
        <v>264.06826400000017</v>
      </c>
      <c r="L33" s="559">
        <f>'Arable NPV'!O39</f>
        <v>-268.3703679999997</v>
      </c>
      <c r="M33" s="559">
        <f>'Arable NPV'!O65</f>
        <v>94.973773142857169</v>
      </c>
      <c r="N33" s="559">
        <f>'Arable NPV'!O91</f>
        <v>0.29143200000038405</v>
      </c>
      <c r="O33" s="559">
        <f>'Arable NPV'!O117</f>
        <v>453.34496400000035</v>
      </c>
      <c r="P33" s="366"/>
    </row>
    <row r="34" spans="2:16" x14ac:dyDescent="0.3">
      <c r="B34" s="366"/>
      <c r="C34" s="420">
        <v>2</v>
      </c>
      <c r="D34" s="560">
        <f>'Arable NPV'!N14</f>
        <v>84.729100000000244</v>
      </c>
      <c r="E34" s="560">
        <f>'Arable NPV'!N40</f>
        <v>-427.23112307692281</v>
      </c>
      <c r="F34" s="560">
        <f>'Arable NPV'!N66</f>
        <v>-77.861756593406653</v>
      </c>
      <c r="G34" s="560">
        <f>'Arable NPV'!N92</f>
        <v>-168.90246923076893</v>
      </c>
      <c r="H34" s="560">
        <f>'Arable NPV'!N118</f>
        <v>266.72592692307722</v>
      </c>
      <c r="I34" s="366"/>
      <c r="J34" s="420">
        <v>2</v>
      </c>
      <c r="K34" s="560">
        <f>'Arable NPV'!O14</f>
        <v>253.91179230769254</v>
      </c>
      <c r="L34" s="560">
        <f>'Arable NPV'!O40</f>
        <v>-258.04843076923055</v>
      </c>
      <c r="M34" s="560">
        <f>'Arable NPV'!O66</f>
        <v>91.320935714285639</v>
      </c>
      <c r="N34" s="560">
        <f>'Arable NPV'!O92</f>
        <v>0.28022307692336312</v>
      </c>
      <c r="O34" s="560">
        <f>'Arable NPV'!O118</f>
        <v>435.90861923076955</v>
      </c>
      <c r="P34" s="366"/>
    </row>
    <row r="35" spans="2:16" x14ac:dyDescent="0.3">
      <c r="B35" s="366"/>
      <c r="C35" s="420">
        <v>3</v>
      </c>
      <c r="D35" s="560">
        <f>'Arable NPV'!N15</f>
        <v>81.470288461538757</v>
      </c>
      <c r="E35" s="560">
        <f>'Arable NPV'!N41</f>
        <v>-410.79915680473346</v>
      </c>
      <c r="F35" s="560">
        <f>'Arable NPV'!N67</f>
        <v>-74.867073647506459</v>
      </c>
      <c r="G35" s="560">
        <f>'Arable NPV'!N93</f>
        <v>-162.40622041420079</v>
      </c>
      <c r="H35" s="560">
        <f>'Arable NPV'!N119</f>
        <v>256.46723742603575</v>
      </c>
      <c r="I35" s="366"/>
      <c r="J35" s="420">
        <v>3</v>
      </c>
      <c r="K35" s="560">
        <f>'Arable NPV'!O15</f>
        <v>244.1459541420121</v>
      </c>
      <c r="L35" s="560">
        <f>'Arable NPV'!O41</f>
        <v>-248.12349112426011</v>
      </c>
      <c r="M35" s="560">
        <f>'Arable NPV'!O67</f>
        <v>87.808592032966885</v>
      </c>
      <c r="N35" s="560">
        <f>'Arable NPV'!O93</f>
        <v>0.26944526627255527</v>
      </c>
      <c r="O35" s="560">
        <f>'Arable NPV'!O119</f>
        <v>419.14290310650915</v>
      </c>
      <c r="P35" s="366"/>
    </row>
    <row r="36" spans="2:16" x14ac:dyDescent="0.3">
      <c r="B36" s="366"/>
      <c r="C36" s="420">
        <v>4</v>
      </c>
      <c r="D36" s="560">
        <f>'Arable NPV'!N16</f>
        <v>78.336815828402678</v>
      </c>
      <c r="E36" s="560">
        <f>'Arable NPV'!N42</f>
        <v>-394.9991892353205</v>
      </c>
      <c r="F36" s="560">
        <f>'Arable NPV'!N68</f>
        <v>-71.987570814909986</v>
      </c>
      <c r="G36" s="560">
        <f>'Arable NPV'!N94</f>
        <v>-156.15982732134694</v>
      </c>
      <c r="H36" s="560">
        <f>'Arable NPV'!N120</f>
        <v>246.60311290964978</v>
      </c>
      <c r="I36" s="366"/>
      <c r="J36" s="420">
        <v>4</v>
      </c>
      <c r="K36" s="560">
        <f>'Arable NPV'!O16</f>
        <v>234.75572513655013</v>
      </c>
      <c r="L36" s="560">
        <f>'Arable NPV'!O42</f>
        <v>-238.58027992717305</v>
      </c>
      <c r="M36" s="560">
        <f>'Arable NPV'!O68</f>
        <v>84.431338493237462</v>
      </c>
      <c r="N36" s="560">
        <f>'Arable NPV'!O94</f>
        <v>0.25908198680050987</v>
      </c>
      <c r="O36" s="560">
        <f>'Arable NPV'!O120</f>
        <v>403.02202221779726</v>
      </c>
      <c r="P36" s="366"/>
    </row>
    <row r="37" spans="2:16" x14ac:dyDescent="0.3">
      <c r="B37" s="366"/>
      <c r="C37" s="420">
        <v>5</v>
      </c>
      <c r="D37" s="560">
        <f>'Arable NPV'!N17</f>
        <v>75.323861373464069</v>
      </c>
      <c r="E37" s="560">
        <f>'Arable NPV'!N43</f>
        <v>-379.80691272626962</v>
      </c>
      <c r="F37" s="560">
        <f>'Arable NPV'!N69</f>
        <v>-69.218818091259436</v>
      </c>
      <c r="G37" s="560">
        <f>'Arable NPV'!N95</f>
        <v>-150.15368011667965</v>
      </c>
      <c r="H37" s="560">
        <f>'Arable NPV'!N121</f>
        <v>237.11837779774015</v>
      </c>
      <c r="I37" s="366"/>
      <c r="J37" s="420">
        <v>5</v>
      </c>
      <c r="K37" s="560">
        <f>'Arable NPV'!O17</f>
        <v>225.72665878514431</v>
      </c>
      <c r="L37" s="560">
        <f>'Arable NPV'!O43</f>
        <v>-229.40411531458938</v>
      </c>
      <c r="M37" s="560">
        <f>'Arable NPV'!O69</f>
        <v>81.183979320420804</v>
      </c>
      <c r="N37" s="560">
        <f>'Arable NPV'!O95</f>
        <v>0.24911729500058755</v>
      </c>
      <c r="O37" s="560">
        <f>'Arable NPV'!O121</f>
        <v>387.52117520942039</v>
      </c>
      <c r="P37" s="366"/>
    </row>
    <row r="38" spans="2:16" x14ac:dyDescent="0.3">
      <c r="B38" s="366"/>
      <c r="C38" s="420">
        <v>6</v>
      </c>
      <c r="D38" s="560">
        <f>'Arable NPV'!N18</f>
        <v>72.426789782176911</v>
      </c>
      <c r="E38" s="560">
        <f>'Arable NPV'!N44</f>
        <v>-365.19895454448999</v>
      </c>
      <c r="F38" s="560">
        <f>'Arable NPV'!N70</f>
        <v>-66.556555856980367</v>
      </c>
      <c r="G38" s="560">
        <f>'Arable NPV'!N96</f>
        <v>-144.37853857373034</v>
      </c>
      <c r="H38" s="560">
        <f>'Arable NPV'!N122</f>
        <v>227.99844019013472</v>
      </c>
      <c r="I38" s="366"/>
      <c r="J38" s="420">
        <v>6</v>
      </c>
      <c r="K38" s="560">
        <f>'Arable NPV'!O18</f>
        <v>217.0448642164848</v>
      </c>
      <c r="L38" s="560">
        <f>'Arable NPV'!O44</f>
        <v>-220.58088011018211</v>
      </c>
      <c r="M38" s="560">
        <f>'Arable NPV'!O70</f>
        <v>78.061518577327519</v>
      </c>
      <c r="N38" s="560">
        <f>'Arable NPV'!O96</f>
        <v>0.23953586057754706</v>
      </c>
      <c r="O38" s="560">
        <f>'Arable NPV'!O122</f>
        <v>372.61651462444269</v>
      </c>
      <c r="P38" s="366"/>
    </row>
    <row r="39" spans="2:16" x14ac:dyDescent="0.3">
      <c r="B39" s="366"/>
      <c r="C39" s="420">
        <v>7</v>
      </c>
      <c r="D39" s="560">
        <f>'Arable NPV'!N19</f>
        <v>69.641144021323953</v>
      </c>
      <c r="E39" s="560">
        <f>'Arable NPV'!N45</f>
        <v>-351.15284090816363</v>
      </c>
      <c r="F39" s="560">
        <f>'Arable NPV'!N71</f>
        <v>-63.996688324019487</v>
      </c>
      <c r="G39" s="560">
        <f>'Arable NPV'!N97</f>
        <v>-138.82551785935607</v>
      </c>
      <c r="H39" s="560">
        <f>'Arable NPV'!N123</f>
        <v>219.22926941359108</v>
      </c>
      <c r="I39" s="366"/>
      <c r="J39" s="420">
        <v>7</v>
      </c>
      <c r="K39" s="560">
        <f>'Arable NPV'!O19</f>
        <v>208.69698482354309</v>
      </c>
      <c r="L39" s="560">
        <f>'Arable NPV'!O45</f>
        <v>-212.09700010594449</v>
      </c>
      <c r="M39" s="560">
        <f>'Arable NPV'!O71</f>
        <v>75.05915247819965</v>
      </c>
      <c r="N39" s="560">
        <f>'Arable NPV'!O97</f>
        <v>0.23032294286306865</v>
      </c>
      <c r="O39" s="560">
        <f>'Arable NPV'!O123</f>
        <v>358.28511021581028</v>
      </c>
      <c r="P39" s="366"/>
    </row>
    <row r="40" spans="2:16" x14ac:dyDescent="0.3">
      <c r="B40" s="366"/>
      <c r="C40" s="420">
        <v>8</v>
      </c>
      <c r="D40" s="560">
        <f>'Arable NPV'!N20</f>
        <v>66.962638482042394</v>
      </c>
      <c r="E40" s="560">
        <f>'Arable NPV'!N46</f>
        <v>-337.64696241169588</v>
      </c>
      <c r="F40" s="560">
        <f>'Arable NPV'!N72</f>
        <v>-61.535277234634236</v>
      </c>
      <c r="G40" s="560">
        <f>'Arable NPV'!N98</f>
        <v>-133.48607486476567</v>
      </c>
      <c r="H40" s="560">
        <f>'Arable NPV'!N124</f>
        <v>210.79737443614528</v>
      </c>
      <c r="I40" s="366"/>
      <c r="J40" s="420">
        <v>8</v>
      </c>
      <c r="K40" s="560">
        <f>'Arable NPV'!O20</f>
        <v>200.67017771494542</v>
      </c>
      <c r="L40" s="560">
        <f>'Arable NPV'!O46</f>
        <v>-203.93942317879285</v>
      </c>
      <c r="M40" s="560">
        <f>'Arable NPV'!O72</f>
        <v>72.172261998268795</v>
      </c>
      <c r="N40" s="560">
        <f>'Arable NPV'!O98</f>
        <v>0.22146436813736159</v>
      </c>
      <c r="O40" s="560">
        <f>'Arable NPV'!O124</f>
        <v>344.50491366904834</v>
      </c>
      <c r="P40" s="366"/>
    </row>
    <row r="41" spans="2:16" x14ac:dyDescent="0.3">
      <c r="B41" s="366"/>
      <c r="C41" s="420">
        <v>9</v>
      </c>
      <c r="D41" s="560">
        <f>'Arable NPV'!N21</f>
        <v>64.387152386579146</v>
      </c>
      <c r="E41" s="560">
        <f>'Arable NPV'!N47</f>
        <v>-324.66054078047659</v>
      </c>
      <c r="F41" s="560">
        <f>'Arable NPV'!N73</f>
        <v>-59.168535802532801</v>
      </c>
      <c r="G41" s="560">
        <f>'Arable NPV'!N99</f>
        <v>-128.35199506227468</v>
      </c>
      <c r="H41" s="560">
        <f>'Arable NPV'!N125</f>
        <v>202.68978311167814</v>
      </c>
      <c r="I41" s="366"/>
      <c r="J41" s="420">
        <v>9</v>
      </c>
      <c r="K41" s="560">
        <f>'Arable NPV'!O21</f>
        <v>192.95209395667817</v>
      </c>
      <c r="L41" s="560">
        <f>'Arable NPV'!O47</f>
        <v>-196.09559921037757</v>
      </c>
      <c r="M41" s="560">
        <f>'Arable NPV'!O73</f>
        <v>69.396405767566222</v>
      </c>
      <c r="N41" s="560">
        <f>'Arable NPV'!O99</f>
        <v>0.21294650782434132</v>
      </c>
      <c r="O41" s="560">
        <f>'Arable NPV'!O125</f>
        <v>331.25472468177719</v>
      </c>
      <c r="P41" s="366"/>
    </row>
    <row r="42" spans="2:16" x14ac:dyDescent="0.3">
      <c r="B42" s="366"/>
      <c r="C42" s="420">
        <v>10</v>
      </c>
      <c r="D42" s="560">
        <f>'Arable NPV'!N22</f>
        <v>61.910723448633917</v>
      </c>
      <c r="E42" s="560">
        <f>'Arable NPV'!N48</f>
        <v>-312.17359690430442</v>
      </c>
      <c r="F42" s="560">
        <f>'Arable NPV'!N74</f>
        <v>-56.892822887050784</v>
      </c>
      <c r="G42" s="560">
        <f>'Arable NPV'!N100</f>
        <v>-123.4153798675718</v>
      </c>
      <c r="H42" s="560">
        <f>'Arable NPV'!N126</f>
        <v>194.8940222227674</v>
      </c>
      <c r="I42" s="366"/>
      <c r="J42" s="420">
        <v>10</v>
      </c>
      <c r="K42" s="560">
        <f>'Arable NPV'!O22</f>
        <v>185.53085957372912</v>
      </c>
      <c r="L42" s="560">
        <f>'Arable NPV'!O48</f>
        <v>-188.55346077920922</v>
      </c>
      <c r="M42" s="560">
        <f>'Arable NPV'!O74</f>
        <v>66.727313238044431</v>
      </c>
      <c r="N42" s="560">
        <f>'Arable NPV'!O100</f>
        <v>0.20475625752341386</v>
      </c>
      <c r="O42" s="560">
        <f>'Arable NPV'!O126</f>
        <v>318.51415834786269</v>
      </c>
      <c r="P42" s="366"/>
    </row>
    <row r="43" spans="2:16" x14ac:dyDescent="0.3">
      <c r="B43" s="366"/>
      <c r="C43" s="420">
        <v>11</v>
      </c>
      <c r="D43" s="560">
        <f>'Arable NPV'!N23</f>
        <v>59.529541777532359</v>
      </c>
      <c r="E43" s="560">
        <f>'Arable NPV'!N49</f>
        <v>-300.16692010029271</v>
      </c>
      <c r="F43" s="560">
        <f>'Arable NPV'!N75</f>
        <v>-54.704637391394954</v>
      </c>
      <c r="G43" s="560">
        <f>'Arable NPV'!N101</f>
        <v>-118.66863448804975</v>
      </c>
      <c r="H43" s="560">
        <f>'Arable NPV'!N127</f>
        <v>187.39809829112252</v>
      </c>
      <c r="I43" s="366"/>
      <c r="J43" s="420">
        <v>11</v>
      </c>
      <c r="K43" s="560">
        <f>'Arable NPV'!O23</f>
        <v>178.39505728243159</v>
      </c>
      <c r="L43" s="560">
        <f>'Arable NPV'!O49</f>
        <v>-181.30140459539348</v>
      </c>
      <c r="M43" s="560">
        <f>'Arable NPV'!O75</f>
        <v>64.160878113504296</v>
      </c>
      <c r="N43" s="560">
        <f>'Arable NPV'!O101</f>
        <v>0.19688101684950254</v>
      </c>
      <c r="O43" s="560">
        <f>'Arable NPV'!O127</f>
        <v>306.26361379602179</v>
      </c>
      <c r="P43" s="366"/>
    </row>
    <row r="44" spans="2:16" x14ac:dyDescent="0.3">
      <c r="B44" s="366"/>
      <c r="C44" s="420">
        <v>12</v>
      </c>
      <c r="D44" s="560">
        <f>'Arable NPV'!N24</f>
        <v>57.23994401685809</v>
      </c>
      <c r="E44" s="560">
        <f>'Arable NPV'!N50</f>
        <v>-288.62203855797372</v>
      </c>
      <c r="F44" s="560">
        <f>'Arable NPV'!N76</f>
        <v>-52.600612876341302</v>
      </c>
      <c r="G44" s="560">
        <f>'Arable NPV'!N102</f>
        <v>-114.10445623850956</v>
      </c>
      <c r="H44" s="560">
        <f>'Arable NPV'!N128</f>
        <v>180.19047912607937</v>
      </c>
      <c r="I44" s="366"/>
      <c r="J44" s="420">
        <v>12</v>
      </c>
      <c r="K44" s="560">
        <f>'Arable NPV'!O24</f>
        <v>171.53370892541506</v>
      </c>
      <c r="L44" s="560">
        <f>'Arable NPV'!O50</f>
        <v>-174.32827364941676</v>
      </c>
      <c r="M44" s="560">
        <f>'Arable NPV'!O76</f>
        <v>61.693152032215679</v>
      </c>
      <c r="N44" s="560">
        <f>'Arable NPV'!O102</f>
        <v>0.18930867004742424</v>
      </c>
      <c r="O44" s="560">
        <f>'Arable NPV'!O128</f>
        <v>294.48424403463639</v>
      </c>
      <c r="P44" s="366"/>
    </row>
    <row r="45" spans="2:16" x14ac:dyDescent="0.3">
      <c r="B45" s="366"/>
      <c r="C45" s="420">
        <v>13</v>
      </c>
      <c r="D45" s="560">
        <f>'Arable NPV'!N25</f>
        <v>55.038407708517298</v>
      </c>
      <c r="E45" s="560">
        <f>'Arable NPV'!N51</f>
        <v>-277.52119092112855</v>
      </c>
      <c r="F45" s="560">
        <f>'Arable NPV'!N77</f>
        <v>-50.577512381097449</v>
      </c>
      <c r="G45" s="560">
        <f>'Arable NPV'!N103</f>
        <v>-109.71582330625893</v>
      </c>
      <c r="H45" s="560">
        <f>'Arable NPV'!N129</f>
        <v>173.26007608276856</v>
      </c>
      <c r="I45" s="366"/>
      <c r="J45" s="420">
        <v>13</v>
      </c>
      <c r="K45" s="560">
        <f>'Arable NPV'!O25</f>
        <v>164.93625858212977</v>
      </c>
      <c r="L45" s="560">
        <f>'Arable NPV'!O51</f>
        <v>-167.62334004751608</v>
      </c>
      <c r="M45" s="560">
        <f>'Arable NPV'!O77</f>
        <v>59.320338492515006</v>
      </c>
      <c r="N45" s="560">
        <f>'Arable NPV'!O103</f>
        <v>0.18202756735352921</v>
      </c>
      <c r="O45" s="560">
        <f>'Arable NPV'!O129</f>
        <v>283.15792695638106</v>
      </c>
      <c r="P45" s="366"/>
    </row>
    <row r="46" spans="2:16" x14ac:dyDescent="0.3">
      <c r="B46" s="366"/>
      <c r="C46" s="420">
        <v>14</v>
      </c>
      <c r="D46" s="560">
        <f>'Arable NPV'!N26</f>
        <v>52.921545873574473</v>
      </c>
      <c r="E46" s="560">
        <f>'Arable NPV'!N52</f>
        <v>-266.84729896262365</v>
      </c>
      <c r="F46" s="560">
        <f>'Arable NPV'!N78</f>
        <v>-48.632223443362932</v>
      </c>
      <c r="G46" s="560">
        <f>'Arable NPV'!N104</f>
        <v>-105.49598394832594</v>
      </c>
      <c r="H46" s="560">
        <f>'Arable NPV'!N130</f>
        <v>166.59622700266209</v>
      </c>
      <c r="I46" s="366"/>
      <c r="J46" s="420">
        <v>14</v>
      </c>
      <c r="K46" s="560">
        <f>'Arable NPV'!O26</f>
        <v>158.59255632897106</v>
      </c>
      <c r="L46" s="560">
        <f>'Arable NPV'!O52</f>
        <v>-161.17628850722707</v>
      </c>
      <c r="M46" s="560">
        <f>'Arable NPV'!O78</f>
        <v>57.038787012033652</v>
      </c>
      <c r="N46" s="560">
        <f>'Arable NPV'!O104</f>
        <v>0.17502650707064049</v>
      </c>
      <c r="O46" s="560">
        <f>'Arable NPV'!O130</f>
        <v>272.26723745805873</v>
      </c>
      <c r="P46" s="366"/>
    </row>
    <row r="47" spans="2:16" x14ac:dyDescent="0.3">
      <c r="B47" s="366"/>
      <c r="C47" s="420">
        <v>15</v>
      </c>
      <c r="D47" s="560">
        <f>'Arable NPV'!N27</f>
        <v>50.88610180151386</v>
      </c>
      <c r="E47" s="560">
        <f>'Arable NPV'!N53</f>
        <v>-256.5839413102151</v>
      </c>
      <c r="F47" s="560">
        <f>'Arable NPV'!N79</f>
        <v>-46.761753310925883</v>
      </c>
      <c r="G47" s="560">
        <f>'Arable NPV'!N105</f>
        <v>-101.43844610415942</v>
      </c>
      <c r="H47" s="560">
        <f>'Arable NPV'!N131</f>
        <v>160.18867981025201</v>
      </c>
      <c r="I47" s="366"/>
      <c r="J47" s="420">
        <v>15</v>
      </c>
      <c r="K47" s="560">
        <f>'Arable NPV'!O27</f>
        <v>152.49284262401056</v>
      </c>
      <c r="L47" s="560">
        <f>'Arable NPV'!O53</f>
        <v>-154.97720048771839</v>
      </c>
      <c r="M47" s="560">
        <f>'Arable NPV'!O79</f>
        <v>54.844987511570835</v>
      </c>
      <c r="N47" s="560">
        <f>'Arable NPV'!O105</f>
        <v>0.16829471833729315</v>
      </c>
      <c r="O47" s="560">
        <f>'Arable NPV'!O131</f>
        <v>261.79542063274874</v>
      </c>
      <c r="P47" s="366"/>
    </row>
    <row r="48" spans="2:16" x14ac:dyDescent="0.3">
      <c r="B48" s="366"/>
      <c r="C48" s="561">
        <v>16</v>
      </c>
      <c r="D48" s="567">
        <f>'Arable NPV'!N28</f>
        <v>48.928944039917155</v>
      </c>
      <c r="E48" s="567">
        <f>'Arable NPV'!N54</f>
        <v>-246.71532818289904</v>
      </c>
      <c r="F48" s="567">
        <f>'Arable NPV'!N80</f>
        <v>-44.963224337428755</v>
      </c>
      <c r="G48" s="567">
        <f>'Arable NPV'!N106</f>
        <v>-97.536967407845736</v>
      </c>
      <c r="H48" s="567">
        <f>'Arable NPV'!N132</f>
        <v>154.02757674062693</v>
      </c>
      <c r="I48" s="366"/>
      <c r="J48" s="561">
        <v>16</v>
      </c>
      <c r="K48" s="567">
        <f>'Arable NPV'!O28</f>
        <v>146.62773329231786</v>
      </c>
      <c r="L48" s="567">
        <f>'Arable NPV'!O54</f>
        <v>-149.01653893049834</v>
      </c>
      <c r="M48" s="567">
        <f>'Arable NPV'!O80</f>
        <v>52.735564914971945</v>
      </c>
      <c r="N48" s="567">
        <f>'Arable NPV'!O106</f>
        <v>0.1618218445549644</v>
      </c>
      <c r="O48" s="567">
        <f>'Arable NPV'!O132</f>
        <v>251.72636599302766</v>
      </c>
      <c r="P48" s="366"/>
    </row>
    <row r="49" spans="2:16" x14ac:dyDescent="0.3">
      <c r="B49" s="366"/>
      <c r="C49" s="366"/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</row>
    <row r="50" spans="2:16" x14ac:dyDescent="0.3">
      <c r="B50" s="366"/>
      <c r="C50" s="366"/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  <c r="P50" s="366"/>
    </row>
    <row r="51" spans="2:16" x14ac:dyDescent="0.3">
      <c r="B51" s="366"/>
      <c r="C51" s="518" t="s">
        <v>674</v>
      </c>
      <c r="D51" s="680"/>
      <c r="E51" s="680"/>
      <c r="F51" s="680"/>
      <c r="G51" s="680"/>
      <c r="H51" s="681"/>
      <c r="I51" s="366"/>
      <c r="J51" s="518" t="s">
        <v>672</v>
      </c>
      <c r="K51" s="680"/>
      <c r="L51" s="680"/>
      <c r="M51" s="680"/>
      <c r="N51" s="680"/>
      <c r="O51" s="681"/>
      <c r="P51" s="366"/>
    </row>
    <row r="52" spans="2:16" x14ac:dyDescent="0.3">
      <c r="B52" s="366"/>
      <c r="C52" s="729"/>
      <c r="D52" s="727" t="s">
        <v>4</v>
      </c>
      <c r="E52" s="727" t="s">
        <v>5</v>
      </c>
      <c r="F52" s="727" t="s">
        <v>6</v>
      </c>
      <c r="G52" s="727" t="s">
        <v>7</v>
      </c>
      <c r="H52" s="727" t="s">
        <v>260</v>
      </c>
      <c r="I52" s="366"/>
      <c r="J52" s="729"/>
      <c r="K52" s="727" t="s">
        <v>4</v>
      </c>
      <c r="L52" s="727" t="s">
        <v>5</v>
      </c>
      <c r="M52" s="727" t="s">
        <v>6</v>
      </c>
      <c r="N52" s="727" t="s">
        <v>7</v>
      </c>
      <c r="O52" s="727" t="s">
        <v>260</v>
      </c>
      <c r="P52" s="366"/>
    </row>
    <row r="53" spans="2:16" x14ac:dyDescent="0.3">
      <c r="B53" s="366"/>
      <c r="C53" s="728">
        <v>1</v>
      </c>
      <c r="D53" s="559">
        <f>'Arable NPV'!S13</f>
        <v>88.118264000000181</v>
      </c>
      <c r="E53" s="559">
        <f>'Arable NPV'!S39</f>
        <v>-444.32036799999969</v>
      </c>
      <c r="F53" s="559">
        <f>'Arable NPV'!S65</f>
        <v>-80.976226857142819</v>
      </c>
      <c r="G53" s="559">
        <f>'Arable NPV'!S91</f>
        <v>-175.6585679999996</v>
      </c>
      <c r="H53" s="559">
        <f>'Arable NPV'!S117</f>
        <v>277.3949640000003</v>
      </c>
      <c r="I53" s="366"/>
      <c r="J53" s="728">
        <v>1</v>
      </c>
      <c r="K53" s="559">
        <f>'Arable NPV'!T13</f>
        <v>264.06826400000017</v>
      </c>
      <c r="L53" s="559">
        <f>'Arable NPV'!T39</f>
        <v>-268.3703679999997</v>
      </c>
      <c r="M53" s="559">
        <f>'Arable NPV'!T65</f>
        <v>94.973773142857169</v>
      </c>
      <c r="N53" s="559">
        <f>'Arable NPV'!T91</f>
        <v>0.29143200000038405</v>
      </c>
      <c r="O53" s="559">
        <f>'Arable NPV'!T117</f>
        <v>453.34496400000035</v>
      </c>
      <c r="P53" s="366"/>
    </row>
    <row r="54" spans="2:16" x14ac:dyDescent="0.3">
      <c r="B54" s="366"/>
      <c r="C54" s="420">
        <v>2</v>
      </c>
      <c r="D54" s="560">
        <f>'Arable NPV'!S14</f>
        <v>172.84736400000043</v>
      </c>
      <c r="E54" s="560">
        <f>'Arable NPV'!S40</f>
        <v>-871.5514910769225</v>
      </c>
      <c r="F54" s="560">
        <f>'Arable NPV'!S66</f>
        <v>-158.83798345054947</v>
      </c>
      <c r="G54" s="560">
        <f>'Arable NPV'!S92</f>
        <v>-344.56103723076853</v>
      </c>
      <c r="H54" s="560">
        <f>'Arable NPV'!S118</f>
        <v>544.12089092307747</v>
      </c>
      <c r="I54" s="366"/>
      <c r="J54" s="420">
        <v>2</v>
      </c>
      <c r="K54" s="560">
        <f>'Arable NPV'!T14</f>
        <v>517.98005630769273</v>
      </c>
      <c r="L54" s="560">
        <f>'Arable NPV'!T40</f>
        <v>-526.41879876923031</v>
      </c>
      <c r="M54" s="560">
        <f>'Arable NPV'!T66</f>
        <v>186.29470885714281</v>
      </c>
      <c r="N54" s="560">
        <f>'Arable NPV'!T92</f>
        <v>0.57165507692374717</v>
      </c>
      <c r="O54" s="560">
        <f>'Arable NPV'!T118</f>
        <v>889.25358323076989</v>
      </c>
      <c r="P54" s="366"/>
    </row>
    <row r="55" spans="2:16" x14ac:dyDescent="0.3">
      <c r="B55" s="366"/>
      <c r="C55" s="420">
        <v>3</v>
      </c>
      <c r="D55" s="560">
        <f>'Arable NPV'!S15</f>
        <v>254.31765246153918</v>
      </c>
      <c r="E55" s="560">
        <f>'Arable NPV'!S41</f>
        <v>-1282.350647881656</v>
      </c>
      <c r="F55" s="560">
        <f>'Arable NPV'!S67</f>
        <v>-233.70505709805593</v>
      </c>
      <c r="G55" s="560">
        <f>'Arable NPV'!S93</f>
        <v>-506.96725764496932</v>
      </c>
      <c r="H55" s="560">
        <f>'Arable NPV'!S119</f>
        <v>800.58812834911328</v>
      </c>
      <c r="I55" s="366"/>
      <c r="J55" s="420">
        <v>3</v>
      </c>
      <c r="K55" s="560">
        <f>'Arable NPV'!T15</f>
        <v>762.12601044970484</v>
      </c>
      <c r="L55" s="560">
        <f>'Arable NPV'!T41</f>
        <v>-774.54228989349042</v>
      </c>
      <c r="M55" s="560">
        <f>'Arable NPV'!T67</f>
        <v>274.10330089010972</v>
      </c>
      <c r="N55" s="560">
        <f>'Arable NPV'!T93</f>
        <v>0.84110034319630245</v>
      </c>
      <c r="O55" s="560">
        <f>'Arable NPV'!T119</f>
        <v>1308.3964863372789</v>
      </c>
      <c r="P55" s="366"/>
    </row>
    <row r="56" spans="2:16" x14ac:dyDescent="0.3">
      <c r="B56" s="366"/>
      <c r="C56" s="420">
        <v>4</v>
      </c>
      <c r="D56" s="560">
        <f>'Arable NPV'!S16</f>
        <v>332.65446828994186</v>
      </c>
      <c r="E56" s="560">
        <f>'Arable NPV'!S42</f>
        <v>-1677.3498371169765</v>
      </c>
      <c r="F56" s="560">
        <f>'Arable NPV'!S68</f>
        <v>-305.69262791296592</v>
      </c>
      <c r="G56" s="560">
        <f>'Arable NPV'!S94</f>
        <v>-663.12708496631626</v>
      </c>
      <c r="H56" s="560">
        <f>'Arable NPV'!S120</f>
        <v>1047.1912412587631</v>
      </c>
      <c r="I56" s="366"/>
      <c r="J56" s="420">
        <v>4</v>
      </c>
      <c r="K56" s="560">
        <f>'Arable NPV'!T16</f>
        <v>996.88173558625499</v>
      </c>
      <c r="L56" s="560">
        <f>'Arable NPV'!T42</f>
        <v>-1013.1225698206634</v>
      </c>
      <c r="M56" s="560">
        <f>'Arable NPV'!T68</f>
        <v>358.53463938334721</v>
      </c>
      <c r="N56" s="560">
        <f>'Arable NPV'!T94</f>
        <v>1.1001823299968123</v>
      </c>
      <c r="O56" s="560">
        <f>'Arable NPV'!T120</f>
        <v>1711.4185085550762</v>
      </c>
      <c r="P56" s="366"/>
    </row>
    <row r="57" spans="2:16" x14ac:dyDescent="0.3">
      <c r="B57" s="366"/>
      <c r="C57" s="420">
        <v>5</v>
      </c>
      <c r="D57" s="560">
        <f>'Arable NPV'!S17</f>
        <v>407.97832966340593</v>
      </c>
      <c r="E57" s="560">
        <f>'Arable NPV'!S43</f>
        <v>-2057.156749843246</v>
      </c>
      <c r="F57" s="560">
        <f>'Arable NPV'!S69</f>
        <v>-374.91144600422535</v>
      </c>
      <c r="G57" s="560">
        <f>'Arable NPV'!S95</f>
        <v>-813.28076508299591</v>
      </c>
      <c r="H57" s="560">
        <f>'Arable NPV'!S121</f>
        <v>1284.3096190565032</v>
      </c>
      <c r="I57" s="366"/>
      <c r="J57" s="420">
        <v>5</v>
      </c>
      <c r="K57" s="560">
        <f>'Arable NPV'!T17</f>
        <v>1222.6083943713993</v>
      </c>
      <c r="L57" s="560">
        <f>'Arable NPV'!T43</f>
        <v>-1242.5266851352528</v>
      </c>
      <c r="M57" s="560">
        <f>'Arable NPV'!T69</f>
        <v>439.71861870376802</v>
      </c>
      <c r="N57" s="560">
        <f>'Arable NPV'!T95</f>
        <v>1.3492996249973999</v>
      </c>
      <c r="O57" s="560">
        <f>'Arable NPV'!T121</f>
        <v>2098.9396837644967</v>
      </c>
      <c r="P57" s="366"/>
    </row>
    <row r="58" spans="2:16" x14ac:dyDescent="0.3">
      <c r="B58" s="366"/>
      <c r="C58" s="420">
        <v>6</v>
      </c>
      <c r="D58" s="560">
        <f>'Arable NPV'!S18</f>
        <v>480.40511944558284</v>
      </c>
      <c r="E58" s="560">
        <f>'Arable NPV'!S44</f>
        <v>-2422.3557043877358</v>
      </c>
      <c r="F58" s="560">
        <f>'Arable NPV'!S70</f>
        <v>-441.46800186120572</v>
      </c>
      <c r="G58" s="560">
        <f>'Arable NPV'!S96</f>
        <v>-957.65930365672625</v>
      </c>
      <c r="H58" s="560">
        <f>'Arable NPV'!S122</f>
        <v>1512.3080592466379</v>
      </c>
      <c r="I58" s="366"/>
      <c r="J58" s="420">
        <v>6</v>
      </c>
      <c r="K58" s="560">
        <f>'Arable NPV'!T18</f>
        <v>1439.653258587884</v>
      </c>
      <c r="L58" s="560">
        <f>'Arable NPV'!T44</f>
        <v>-1463.1075652454349</v>
      </c>
      <c r="M58" s="560">
        <f>'Arable NPV'!T70</f>
        <v>517.78013728109556</v>
      </c>
      <c r="N58" s="560">
        <f>'Arable NPV'!T96</f>
        <v>1.5888354855749469</v>
      </c>
      <c r="O58" s="560">
        <f>'Arable NPV'!T122</f>
        <v>2471.5561983889393</v>
      </c>
      <c r="P58" s="366"/>
    </row>
    <row r="59" spans="2:16" x14ac:dyDescent="0.3">
      <c r="B59" s="366"/>
      <c r="C59" s="420">
        <v>7</v>
      </c>
      <c r="D59" s="560">
        <f>'Arable NPV'!S19</f>
        <v>550.04626346690679</v>
      </c>
      <c r="E59" s="560">
        <f>'Arable NPV'!S45</f>
        <v>-2773.5085452958992</v>
      </c>
      <c r="F59" s="560">
        <f>'Arable NPV'!S71</f>
        <v>-505.46469018522521</v>
      </c>
      <c r="G59" s="560">
        <f>'Arable NPV'!S97</f>
        <v>-1096.4848215160823</v>
      </c>
      <c r="H59" s="560">
        <f>'Arable NPV'!S123</f>
        <v>1731.5373286602289</v>
      </c>
      <c r="I59" s="366"/>
      <c r="J59" s="420">
        <v>7</v>
      </c>
      <c r="K59" s="560">
        <f>'Arable NPV'!T19</f>
        <v>1648.3502434114271</v>
      </c>
      <c r="L59" s="560">
        <f>'Arable NPV'!T45</f>
        <v>-1675.2045653513794</v>
      </c>
      <c r="M59" s="560">
        <f>'Arable NPV'!T71</f>
        <v>592.83928975929518</v>
      </c>
      <c r="N59" s="560">
        <f>'Arable NPV'!T97</f>
        <v>1.8191584284380156</v>
      </c>
      <c r="O59" s="560">
        <f>'Arable NPV'!T123</f>
        <v>2829.8413086047494</v>
      </c>
      <c r="P59" s="366"/>
    </row>
    <row r="60" spans="2:16" x14ac:dyDescent="0.3">
      <c r="B60" s="366"/>
      <c r="C60" s="420">
        <v>8</v>
      </c>
      <c r="D60" s="560">
        <f>'Arable NPV'!S20</f>
        <v>617.00890194894919</v>
      </c>
      <c r="E60" s="560">
        <f>'Arable NPV'!S46</f>
        <v>-3111.155507707595</v>
      </c>
      <c r="F60" s="560">
        <f>'Arable NPV'!S72</f>
        <v>-566.99996741985944</v>
      </c>
      <c r="G60" s="560">
        <f>'Arable NPV'!S98</f>
        <v>-1229.970896380848</v>
      </c>
      <c r="H60" s="560">
        <f>'Arable NPV'!S124</f>
        <v>1942.3347030963741</v>
      </c>
      <c r="I60" s="366"/>
      <c r="J60" s="420">
        <v>8</v>
      </c>
      <c r="K60" s="560">
        <f>'Arable NPV'!T20</f>
        <v>1849.0204211263724</v>
      </c>
      <c r="L60" s="560">
        <f>'Arable NPV'!T46</f>
        <v>-1879.1439885301722</v>
      </c>
      <c r="M60" s="560">
        <f>'Arable NPV'!T72</f>
        <v>665.01155175756401</v>
      </c>
      <c r="N60" s="560">
        <f>'Arable NPV'!T98</f>
        <v>2.0406227965753772</v>
      </c>
      <c r="O60" s="560">
        <f>'Arable NPV'!T124</f>
        <v>3174.3462222737976</v>
      </c>
      <c r="P60" s="366"/>
    </row>
    <row r="61" spans="2:16" x14ac:dyDescent="0.3">
      <c r="B61" s="366"/>
      <c r="C61" s="420">
        <v>9</v>
      </c>
      <c r="D61" s="560">
        <f>'Arable NPV'!S21</f>
        <v>681.39605433552833</v>
      </c>
      <c r="E61" s="560">
        <f>'Arable NPV'!S47</f>
        <v>-3435.8160484880718</v>
      </c>
      <c r="F61" s="560">
        <f>'Arable NPV'!S73</f>
        <v>-626.16850322239225</v>
      </c>
      <c r="G61" s="560">
        <f>'Arable NPV'!S99</f>
        <v>-1358.3228914431227</v>
      </c>
      <c r="H61" s="560">
        <f>'Arable NPV'!S125</f>
        <v>2145.0244862080522</v>
      </c>
      <c r="I61" s="366"/>
      <c r="J61" s="420">
        <v>9</v>
      </c>
      <c r="K61" s="560">
        <f>'Arable NPV'!T21</f>
        <v>2041.9725150830507</v>
      </c>
      <c r="L61" s="560">
        <f>'Arable NPV'!T47</f>
        <v>-2075.2395877405497</v>
      </c>
      <c r="M61" s="560">
        <f>'Arable NPV'!T73</f>
        <v>734.4079575251302</v>
      </c>
      <c r="N61" s="560">
        <f>'Arable NPV'!T99</f>
        <v>2.2535693043997185</v>
      </c>
      <c r="O61" s="560">
        <f>'Arable NPV'!T125</f>
        <v>3505.6009469555747</v>
      </c>
      <c r="P61" s="366"/>
    </row>
    <row r="62" spans="2:16" x14ac:dyDescent="0.3">
      <c r="B62" s="366"/>
      <c r="C62" s="420">
        <v>10</v>
      </c>
      <c r="D62" s="560">
        <f>'Arable NPV'!S22</f>
        <v>743.30677778416225</v>
      </c>
      <c r="E62" s="560">
        <f>'Arable NPV'!S48</f>
        <v>-3747.9896453923761</v>
      </c>
      <c r="F62" s="560">
        <f>'Arable NPV'!S74</f>
        <v>-683.06132610944303</v>
      </c>
      <c r="G62" s="560">
        <f>'Arable NPV'!S100</f>
        <v>-1481.7382713106945</v>
      </c>
      <c r="H62" s="560">
        <f>'Arable NPV'!S126</f>
        <v>2339.9185084308197</v>
      </c>
      <c r="I62" s="366"/>
      <c r="J62" s="420">
        <v>10</v>
      </c>
      <c r="K62" s="560">
        <f>'Arable NPV'!T22</f>
        <v>2227.5033746567797</v>
      </c>
      <c r="L62" s="560">
        <f>'Arable NPV'!T48</f>
        <v>-2263.7930485197589</v>
      </c>
      <c r="M62" s="560">
        <f>'Arable NPV'!T74</f>
        <v>801.13527076317462</v>
      </c>
      <c r="N62" s="560">
        <f>'Arable NPV'!T100</f>
        <v>2.4583255619231323</v>
      </c>
      <c r="O62" s="560">
        <f>'Arable NPV'!T126</f>
        <v>3824.1151053034373</v>
      </c>
      <c r="P62" s="366"/>
    </row>
    <row r="63" spans="2:16" x14ac:dyDescent="0.3">
      <c r="B63" s="366"/>
      <c r="C63" s="420">
        <v>11</v>
      </c>
      <c r="D63" s="560">
        <f>'Arable NPV'!S23</f>
        <v>802.83631956169461</v>
      </c>
      <c r="E63" s="560">
        <f>'Arable NPV'!S49</f>
        <v>-4048.156565492669</v>
      </c>
      <c r="F63" s="560">
        <f>'Arable NPV'!S75</f>
        <v>-737.76596350083798</v>
      </c>
      <c r="G63" s="560">
        <f>'Arable NPV'!S101</f>
        <v>-1600.4069057987442</v>
      </c>
      <c r="H63" s="560">
        <f>'Arable NPV'!S127</f>
        <v>2527.3166067219422</v>
      </c>
      <c r="I63" s="366"/>
      <c r="J63" s="420">
        <v>11</v>
      </c>
      <c r="K63" s="560">
        <f>'Arable NPV'!T23</f>
        <v>2405.8984319392112</v>
      </c>
      <c r="L63" s="560">
        <f>'Arable NPV'!T49</f>
        <v>-2445.0944531151526</v>
      </c>
      <c r="M63" s="560">
        <f>'Arable NPV'!T75</f>
        <v>865.2961488766789</v>
      </c>
      <c r="N63" s="560">
        <f>'Arable NPV'!T101</f>
        <v>2.6552065787726349</v>
      </c>
      <c r="O63" s="560">
        <f>'Arable NPV'!T127</f>
        <v>4130.378719099459</v>
      </c>
      <c r="P63" s="366"/>
    </row>
    <row r="64" spans="2:16" x14ac:dyDescent="0.3">
      <c r="B64" s="366"/>
      <c r="C64" s="420">
        <v>12</v>
      </c>
      <c r="D64" s="560">
        <f>'Arable NPV'!S24</f>
        <v>860.0762635785527</v>
      </c>
      <c r="E64" s="560">
        <f>'Arable NPV'!S50</f>
        <v>-4336.7786040506426</v>
      </c>
      <c r="F64" s="560">
        <f>'Arable NPV'!S76</f>
        <v>-790.36657637717929</v>
      </c>
      <c r="G64" s="560">
        <f>'Arable NPV'!S102</f>
        <v>-1714.5113620372538</v>
      </c>
      <c r="H64" s="560">
        <f>'Arable NPV'!S128</f>
        <v>2707.5070858480217</v>
      </c>
      <c r="I64" s="366"/>
      <c r="J64" s="420">
        <v>12</v>
      </c>
      <c r="K64" s="560">
        <f>'Arable NPV'!T24</f>
        <v>2577.432140864626</v>
      </c>
      <c r="L64" s="560">
        <f>'Arable NPV'!T50</f>
        <v>-2619.4227267645692</v>
      </c>
      <c r="M64" s="560">
        <f>'Arable NPV'!T76</f>
        <v>926.98930090889462</v>
      </c>
      <c r="N64" s="560">
        <f>'Arable NPV'!T102</f>
        <v>2.8445152488200591</v>
      </c>
      <c r="O64" s="560">
        <f>'Arable NPV'!T128</f>
        <v>4424.8629631340955</v>
      </c>
      <c r="P64" s="366"/>
    </row>
    <row r="65" spans="2:16" x14ac:dyDescent="0.3">
      <c r="B65" s="366"/>
      <c r="C65" s="420">
        <v>13</v>
      </c>
      <c r="D65" s="560">
        <f>'Arable NPV'!S25</f>
        <v>915.11467128707</v>
      </c>
      <c r="E65" s="560">
        <f>'Arable NPV'!S51</f>
        <v>-4614.299794971771</v>
      </c>
      <c r="F65" s="560">
        <f>'Arable NPV'!S77</f>
        <v>-840.94408875827673</v>
      </c>
      <c r="G65" s="560">
        <f>'Arable NPV'!S103</f>
        <v>-1824.2271853435127</v>
      </c>
      <c r="H65" s="560">
        <f>'Arable NPV'!S129</f>
        <v>2880.7671619307903</v>
      </c>
      <c r="I65" s="366"/>
      <c r="J65" s="420">
        <v>13</v>
      </c>
      <c r="K65" s="560">
        <f>'Arable NPV'!T25</f>
        <v>2742.3683994467556</v>
      </c>
      <c r="L65" s="560">
        <f>'Arable NPV'!T51</f>
        <v>-2787.0460668120854</v>
      </c>
      <c r="M65" s="560">
        <f>'Arable NPV'!T77</f>
        <v>986.30963940140964</v>
      </c>
      <c r="N65" s="560">
        <f>'Arable NPV'!T103</f>
        <v>3.0265428161735883</v>
      </c>
      <c r="O65" s="560">
        <f>'Arable NPV'!T129</f>
        <v>4708.0208900904763</v>
      </c>
      <c r="P65" s="366"/>
    </row>
    <row r="66" spans="2:16" x14ac:dyDescent="0.3">
      <c r="B66" s="366"/>
      <c r="C66" s="420">
        <v>14</v>
      </c>
      <c r="D66" s="560">
        <f>'Arable NPV'!S26</f>
        <v>968.03621716064447</v>
      </c>
      <c r="E66" s="560">
        <f>'Arable NPV'!S52</f>
        <v>-4881.1470939343944</v>
      </c>
      <c r="F66" s="560">
        <f>'Arable NPV'!S78</f>
        <v>-889.57631220163967</v>
      </c>
      <c r="G66" s="560">
        <f>'Arable NPV'!S104</f>
        <v>-1929.7231692918385</v>
      </c>
      <c r="H66" s="560">
        <f>'Arable NPV'!S130</f>
        <v>3047.3633889334524</v>
      </c>
      <c r="I66" s="366"/>
      <c r="J66" s="420">
        <v>14</v>
      </c>
      <c r="K66" s="560">
        <f>'Arable NPV'!T26</f>
        <v>2900.9609557757267</v>
      </c>
      <c r="L66" s="560">
        <f>'Arable NPV'!T52</f>
        <v>-2948.2223553193126</v>
      </c>
      <c r="M66" s="560">
        <f>'Arable NPV'!T78</f>
        <v>1043.3484264134433</v>
      </c>
      <c r="N66" s="560">
        <f>'Arable NPV'!T104</f>
        <v>3.2015693232442288</v>
      </c>
      <c r="O66" s="560">
        <f>'Arable NPV'!T130</f>
        <v>4980.2881275485352</v>
      </c>
      <c r="P66" s="366"/>
    </row>
    <row r="67" spans="2:16" x14ac:dyDescent="0.3">
      <c r="B67" s="366"/>
      <c r="C67" s="420">
        <v>15</v>
      </c>
      <c r="D67" s="560">
        <f>'Arable NPV'!S27</f>
        <v>1018.9223189621583</v>
      </c>
      <c r="E67" s="560">
        <f>'Arable NPV'!S53</f>
        <v>-5137.7310352446093</v>
      </c>
      <c r="F67" s="560">
        <f>'Arable NPV'!S79</f>
        <v>-936.33806551256555</v>
      </c>
      <c r="G67" s="560">
        <f>'Arable NPV'!S105</f>
        <v>-2031.1616153959981</v>
      </c>
      <c r="H67" s="560">
        <f>'Arable NPV'!S131</f>
        <v>3207.5520687437042</v>
      </c>
      <c r="I67" s="366"/>
      <c r="J67" s="420">
        <v>15</v>
      </c>
      <c r="K67" s="560">
        <f>'Arable NPV'!T27</f>
        <v>3053.453798399737</v>
      </c>
      <c r="L67" s="560">
        <f>'Arable NPV'!T53</f>
        <v>-3103.1995558070312</v>
      </c>
      <c r="M67" s="560">
        <f>'Arable NPV'!T79</f>
        <v>1098.1934139250143</v>
      </c>
      <c r="N67" s="560">
        <f>'Arable NPV'!T105</f>
        <v>3.369864041581522</v>
      </c>
      <c r="O67" s="560">
        <f>'Arable NPV'!T131</f>
        <v>5242.0835481812837</v>
      </c>
      <c r="P67" s="366"/>
    </row>
    <row r="68" spans="2:16" x14ac:dyDescent="0.3">
      <c r="B68" s="366"/>
      <c r="C68" s="561">
        <v>16</v>
      </c>
      <c r="D68" s="567">
        <f>'Arable NPV'!S28</f>
        <v>1067.8512630020755</v>
      </c>
      <c r="E68" s="567">
        <f>'Arable NPV'!S54</f>
        <v>-5384.446363427508</v>
      </c>
      <c r="F68" s="567">
        <f>'Arable NPV'!S80</f>
        <v>-981.3012898499943</v>
      </c>
      <c r="G68" s="567">
        <f>'Arable NPV'!S106</f>
        <v>-2128.6985828038437</v>
      </c>
      <c r="H68" s="567">
        <f>'Arable NPV'!S132</f>
        <v>3361.5796454843312</v>
      </c>
      <c r="I68" s="366"/>
      <c r="J68" s="561">
        <v>16</v>
      </c>
      <c r="K68" s="567">
        <f>'Arable NPV'!T28</f>
        <v>3200.0815316920548</v>
      </c>
      <c r="L68" s="567">
        <f>'Arable NPV'!T54</f>
        <v>-3252.2160947375296</v>
      </c>
      <c r="M68" s="567">
        <f>'Arable NPV'!T80</f>
        <v>1150.9289788399863</v>
      </c>
      <c r="N68" s="567">
        <f>'Arable NPV'!T106</f>
        <v>3.5316858861364864</v>
      </c>
      <c r="O68" s="567">
        <f>'Arable NPV'!T132</f>
        <v>5493.8099141743114</v>
      </c>
      <c r="P68" s="366"/>
    </row>
    <row r="69" spans="2:16" x14ac:dyDescent="0.3">
      <c r="B69" s="366"/>
      <c r="C69" s="366"/>
      <c r="D69" s="366"/>
      <c r="E69" s="366"/>
      <c r="F69" s="366"/>
      <c r="G69" s="366"/>
      <c r="H69" s="366"/>
      <c r="I69" s="366"/>
      <c r="J69" s="366"/>
      <c r="K69" s="366"/>
      <c r="L69" s="366"/>
      <c r="M69" s="366"/>
      <c r="N69" s="366"/>
      <c r="O69" s="366"/>
      <c r="P69" s="36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S30"/>
  <sheetViews>
    <sheetView workbookViewId="0">
      <selection activeCell="F4" sqref="F4"/>
    </sheetView>
  </sheetViews>
  <sheetFormatPr defaultColWidth="9" defaultRowHeight="14" x14ac:dyDescent="0.3"/>
  <cols>
    <col min="2" max="2" width="20.08203125" bestFit="1" customWidth="1"/>
    <col min="3" max="29" width="10.58203125" customWidth="1"/>
  </cols>
  <sheetData>
    <row r="4" spans="1:19" ht="40" x14ac:dyDescent="0.3">
      <c r="B4" s="733" t="s">
        <v>300</v>
      </c>
      <c r="C4" s="734" t="s">
        <v>278</v>
      </c>
      <c r="D4" s="735" t="s">
        <v>314</v>
      </c>
      <c r="E4" s="735" t="s">
        <v>338</v>
      </c>
      <c r="F4" s="735" t="s">
        <v>666</v>
      </c>
      <c r="G4" s="736" t="s">
        <v>339</v>
      </c>
      <c r="H4" s="735" t="s">
        <v>340</v>
      </c>
      <c r="I4" s="735" t="s">
        <v>283</v>
      </c>
      <c r="J4" s="736" t="s">
        <v>452</v>
      </c>
      <c r="K4" s="736" t="s">
        <v>453</v>
      </c>
      <c r="L4" s="736" t="s">
        <v>454</v>
      </c>
      <c r="M4" s="736" t="s">
        <v>455</v>
      </c>
      <c r="N4" s="736" t="s">
        <v>456</v>
      </c>
      <c r="O4" s="736" t="s">
        <v>457</v>
      </c>
      <c r="P4" s="736" t="s">
        <v>458</v>
      </c>
      <c r="Q4" s="736" t="s">
        <v>459</v>
      </c>
      <c r="R4" s="736" t="s">
        <v>460</v>
      </c>
      <c r="S4" s="736" t="s">
        <v>461</v>
      </c>
    </row>
    <row r="5" spans="1:19" x14ac:dyDescent="0.3">
      <c r="B5" s="737"/>
      <c r="C5" s="738"/>
      <c r="D5" s="739"/>
      <c r="E5" s="739"/>
      <c r="F5" s="739"/>
      <c r="G5" s="740"/>
      <c r="H5" s="739"/>
      <c r="I5" s="739"/>
      <c r="J5" s="740"/>
      <c r="K5" s="740"/>
      <c r="L5" s="740"/>
      <c r="M5" s="740"/>
      <c r="N5" s="740"/>
      <c r="O5" s="740"/>
      <c r="P5" s="740"/>
      <c r="Q5" s="740"/>
      <c r="R5" s="740"/>
      <c r="S5" s="740"/>
    </row>
    <row r="6" spans="1:19" x14ac:dyDescent="0.3">
      <c r="A6" s="298"/>
      <c r="B6" s="741"/>
      <c r="C6" s="742"/>
      <c r="D6" s="743" t="s">
        <v>341</v>
      </c>
      <c r="E6" s="743" t="s">
        <v>601</v>
      </c>
      <c r="F6" s="743" t="s">
        <v>599</v>
      </c>
      <c r="G6" s="743" t="s">
        <v>599</v>
      </c>
      <c r="H6" s="743" t="s">
        <v>599</v>
      </c>
      <c r="I6" s="743" t="s">
        <v>599</v>
      </c>
      <c r="J6" s="743" t="s">
        <v>599</v>
      </c>
      <c r="K6" s="743" t="s">
        <v>599</v>
      </c>
      <c r="L6" s="743" t="s">
        <v>599</v>
      </c>
      <c r="M6" s="743" t="s">
        <v>599</v>
      </c>
      <c r="N6" s="743" t="s">
        <v>599</v>
      </c>
      <c r="O6" s="743" t="s">
        <v>599</v>
      </c>
      <c r="P6" s="743" t="s">
        <v>599</v>
      </c>
      <c r="Q6" s="743" t="s">
        <v>599</v>
      </c>
      <c r="R6" s="743" t="s">
        <v>599</v>
      </c>
      <c r="S6" s="743" t="s">
        <v>599</v>
      </c>
    </row>
    <row r="7" spans="1:19" x14ac:dyDescent="0.3">
      <c r="B7" s="744">
        <v>1</v>
      </c>
      <c r="C7" s="1091" t="s">
        <v>4</v>
      </c>
      <c r="D7" s="747">
        <f>HLOOKUP($C$7,'Arable Model tables'!$D$4:$H$5,2,FALSE)</f>
        <v>7.45</v>
      </c>
      <c r="E7" s="747">
        <f>HLOOKUP($C$7,'Arable Model tables'!$D$8:$H$9,2,FALSE)</f>
        <v>193.7</v>
      </c>
      <c r="F7" s="747">
        <f>'Arable Model tables'!$D$12</f>
        <v>175.95</v>
      </c>
      <c r="G7" s="747">
        <f>HLOOKUP($C$7,'Arable Model tables'!$D$15:$H$16,2,FALSE)</f>
        <v>671.92799999999988</v>
      </c>
      <c r="H7" s="747">
        <f>HLOOKUP($C$7,'Arable Model tables'!$D$19:$H$20,2,FALSE)</f>
        <v>969.47373599999992</v>
      </c>
      <c r="I7" s="747">
        <f>G7+H7</f>
        <v>1641.4017359999998</v>
      </c>
      <c r="J7" s="747">
        <f>HLOOKUP($C$7,'Arable Model tables'!$D$23:$H$24,2,FALSE)</f>
        <v>1729.52</v>
      </c>
      <c r="K7" s="747">
        <f>HLOOKUP($C$7,'Arable Model tables'!$D$27:$H$28,2,FALSE)</f>
        <v>1905.47</v>
      </c>
      <c r="L7" s="747">
        <f>J7-I7</f>
        <v>88.118264000000181</v>
      </c>
      <c r="M7" s="747">
        <f>K7-I7</f>
        <v>264.06826400000023</v>
      </c>
      <c r="N7" s="747">
        <f>L7</f>
        <v>88.118264000000181</v>
      </c>
      <c r="O7" s="747">
        <f>M7</f>
        <v>264.06826400000023</v>
      </c>
      <c r="P7" s="747">
        <f>INDEX('Arable Model tables'!$D$33:$H$48,MATCH($B7,'Arable Model tables'!$C$33:$C$48,0),MATCH($C$7,'Arable Model tables'!$D$32:$H$32,0))</f>
        <v>88.118264000000181</v>
      </c>
      <c r="Q7" s="747">
        <f>INDEX('Arable Model tables'!$K$33:$O$48,MATCH($B7,'Arable Model tables'!$J$33:$J$48,0),MATCH($C$7,'Arable Model tables'!$K$32:$O$32,0))</f>
        <v>264.06826400000017</v>
      </c>
      <c r="R7" s="747">
        <f>INDEX('Arable Model tables'!$D$53:$H$68,MATCH($B7,'Arable Model tables'!$C$53:$C$68,0),MATCH($C$7,'Arable Model tables'!$D$52:$H$52,0))</f>
        <v>88.118264000000181</v>
      </c>
      <c r="S7" s="747">
        <f>INDEX('Arable Model tables'!$K$53:$O$68,MATCH($B7,'Arable Model tables'!$J$53:$J$68,0),MATCH($C$7,'Arable Model tables'!$K$52:$O$52,0))</f>
        <v>264.06826400000017</v>
      </c>
    </row>
    <row r="8" spans="1:19" x14ac:dyDescent="0.3">
      <c r="B8" s="745">
        <v>2</v>
      </c>
      <c r="C8" s="1092"/>
      <c r="D8" s="748">
        <f>HLOOKUP($C$7,'Arable Model tables'!$D$4:$H$5,2,FALSE)</f>
        <v>7.45</v>
      </c>
      <c r="E8" s="748">
        <f>HLOOKUP($C$7,'Arable Model tables'!$D$8:$H$9,2,FALSE)</f>
        <v>193.7</v>
      </c>
      <c r="F8" s="748">
        <f>'Arable Model tables'!$D$12</f>
        <v>175.95</v>
      </c>
      <c r="G8" s="748">
        <f>HLOOKUP($C$7,'Arable Model tables'!$D$15:$H$16,2,FALSE)</f>
        <v>671.92799999999988</v>
      </c>
      <c r="H8" s="748">
        <f>HLOOKUP($C$7,'Arable Model tables'!$D$19:$H$20,2,FALSE)</f>
        <v>969.47373599999992</v>
      </c>
      <c r="I8" s="748">
        <f t="shared" ref="I8:I22" si="0">G8+H8</f>
        <v>1641.4017359999998</v>
      </c>
      <c r="J8" s="748">
        <f>HLOOKUP($C$7,'Arable Model tables'!$D$23:$H$24,2,FALSE)</f>
        <v>1729.52</v>
      </c>
      <c r="K8" s="748">
        <f>HLOOKUP($C$7,'Arable Model tables'!$D$27:$H$28,2,FALSE)</f>
        <v>1905.47</v>
      </c>
      <c r="L8" s="748">
        <f t="shared" ref="L8:L22" si="1">J8-I8</f>
        <v>88.118264000000181</v>
      </c>
      <c r="M8" s="748">
        <f t="shared" ref="M8:M22" si="2">K8-I8</f>
        <v>264.06826400000023</v>
      </c>
      <c r="N8" s="748">
        <f>N7+L8</f>
        <v>176.23652800000036</v>
      </c>
      <c r="O8" s="748">
        <f>O7+M8</f>
        <v>528.13652800000045</v>
      </c>
      <c r="P8" s="748">
        <f>INDEX('Arable Model tables'!$D$33:$H$48,MATCH($B8,'Arable Model tables'!$C$33:$C$48,0),MATCH($C$7,'Arable Model tables'!$D$32:$H$32,0))</f>
        <v>84.729100000000244</v>
      </c>
      <c r="Q8" s="748">
        <f>INDEX('Arable Model tables'!$K$33:$O$48,MATCH($B8,'Arable Model tables'!$J$33:$J$48,0),MATCH($C$7,'Arable Model tables'!$K$32:$O$32,0))</f>
        <v>253.91179230769254</v>
      </c>
      <c r="R8" s="748">
        <f>INDEX('Arable Model tables'!$D$53:$H$68,MATCH($B8,'Arable Model tables'!$C$53:$C$68,0),MATCH($C$7,'Arable Model tables'!$D$52:$H$52,0))</f>
        <v>172.84736400000043</v>
      </c>
      <c r="S8" s="748">
        <f>INDEX('Arable Model tables'!$K$53:$O$68,MATCH($B8,'Arable Model tables'!$J$53:$J$68,0),MATCH($C$7,'Arable Model tables'!$K$52:$O$52,0))</f>
        <v>517.98005630769273</v>
      </c>
    </row>
    <row r="9" spans="1:19" x14ac:dyDescent="0.3">
      <c r="B9" s="745">
        <v>3</v>
      </c>
      <c r="C9" s="1092"/>
      <c r="D9" s="748">
        <f>HLOOKUP($C$7,'Arable Model tables'!$D$4:$H$5,2,FALSE)</f>
        <v>7.45</v>
      </c>
      <c r="E9" s="748">
        <f>HLOOKUP($C$7,'Arable Model tables'!$D$8:$H$9,2,FALSE)</f>
        <v>193.7</v>
      </c>
      <c r="F9" s="748">
        <f>'Arable Model tables'!$D$12</f>
        <v>175.95</v>
      </c>
      <c r="G9" s="748">
        <f>HLOOKUP($C$7,'Arable Model tables'!$D$15:$H$16,2,FALSE)</f>
        <v>671.92799999999988</v>
      </c>
      <c r="H9" s="748">
        <f>HLOOKUP($C$7,'Arable Model tables'!$D$19:$H$20,2,FALSE)</f>
        <v>969.47373599999992</v>
      </c>
      <c r="I9" s="748">
        <f t="shared" si="0"/>
        <v>1641.4017359999998</v>
      </c>
      <c r="J9" s="748">
        <f>HLOOKUP($C$7,'Arable Model tables'!$D$23:$H$24,2,FALSE)</f>
        <v>1729.52</v>
      </c>
      <c r="K9" s="748">
        <f>HLOOKUP($C$7,'Arable Model tables'!$D$27:$H$28,2,FALSE)</f>
        <v>1905.47</v>
      </c>
      <c r="L9" s="748">
        <f t="shared" si="1"/>
        <v>88.118264000000181</v>
      </c>
      <c r="M9" s="748">
        <f t="shared" si="2"/>
        <v>264.06826400000023</v>
      </c>
      <c r="N9" s="748">
        <f t="shared" ref="N9:N22" si="3">N8+L9</f>
        <v>264.35479200000054</v>
      </c>
      <c r="O9" s="748">
        <f t="shared" ref="O9:O22" si="4">O8+M9</f>
        <v>792.20479200000068</v>
      </c>
      <c r="P9" s="748">
        <f>INDEX('Arable Model tables'!$D$33:$H$48,MATCH($B9,'Arable Model tables'!$C$33:$C$48,0),MATCH($C$7,'Arable Model tables'!$D$32:$H$32,0))</f>
        <v>81.470288461538757</v>
      </c>
      <c r="Q9" s="748">
        <f>INDEX('Arable Model tables'!$K$33:$O$48,MATCH($B9,'Arable Model tables'!$J$33:$J$48,0),MATCH($C$7,'Arable Model tables'!$K$32:$O$32,0))</f>
        <v>244.1459541420121</v>
      </c>
      <c r="R9" s="748">
        <f>INDEX('Arable Model tables'!$D$53:$H$68,MATCH($B9,'Arable Model tables'!$C$53:$C$68,0),MATCH($C$7,'Arable Model tables'!$D$52:$H$52,0))</f>
        <v>254.31765246153918</v>
      </c>
      <c r="S9" s="748">
        <f>INDEX('Arable Model tables'!$K$53:$O$68,MATCH($B9,'Arable Model tables'!$J$53:$J$68,0),MATCH($C$7,'Arable Model tables'!$K$52:$O$52,0))</f>
        <v>762.12601044970484</v>
      </c>
    </row>
    <row r="10" spans="1:19" x14ac:dyDescent="0.3">
      <c r="B10" s="745">
        <v>4</v>
      </c>
      <c r="C10" s="1092"/>
      <c r="D10" s="748">
        <f>HLOOKUP($C$7,'Arable Model tables'!$D$4:$H$5,2,FALSE)</f>
        <v>7.45</v>
      </c>
      <c r="E10" s="748">
        <f>HLOOKUP($C$7,'Arable Model tables'!$D$8:$H$9,2,FALSE)</f>
        <v>193.7</v>
      </c>
      <c r="F10" s="748">
        <f>'Arable Model tables'!$D$12</f>
        <v>175.95</v>
      </c>
      <c r="G10" s="748">
        <f>HLOOKUP($C$7,'Arable Model tables'!$D$15:$H$16,2,FALSE)</f>
        <v>671.92799999999988</v>
      </c>
      <c r="H10" s="748">
        <f>HLOOKUP($C$7,'Arable Model tables'!$D$19:$H$20,2,FALSE)</f>
        <v>969.47373599999992</v>
      </c>
      <c r="I10" s="748">
        <f t="shared" si="0"/>
        <v>1641.4017359999998</v>
      </c>
      <c r="J10" s="748">
        <f>HLOOKUP($C$7,'Arable Model tables'!$D$23:$H$24,2,FALSE)</f>
        <v>1729.52</v>
      </c>
      <c r="K10" s="748">
        <f>HLOOKUP($C$7,'Arable Model tables'!$D$27:$H$28,2,FALSE)</f>
        <v>1905.47</v>
      </c>
      <c r="L10" s="748">
        <f t="shared" si="1"/>
        <v>88.118264000000181</v>
      </c>
      <c r="M10" s="748">
        <f t="shared" si="2"/>
        <v>264.06826400000023</v>
      </c>
      <c r="N10" s="748">
        <f t="shared" si="3"/>
        <v>352.47305600000072</v>
      </c>
      <c r="O10" s="748">
        <f t="shared" si="4"/>
        <v>1056.2730560000009</v>
      </c>
      <c r="P10" s="748">
        <f>INDEX('Arable Model tables'!$D$33:$H$48,MATCH($B10,'Arable Model tables'!$C$33:$C$48,0),MATCH($C$7,'Arable Model tables'!$D$32:$H$32,0))</f>
        <v>78.336815828402678</v>
      </c>
      <c r="Q10" s="748">
        <f>INDEX('Arable Model tables'!$K$33:$O$48,MATCH($B10,'Arable Model tables'!$J$33:$J$48,0),MATCH($C$7,'Arable Model tables'!$K$32:$O$32,0))</f>
        <v>234.75572513655013</v>
      </c>
      <c r="R10" s="748">
        <f>INDEX('Arable Model tables'!$D$53:$H$68,MATCH($B10,'Arable Model tables'!$C$53:$C$68,0),MATCH($C$7,'Arable Model tables'!$D$52:$H$52,0))</f>
        <v>332.65446828994186</v>
      </c>
      <c r="S10" s="748">
        <f>INDEX('Arable Model tables'!$K$53:$O$68,MATCH($B10,'Arable Model tables'!$J$53:$J$68,0),MATCH($C$7,'Arable Model tables'!$K$52:$O$52,0))</f>
        <v>996.88173558625499</v>
      </c>
    </row>
    <row r="11" spans="1:19" x14ac:dyDescent="0.3">
      <c r="B11" s="745">
        <v>5</v>
      </c>
      <c r="C11" s="1092"/>
      <c r="D11" s="748">
        <f>HLOOKUP($C$7,'Arable Model tables'!$D$4:$H$5,2,FALSE)</f>
        <v>7.45</v>
      </c>
      <c r="E11" s="748">
        <f>HLOOKUP($C$7,'Arable Model tables'!$D$8:$H$9,2,FALSE)</f>
        <v>193.7</v>
      </c>
      <c r="F11" s="748">
        <f>'Arable Model tables'!$D$12</f>
        <v>175.95</v>
      </c>
      <c r="G11" s="748">
        <f>HLOOKUP($C$7,'Arable Model tables'!$D$15:$H$16,2,FALSE)</f>
        <v>671.92799999999988</v>
      </c>
      <c r="H11" s="748">
        <f>HLOOKUP($C$7,'Arable Model tables'!$D$19:$H$20,2,FALSE)</f>
        <v>969.47373599999992</v>
      </c>
      <c r="I11" s="748">
        <f t="shared" si="0"/>
        <v>1641.4017359999998</v>
      </c>
      <c r="J11" s="748">
        <f>HLOOKUP($C$7,'Arable Model tables'!$D$23:$H$24,2,FALSE)</f>
        <v>1729.52</v>
      </c>
      <c r="K11" s="748">
        <f>HLOOKUP($C$7,'Arable Model tables'!$D$27:$H$28,2,FALSE)</f>
        <v>1905.47</v>
      </c>
      <c r="L11" s="748">
        <f t="shared" si="1"/>
        <v>88.118264000000181</v>
      </c>
      <c r="M11" s="748">
        <f t="shared" si="2"/>
        <v>264.06826400000023</v>
      </c>
      <c r="N11" s="748">
        <f t="shared" si="3"/>
        <v>440.59132000000091</v>
      </c>
      <c r="O11" s="748">
        <f t="shared" si="4"/>
        <v>1320.3413200000011</v>
      </c>
      <c r="P11" s="748">
        <f>INDEX('Arable Model tables'!$D$33:$H$48,MATCH($B11,'Arable Model tables'!$C$33:$C$48,0),MATCH($C$7,'Arable Model tables'!$D$32:$H$32,0))</f>
        <v>75.323861373464069</v>
      </c>
      <c r="Q11" s="748">
        <f>INDEX('Arable Model tables'!$K$33:$O$48,MATCH($B11,'Arable Model tables'!$J$33:$J$48,0),MATCH($C$7,'Arable Model tables'!$K$32:$O$32,0))</f>
        <v>225.72665878514431</v>
      </c>
      <c r="R11" s="748">
        <f>INDEX('Arable Model tables'!$D$53:$H$68,MATCH($B11,'Arable Model tables'!$C$53:$C$68,0),MATCH($C$7,'Arable Model tables'!$D$52:$H$52,0))</f>
        <v>407.97832966340593</v>
      </c>
      <c r="S11" s="748">
        <f>INDEX('Arable Model tables'!$K$53:$O$68,MATCH($B11,'Arable Model tables'!$J$53:$J$68,0),MATCH($C$7,'Arable Model tables'!$K$52:$O$52,0))</f>
        <v>1222.6083943713993</v>
      </c>
    </row>
    <row r="12" spans="1:19" x14ac:dyDescent="0.3">
      <c r="B12" s="745">
        <v>6</v>
      </c>
      <c r="C12" s="1092"/>
      <c r="D12" s="748">
        <f>HLOOKUP($C$7,'Arable Model tables'!$D$4:$H$5,2,FALSE)</f>
        <v>7.45</v>
      </c>
      <c r="E12" s="748">
        <f>HLOOKUP($C$7,'Arable Model tables'!$D$8:$H$9,2,FALSE)</f>
        <v>193.7</v>
      </c>
      <c r="F12" s="748">
        <f>'Arable Model tables'!$D$12</f>
        <v>175.95</v>
      </c>
      <c r="G12" s="748">
        <f>HLOOKUP($C$7,'Arable Model tables'!$D$15:$H$16,2,FALSE)</f>
        <v>671.92799999999988</v>
      </c>
      <c r="H12" s="748">
        <f>HLOOKUP($C$7,'Arable Model tables'!$D$19:$H$20,2,FALSE)</f>
        <v>969.47373599999992</v>
      </c>
      <c r="I12" s="748">
        <f t="shared" si="0"/>
        <v>1641.4017359999998</v>
      </c>
      <c r="J12" s="748">
        <f>HLOOKUP($C$7,'Arable Model tables'!$D$23:$H$24,2,FALSE)</f>
        <v>1729.52</v>
      </c>
      <c r="K12" s="748">
        <f>HLOOKUP($C$7,'Arable Model tables'!$D$27:$H$28,2,FALSE)</f>
        <v>1905.47</v>
      </c>
      <c r="L12" s="748">
        <f t="shared" si="1"/>
        <v>88.118264000000181</v>
      </c>
      <c r="M12" s="748">
        <f t="shared" si="2"/>
        <v>264.06826400000023</v>
      </c>
      <c r="N12" s="748">
        <f t="shared" si="3"/>
        <v>528.70958400000109</v>
      </c>
      <c r="O12" s="748">
        <f t="shared" si="4"/>
        <v>1584.4095840000014</v>
      </c>
      <c r="P12" s="748">
        <f>INDEX('Arable Model tables'!$D$33:$H$48,MATCH($B12,'Arable Model tables'!$C$33:$C$48,0),MATCH($C$7,'Arable Model tables'!$D$32:$H$32,0))</f>
        <v>72.426789782176911</v>
      </c>
      <c r="Q12" s="748">
        <f>INDEX('Arable Model tables'!$K$33:$O$48,MATCH($B12,'Arable Model tables'!$J$33:$J$48,0),MATCH($C$7,'Arable Model tables'!$K$32:$O$32,0))</f>
        <v>217.0448642164848</v>
      </c>
      <c r="R12" s="748">
        <f>INDEX('Arable Model tables'!$D$53:$H$68,MATCH($B12,'Arable Model tables'!$C$53:$C$68,0),MATCH($C$7,'Arable Model tables'!$D$52:$H$52,0))</f>
        <v>480.40511944558284</v>
      </c>
      <c r="S12" s="748">
        <f>INDEX('Arable Model tables'!$K$53:$O$68,MATCH($B12,'Arable Model tables'!$J$53:$J$68,0),MATCH($C$7,'Arable Model tables'!$K$52:$O$52,0))</f>
        <v>1439.653258587884</v>
      </c>
    </row>
    <row r="13" spans="1:19" x14ac:dyDescent="0.3">
      <c r="B13" s="745">
        <v>7</v>
      </c>
      <c r="C13" s="1092"/>
      <c r="D13" s="748">
        <f>HLOOKUP($C$7,'Arable Model tables'!$D$4:$H$5,2,FALSE)</f>
        <v>7.45</v>
      </c>
      <c r="E13" s="748">
        <f>HLOOKUP($C$7,'Arable Model tables'!$D$8:$H$9,2,FALSE)</f>
        <v>193.7</v>
      </c>
      <c r="F13" s="748">
        <f>'Arable Model tables'!$D$12</f>
        <v>175.95</v>
      </c>
      <c r="G13" s="748">
        <f>HLOOKUP($C$7,'Arable Model tables'!$D$15:$H$16,2,FALSE)</f>
        <v>671.92799999999988</v>
      </c>
      <c r="H13" s="748">
        <f>HLOOKUP($C$7,'Arable Model tables'!$D$19:$H$20,2,FALSE)</f>
        <v>969.47373599999992</v>
      </c>
      <c r="I13" s="748">
        <f t="shared" si="0"/>
        <v>1641.4017359999998</v>
      </c>
      <c r="J13" s="748">
        <f>HLOOKUP($C$7,'Arable Model tables'!$D$23:$H$24,2,FALSE)</f>
        <v>1729.52</v>
      </c>
      <c r="K13" s="748">
        <f>HLOOKUP($C$7,'Arable Model tables'!$D$27:$H$28,2,FALSE)</f>
        <v>1905.47</v>
      </c>
      <c r="L13" s="748">
        <f t="shared" si="1"/>
        <v>88.118264000000181</v>
      </c>
      <c r="M13" s="748">
        <f t="shared" si="2"/>
        <v>264.06826400000023</v>
      </c>
      <c r="N13" s="748">
        <f t="shared" si="3"/>
        <v>616.82784800000127</v>
      </c>
      <c r="O13" s="748">
        <f t="shared" si="4"/>
        <v>1848.4778480000016</v>
      </c>
      <c r="P13" s="748">
        <f>INDEX('Arable Model tables'!$D$33:$H$48,MATCH($B13,'Arable Model tables'!$C$33:$C$48,0),MATCH($C$7,'Arable Model tables'!$D$32:$H$32,0))</f>
        <v>69.641144021323953</v>
      </c>
      <c r="Q13" s="748">
        <f>INDEX('Arable Model tables'!$K$33:$O$48,MATCH($B13,'Arable Model tables'!$J$33:$J$48,0),MATCH($C$7,'Arable Model tables'!$K$32:$O$32,0))</f>
        <v>208.69698482354309</v>
      </c>
      <c r="R13" s="748">
        <f>INDEX('Arable Model tables'!$D$53:$H$68,MATCH($B13,'Arable Model tables'!$C$53:$C$68,0),MATCH($C$7,'Arable Model tables'!$D$52:$H$52,0))</f>
        <v>550.04626346690679</v>
      </c>
      <c r="S13" s="748">
        <f>INDEX('Arable Model tables'!$K$53:$O$68,MATCH($B13,'Arable Model tables'!$J$53:$J$68,0),MATCH($C$7,'Arable Model tables'!$K$52:$O$52,0))</f>
        <v>1648.3502434114271</v>
      </c>
    </row>
    <row r="14" spans="1:19" x14ac:dyDescent="0.3">
      <c r="B14" s="745">
        <v>8</v>
      </c>
      <c r="C14" s="1092"/>
      <c r="D14" s="748">
        <f>HLOOKUP($C$7,'Arable Model tables'!$D$4:$H$5,2,FALSE)</f>
        <v>7.45</v>
      </c>
      <c r="E14" s="748">
        <f>HLOOKUP($C$7,'Arable Model tables'!$D$8:$H$9,2,FALSE)</f>
        <v>193.7</v>
      </c>
      <c r="F14" s="748">
        <f>'Arable Model tables'!$D$12</f>
        <v>175.95</v>
      </c>
      <c r="G14" s="748">
        <f>HLOOKUP($C$7,'Arable Model tables'!$D$15:$H$16,2,FALSE)</f>
        <v>671.92799999999988</v>
      </c>
      <c r="H14" s="748">
        <f>HLOOKUP($C$7,'Arable Model tables'!$D$19:$H$20,2,FALSE)</f>
        <v>969.47373599999992</v>
      </c>
      <c r="I14" s="748">
        <f t="shared" si="0"/>
        <v>1641.4017359999998</v>
      </c>
      <c r="J14" s="748">
        <f>HLOOKUP($C$7,'Arable Model tables'!$D$23:$H$24,2,FALSE)</f>
        <v>1729.52</v>
      </c>
      <c r="K14" s="748">
        <f>HLOOKUP($C$7,'Arable Model tables'!$D$27:$H$28,2,FALSE)</f>
        <v>1905.47</v>
      </c>
      <c r="L14" s="748">
        <f t="shared" si="1"/>
        <v>88.118264000000181</v>
      </c>
      <c r="M14" s="748">
        <f t="shared" si="2"/>
        <v>264.06826400000023</v>
      </c>
      <c r="N14" s="748">
        <f t="shared" si="3"/>
        <v>704.94611200000145</v>
      </c>
      <c r="O14" s="748">
        <f t="shared" si="4"/>
        <v>2112.5461120000018</v>
      </c>
      <c r="P14" s="748">
        <f>INDEX('Arable Model tables'!$D$33:$H$48,MATCH($B14,'Arable Model tables'!$C$33:$C$48,0),MATCH($C$7,'Arable Model tables'!$D$32:$H$32,0))</f>
        <v>66.962638482042394</v>
      </c>
      <c r="Q14" s="748">
        <f>INDEX('Arable Model tables'!$K$33:$O$48,MATCH($B14,'Arable Model tables'!$J$33:$J$48,0),MATCH($C$7,'Arable Model tables'!$K$32:$O$32,0))</f>
        <v>200.67017771494542</v>
      </c>
      <c r="R14" s="748">
        <f>INDEX('Arable Model tables'!$D$53:$H$68,MATCH($B14,'Arable Model tables'!$C$53:$C$68,0),MATCH($C$7,'Arable Model tables'!$D$52:$H$52,0))</f>
        <v>617.00890194894919</v>
      </c>
      <c r="S14" s="748">
        <f>INDEX('Arable Model tables'!$K$53:$O$68,MATCH($B14,'Arable Model tables'!$J$53:$J$68,0),MATCH($C$7,'Arable Model tables'!$K$52:$O$52,0))</f>
        <v>1849.0204211263724</v>
      </c>
    </row>
    <row r="15" spans="1:19" x14ac:dyDescent="0.3">
      <c r="B15" s="745">
        <v>9</v>
      </c>
      <c r="C15" s="1092"/>
      <c r="D15" s="748">
        <f>HLOOKUP($C$7,'Arable Model tables'!$D$4:$H$5,2,FALSE)</f>
        <v>7.45</v>
      </c>
      <c r="E15" s="748">
        <f>HLOOKUP($C$7,'Arable Model tables'!$D$8:$H$9,2,FALSE)</f>
        <v>193.7</v>
      </c>
      <c r="F15" s="748">
        <f>'Arable Model tables'!$D$12</f>
        <v>175.95</v>
      </c>
      <c r="G15" s="748">
        <f>HLOOKUP($C$7,'Arable Model tables'!$D$15:$H$16,2,FALSE)</f>
        <v>671.92799999999988</v>
      </c>
      <c r="H15" s="748">
        <f>HLOOKUP($C$7,'Arable Model tables'!$D$19:$H$20,2,FALSE)</f>
        <v>969.47373599999992</v>
      </c>
      <c r="I15" s="748">
        <f t="shared" si="0"/>
        <v>1641.4017359999998</v>
      </c>
      <c r="J15" s="748">
        <f>HLOOKUP($C$7,'Arable Model tables'!$D$23:$H$24,2,FALSE)</f>
        <v>1729.52</v>
      </c>
      <c r="K15" s="748">
        <f>HLOOKUP($C$7,'Arable Model tables'!$D$27:$H$28,2,FALSE)</f>
        <v>1905.47</v>
      </c>
      <c r="L15" s="748">
        <f t="shared" si="1"/>
        <v>88.118264000000181</v>
      </c>
      <c r="M15" s="748">
        <f t="shared" si="2"/>
        <v>264.06826400000023</v>
      </c>
      <c r="N15" s="748">
        <f t="shared" si="3"/>
        <v>793.06437600000163</v>
      </c>
      <c r="O15" s="748">
        <f t="shared" si="4"/>
        <v>2376.6143760000023</v>
      </c>
      <c r="P15" s="748">
        <f>INDEX('Arable Model tables'!$D$33:$H$48,MATCH($B15,'Arable Model tables'!$C$33:$C$48,0),MATCH($C$7,'Arable Model tables'!$D$32:$H$32,0))</f>
        <v>64.387152386579146</v>
      </c>
      <c r="Q15" s="748">
        <f>INDEX('Arable Model tables'!$K$33:$O$48,MATCH($B15,'Arable Model tables'!$J$33:$J$48,0),MATCH($C$7,'Arable Model tables'!$K$32:$O$32,0))</f>
        <v>192.95209395667817</v>
      </c>
      <c r="R15" s="748">
        <f>INDEX('Arable Model tables'!$D$53:$H$68,MATCH($B15,'Arable Model tables'!$C$53:$C$68,0),MATCH($C$7,'Arable Model tables'!$D$52:$H$52,0))</f>
        <v>681.39605433552833</v>
      </c>
      <c r="S15" s="748">
        <f>INDEX('Arable Model tables'!$K$53:$O$68,MATCH($B15,'Arable Model tables'!$J$53:$J$68,0),MATCH($C$7,'Arable Model tables'!$K$52:$O$52,0))</f>
        <v>2041.9725150830507</v>
      </c>
    </row>
    <row r="16" spans="1:19" x14ac:dyDescent="0.3">
      <c r="B16" s="745">
        <v>10</v>
      </c>
      <c r="C16" s="1092"/>
      <c r="D16" s="748">
        <f>HLOOKUP($C$7,'Arable Model tables'!$D$4:$H$5,2,FALSE)</f>
        <v>7.45</v>
      </c>
      <c r="E16" s="748">
        <f>HLOOKUP($C$7,'Arable Model tables'!$D$8:$H$9,2,FALSE)</f>
        <v>193.7</v>
      </c>
      <c r="F16" s="748">
        <f>'Arable Model tables'!$D$12</f>
        <v>175.95</v>
      </c>
      <c r="G16" s="748">
        <f>HLOOKUP($C$7,'Arable Model tables'!$D$15:$H$16,2,FALSE)</f>
        <v>671.92799999999988</v>
      </c>
      <c r="H16" s="748">
        <f>HLOOKUP($C$7,'Arable Model tables'!$D$19:$H$20,2,FALSE)</f>
        <v>969.47373599999992</v>
      </c>
      <c r="I16" s="748">
        <f t="shared" si="0"/>
        <v>1641.4017359999998</v>
      </c>
      <c r="J16" s="748">
        <f>HLOOKUP($C$7,'Arable Model tables'!$D$23:$H$24,2,FALSE)</f>
        <v>1729.52</v>
      </c>
      <c r="K16" s="748">
        <f>HLOOKUP($C$7,'Arable Model tables'!$D$27:$H$28,2,FALSE)</f>
        <v>1905.47</v>
      </c>
      <c r="L16" s="748">
        <f t="shared" si="1"/>
        <v>88.118264000000181</v>
      </c>
      <c r="M16" s="748">
        <f t="shared" si="2"/>
        <v>264.06826400000023</v>
      </c>
      <c r="N16" s="748">
        <f t="shared" si="3"/>
        <v>881.18264000000181</v>
      </c>
      <c r="O16" s="748">
        <f t="shared" si="4"/>
        <v>2640.6826400000027</v>
      </c>
      <c r="P16" s="748">
        <f>INDEX('Arable Model tables'!$D$33:$H$48,MATCH($B16,'Arable Model tables'!$C$33:$C$48,0),MATCH($C$7,'Arable Model tables'!$D$32:$H$32,0))</f>
        <v>61.910723448633917</v>
      </c>
      <c r="Q16" s="748">
        <f>INDEX('Arable Model tables'!$K$33:$O$48,MATCH($B16,'Arable Model tables'!$J$33:$J$48,0),MATCH($C$7,'Arable Model tables'!$K$32:$O$32,0))</f>
        <v>185.53085957372912</v>
      </c>
      <c r="R16" s="748">
        <f>INDEX('Arable Model tables'!$D$53:$H$68,MATCH($B16,'Arable Model tables'!$C$53:$C$68,0),MATCH($C$7,'Arable Model tables'!$D$52:$H$52,0))</f>
        <v>743.30677778416225</v>
      </c>
      <c r="S16" s="748">
        <f>INDEX('Arable Model tables'!$K$53:$O$68,MATCH($B16,'Arable Model tables'!$J$53:$J$68,0),MATCH($C$7,'Arable Model tables'!$K$52:$O$52,0))</f>
        <v>2227.5033746567797</v>
      </c>
    </row>
    <row r="17" spans="2:19" x14ac:dyDescent="0.3">
      <c r="B17" s="745">
        <v>11</v>
      </c>
      <c r="C17" s="1092"/>
      <c r="D17" s="748">
        <f>HLOOKUP($C$7,'Arable Model tables'!$D$4:$H$5,2,FALSE)</f>
        <v>7.45</v>
      </c>
      <c r="E17" s="748">
        <f>HLOOKUP($C$7,'Arable Model tables'!$D$8:$H$9,2,FALSE)</f>
        <v>193.7</v>
      </c>
      <c r="F17" s="748">
        <f>'Arable Model tables'!$D$12</f>
        <v>175.95</v>
      </c>
      <c r="G17" s="748">
        <f>HLOOKUP($C$7,'Arable Model tables'!$D$15:$H$16,2,FALSE)</f>
        <v>671.92799999999988</v>
      </c>
      <c r="H17" s="748">
        <f>HLOOKUP($C$7,'Arable Model tables'!$D$19:$H$20,2,FALSE)</f>
        <v>969.47373599999992</v>
      </c>
      <c r="I17" s="748">
        <f t="shared" si="0"/>
        <v>1641.4017359999998</v>
      </c>
      <c r="J17" s="748">
        <f>HLOOKUP($C$7,'Arable Model tables'!$D$23:$H$24,2,FALSE)</f>
        <v>1729.52</v>
      </c>
      <c r="K17" s="748">
        <f>HLOOKUP($C$7,'Arable Model tables'!$D$27:$H$28,2,FALSE)</f>
        <v>1905.47</v>
      </c>
      <c r="L17" s="748">
        <f t="shared" si="1"/>
        <v>88.118264000000181</v>
      </c>
      <c r="M17" s="748">
        <f t="shared" si="2"/>
        <v>264.06826400000023</v>
      </c>
      <c r="N17" s="748">
        <f t="shared" si="3"/>
        <v>969.30090400000199</v>
      </c>
      <c r="O17" s="748">
        <f t="shared" si="4"/>
        <v>2904.7509040000032</v>
      </c>
      <c r="P17" s="748">
        <f>INDEX('Arable Model tables'!$D$33:$H$48,MATCH($B17,'Arable Model tables'!$C$33:$C$48,0),MATCH($C$7,'Arable Model tables'!$D$32:$H$32,0))</f>
        <v>59.529541777532359</v>
      </c>
      <c r="Q17" s="748">
        <f>INDEX('Arable Model tables'!$K$33:$O$48,MATCH($B17,'Arable Model tables'!$J$33:$J$48,0),MATCH($C$7,'Arable Model tables'!$K$32:$O$32,0))</f>
        <v>178.39505728243159</v>
      </c>
      <c r="R17" s="748">
        <f>INDEX('Arable Model tables'!$D$53:$H$68,MATCH($B17,'Arable Model tables'!$C$53:$C$68,0),MATCH($C$7,'Arable Model tables'!$D$52:$H$52,0))</f>
        <v>802.83631956169461</v>
      </c>
      <c r="S17" s="748">
        <f>INDEX('Arable Model tables'!$K$53:$O$68,MATCH($B17,'Arable Model tables'!$J$53:$J$68,0),MATCH($C$7,'Arable Model tables'!$K$52:$O$52,0))</f>
        <v>2405.8984319392112</v>
      </c>
    </row>
    <row r="18" spans="2:19" x14ac:dyDescent="0.3">
      <c r="B18" s="745">
        <v>12</v>
      </c>
      <c r="C18" s="1092"/>
      <c r="D18" s="748">
        <f>HLOOKUP($C$7,'Arable Model tables'!$D$4:$H$5,2,FALSE)</f>
        <v>7.45</v>
      </c>
      <c r="E18" s="748">
        <f>HLOOKUP($C$7,'Arable Model tables'!$D$8:$H$9,2,FALSE)</f>
        <v>193.7</v>
      </c>
      <c r="F18" s="748">
        <f>'Arable Model tables'!$D$12</f>
        <v>175.95</v>
      </c>
      <c r="G18" s="748">
        <f>HLOOKUP($C$7,'Arable Model tables'!$D$15:$H$16,2,FALSE)</f>
        <v>671.92799999999988</v>
      </c>
      <c r="H18" s="748">
        <f>HLOOKUP($C$7,'Arable Model tables'!$D$19:$H$20,2,FALSE)</f>
        <v>969.47373599999992</v>
      </c>
      <c r="I18" s="748">
        <f t="shared" si="0"/>
        <v>1641.4017359999998</v>
      </c>
      <c r="J18" s="748">
        <f>HLOOKUP($C$7,'Arable Model tables'!$D$23:$H$24,2,FALSE)</f>
        <v>1729.52</v>
      </c>
      <c r="K18" s="748">
        <f>HLOOKUP($C$7,'Arable Model tables'!$D$27:$H$28,2,FALSE)</f>
        <v>1905.47</v>
      </c>
      <c r="L18" s="748">
        <f t="shared" si="1"/>
        <v>88.118264000000181</v>
      </c>
      <c r="M18" s="748">
        <f t="shared" si="2"/>
        <v>264.06826400000023</v>
      </c>
      <c r="N18" s="748">
        <f t="shared" si="3"/>
        <v>1057.4191680000022</v>
      </c>
      <c r="O18" s="748">
        <f t="shared" si="4"/>
        <v>3168.8191680000036</v>
      </c>
      <c r="P18" s="748">
        <f>INDEX('Arable Model tables'!$D$33:$H$48,MATCH($B18,'Arable Model tables'!$C$33:$C$48,0),MATCH($C$7,'Arable Model tables'!$D$32:$H$32,0))</f>
        <v>57.23994401685809</v>
      </c>
      <c r="Q18" s="748">
        <f>INDEX('Arable Model tables'!$K$33:$O$48,MATCH($B18,'Arable Model tables'!$J$33:$J$48,0),MATCH($C$7,'Arable Model tables'!$K$32:$O$32,0))</f>
        <v>171.53370892541506</v>
      </c>
      <c r="R18" s="748">
        <f>INDEX('Arable Model tables'!$D$53:$H$68,MATCH($B18,'Arable Model tables'!$C$53:$C$68,0),MATCH($C$7,'Arable Model tables'!$D$52:$H$52,0))</f>
        <v>860.0762635785527</v>
      </c>
      <c r="S18" s="748">
        <f>INDEX('Arable Model tables'!$K$53:$O$68,MATCH($B18,'Arable Model tables'!$J$53:$J$68,0),MATCH($C$7,'Arable Model tables'!$K$52:$O$52,0))</f>
        <v>2577.432140864626</v>
      </c>
    </row>
    <row r="19" spans="2:19" x14ac:dyDescent="0.3">
      <c r="B19" s="745">
        <v>13</v>
      </c>
      <c r="C19" s="1092"/>
      <c r="D19" s="748">
        <f>HLOOKUP($C$7,'Arable Model tables'!$D$4:$H$5,2,FALSE)</f>
        <v>7.45</v>
      </c>
      <c r="E19" s="748">
        <f>HLOOKUP($C$7,'Arable Model tables'!$D$8:$H$9,2,FALSE)</f>
        <v>193.7</v>
      </c>
      <c r="F19" s="748">
        <f>'Arable Model tables'!$D$12</f>
        <v>175.95</v>
      </c>
      <c r="G19" s="748">
        <f>HLOOKUP($C$7,'Arable Model tables'!$D$15:$H$16,2,FALSE)</f>
        <v>671.92799999999988</v>
      </c>
      <c r="H19" s="748">
        <f>HLOOKUP($C$7,'Arable Model tables'!$D$19:$H$20,2,FALSE)</f>
        <v>969.47373599999992</v>
      </c>
      <c r="I19" s="748">
        <f t="shared" si="0"/>
        <v>1641.4017359999998</v>
      </c>
      <c r="J19" s="748">
        <f>HLOOKUP($C$7,'Arable Model tables'!$D$23:$H$24,2,FALSE)</f>
        <v>1729.52</v>
      </c>
      <c r="K19" s="748">
        <f>HLOOKUP($C$7,'Arable Model tables'!$D$27:$H$28,2,FALSE)</f>
        <v>1905.47</v>
      </c>
      <c r="L19" s="748">
        <f t="shared" si="1"/>
        <v>88.118264000000181</v>
      </c>
      <c r="M19" s="748">
        <f t="shared" si="2"/>
        <v>264.06826400000023</v>
      </c>
      <c r="N19" s="748">
        <f t="shared" si="3"/>
        <v>1145.5374320000024</v>
      </c>
      <c r="O19" s="748">
        <f t="shared" si="4"/>
        <v>3432.8874320000041</v>
      </c>
      <c r="P19" s="748">
        <f>INDEX('Arable Model tables'!$D$33:$H$48,MATCH($B19,'Arable Model tables'!$C$33:$C$48,0),MATCH($C$7,'Arable Model tables'!$D$32:$H$32,0))</f>
        <v>55.038407708517298</v>
      </c>
      <c r="Q19" s="748">
        <f>INDEX('Arable Model tables'!$K$33:$O$48,MATCH($B19,'Arable Model tables'!$J$33:$J$48,0),MATCH($C$7,'Arable Model tables'!$K$32:$O$32,0))</f>
        <v>164.93625858212977</v>
      </c>
      <c r="R19" s="748">
        <f>INDEX('Arable Model tables'!$D$53:$H$68,MATCH($B19,'Arable Model tables'!$C$53:$C$68,0),MATCH($C$7,'Arable Model tables'!$D$52:$H$52,0))</f>
        <v>915.11467128707</v>
      </c>
      <c r="S19" s="748">
        <f>INDEX('Arable Model tables'!$K$53:$O$68,MATCH($B19,'Arable Model tables'!$J$53:$J$68,0),MATCH($C$7,'Arable Model tables'!$K$52:$O$52,0))</f>
        <v>2742.3683994467556</v>
      </c>
    </row>
    <row r="20" spans="2:19" x14ac:dyDescent="0.3">
      <c r="B20" s="745">
        <v>14</v>
      </c>
      <c r="C20" s="1092"/>
      <c r="D20" s="748">
        <f>HLOOKUP($C$7,'Arable Model tables'!$D$4:$H$5,2,FALSE)</f>
        <v>7.45</v>
      </c>
      <c r="E20" s="748">
        <f>HLOOKUP($C$7,'Arable Model tables'!$D$8:$H$9,2,FALSE)</f>
        <v>193.7</v>
      </c>
      <c r="F20" s="748">
        <f>'Arable Model tables'!$D$12</f>
        <v>175.95</v>
      </c>
      <c r="G20" s="748">
        <f>HLOOKUP($C$7,'Arable Model tables'!$D$15:$H$16,2,FALSE)</f>
        <v>671.92799999999988</v>
      </c>
      <c r="H20" s="748">
        <f>HLOOKUP($C$7,'Arable Model tables'!$D$19:$H$20,2,FALSE)</f>
        <v>969.47373599999992</v>
      </c>
      <c r="I20" s="748">
        <f t="shared" si="0"/>
        <v>1641.4017359999998</v>
      </c>
      <c r="J20" s="748">
        <f>HLOOKUP($C$7,'Arable Model tables'!$D$23:$H$24,2,FALSE)</f>
        <v>1729.52</v>
      </c>
      <c r="K20" s="748">
        <f>HLOOKUP($C$7,'Arable Model tables'!$D$27:$H$28,2,FALSE)</f>
        <v>1905.47</v>
      </c>
      <c r="L20" s="748">
        <f t="shared" si="1"/>
        <v>88.118264000000181</v>
      </c>
      <c r="M20" s="748">
        <f t="shared" si="2"/>
        <v>264.06826400000023</v>
      </c>
      <c r="N20" s="748">
        <f t="shared" si="3"/>
        <v>1233.6556960000025</v>
      </c>
      <c r="O20" s="748">
        <f t="shared" si="4"/>
        <v>3696.9556960000045</v>
      </c>
      <c r="P20" s="748">
        <f>INDEX('Arable Model tables'!$D$33:$H$48,MATCH($B20,'Arable Model tables'!$C$33:$C$48,0),MATCH($C$7,'Arable Model tables'!$D$32:$H$32,0))</f>
        <v>52.921545873574473</v>
      </c>
      <c r="Q20" s="748">
        <f>INDEX('Arable Model tables'!$K$33:$O$48,MATCH($B20,'Arable Model tables'!$J$33:$J$48,0),MATCH($C$7,'Arable Model tables'!$K$32:$O$32,0))</f>
        <v>158.59255632897106</v>
      </c>
      <c r="R20" s="748">
        <f>INDEX('Arable Model tables'!$D$53:$H$68,MATCH($B20,'Arable Model tables'!$C$53:$C$68,0),MATCH($C$7,'Arable Model tables'!$D$52:$H$52,0))</f>
        <v>968.03621716064447</v>
      </c>
      <c r="S20" s="748">
        <f>INDEX('Arable Model tables'!$K$53:$O$68,MATCH($B20,'Arable Model tables'!$J$53:$J$68,0),MATCH($C$7,'Arable Model tables'!$K$52:$O$52,0))</f>
        <v>2900.9609557757267</v>
      </c>
    </row>
    <row r="21" spans="2:19" x14ac:dyDescent="0.3">
      <c r="B21" s="745">
        <v>15</v>
      </c>
      <c r="C21" s="1092"/>
      <c r="D21" s="748">
        <f>HLOOKUP($C$7,'Arable Model tables'!$D$4:$H$5,2,FALSE)</f>
        <v>7.45</v>
      </c>
      <c r="E21" s="748">
        <f>HLOOKUP($C$7,'Arable Model tables'!$D$8:$H$9,2,FALSE)</f>
        <v>193.7</v>
      </c>
      <c r="F21" s="748">
        <f>'Arable Model tables'!$D$12</f>
        <v>175.95</v>
      </c>
      <c r="G21" s="748">
        <f>HLOOKUP($C$7,'Arable Model tables'!$D$15:$H$16,2,FALSE)</f>
        <v>671.92799999999988</v>
      </c>
      <c r="H21" s="748">
        <f>HLOOKUP($C$7,'Arable Model tables'!$D$19:$H$20,2,FALSE)</f>
        <v>969.47373599999992</v>
      </c>
      <c r="I21" s="748">
        <f t="shared" si="0"/>
        <v>1641.4017359999998</v>
      </c>
      <c r="J21" s="748">
        <f>HLOOKUP($C$7,'Arable Model tables'!$D$23:$H$24,2,FALSE)</f>
        <v>1729.52</v>
      </c>
      <c r="K21" s="748">
        <f>HLOOKUP($C$7,'Arable Model tables'!$D$27:$H$28,2,FALSE)</f>
        <v>1905.47</v>
      </c>
      <c r="L21" s="748">
        <f t="shared" si="1"/>
        <v>88.118264000000181</v>
      </c>
      <c r="M21" s="748">
        <f t="shared" si="2"/>
        <v>264.06826400000023</v>
      </c>
      <c r="N21" s="748">
        <f t="shared" si="3"/>
        <v>1321.7739600000027</v>
      </c>
      <c r="O21" s="748">
        <f t="shared" si="4"/>
        <v>3961.023960000005</v>
      </c>
      <c r="P21" s="748">
        <f>INDEX('Arable Model tables'!$D$33:$H$48,MATCH($B21,'Arable Model tables'!$C$33:$C$48,0),MATCH($C$7,'Arable Model tables'!$D$32:$H$32,0))</f>
        <v>50.88610180151386</v>
      </c>
      <c r="Q21" s="748">
        <f>INDEX('Arable Model tables'!$K$33:$O$48,MATCH($B21,'Arable Model tables'!$J$33:$J$48,0),MATCH($C$7,'Arable Model tables'!$K$32:$O$32,0))</f>
        <v>152.49284262401056</v>
      </c>
      <c r="R21" s="748">
        <f>INDEX('Arable Model tables'!$D$53:$H$68,MATCH($B21,'Arable Model tables'!$C$53:$C$68,0),MATCH($C$7,'Arable Model tables'!$D$52:$H$52,0))</f>
        <v>1018.9223189621583</v>
      </c>
      <c r="S21" s="748">
        <f>INDEX('Arable Model tables'!$K$53:$O$68,MATCH($B21,'Arable Model tables'!$J$53:$J$68,0),MATCH($C$7,'Arable Model tables'!$K$52:$O$52,0))</f>
        <v>3053.453798399737</v>
      </c>
    </row>
    <row r="22" spans="2:19" x14ac:dyDescent="0.3">
      <c r="B22" s="746">
        <v>16</v>
      </c>
      <c r="C22" s="1093"/>
      <c r="D22" s="749">
        <f>HLOOKUP($C$7,'Arable Model tables'!$D$4:$H$5,2,FALSE)</f>
        <v>7.45</v>
      </c>
      <c r="E22" s="749">
        <f>HLOOKUP($C$7,'Arable Model tables'!$D$8:$H$9,2,FALSE)</f>
        <v>193.7</v>
      </c>
      <c r="F22" s="749">
        <f>'Arable Model tables'!$D$12</f>
        <v>175.95</v>
      </c>
      <c r="G22" s="749">
        <f>HLOOKUP($C$7,'Arable Model tables'!$D$15:$H$16,2,FALSE)</f>
        <v>671.92799999999988</v>
      </c>
      <c r="H22" s="749">
        <f>HLOOKUP($C$7,'Arable Model tables'!$D$19:$H$20,2,FALSE)</f>
        <v>969.47373599999992</v>
      </c>
      <c r="I22" s="749">
        <f t="shared" si="0"/>
        <v>1641.4017359999998</v>
      </c>
      <c r="J22" s="749">
        <f>HLOOKUP($C$7,'Arable Model tables'!$D$23:$H$24,2,FALSE)</f>
        <v>1729.52</v>
      </c>
      <c r="K22" s="749">
        <f>HLOOKUP($C$7,'Arable Model tables'!$D$27:$H$28,2,FALSE)</f>
        <v>1905.47</v>
      </c>
      <c r="L22" s="749">
        <f t="shared" si="1"/>
        <v>88.118264000000181</v>
      </c>
      <c r="M22" s="749">
        <f t="shared" si="2"/>
        <v>264.06826400000023</v>
      </c>
      <c r="N22" s="749">
        <f t="shared" si="3"/>
        <v>1409.8922240000029</v>
      </c>
      <c r="O22" s="749">
        <f t="shared" si="4"/>
        <v>4225.0922240000054</v>
      </c>
      <c r="P22" s="749">
        <f>INDEX('Arable Model tables'!$D$33:$H$48,MATCH($B22,'Arable Model tables'!$C$33:$C$48,0),MATCH($C$7,'Arable Model tables'!$D$32:$H$32,0))</f>
        <v>48.928944039917155</v>
      </c>
      <c r="Q22" s="749">
        <f>INDEX('Arable Model tables'!$K$33:$O$48,MATCH($B22,'Arable Model tables'!$J$33:$J$48,0),MATCH($C$7,'Arable Model tables'!$K$32:$O$32,0))</f>
        <v>146.62773329231786</v>
      </c>
      <c r="R22" s="749">
        <f>INDEX('Arable Model tables'!$D$53:$H$68,MATCH($B22,'Arable Model tables'!$C$53:$C$68,0),MATCH($C$7,'Arable Model tables'!$D$52:$H$52,0))</f>
        <v>1067.8512630020755</v>
      </c>
      <c r="S22" s="749">
        <f>INDEX('Arable Model tables'!$K$53:$O$68,MATCH($B22,'Arable Model tables'!$J$53:$J$68,0),MATCH($C$7,'Arable Model tables'!$K$52:$O$52,0))</f>
        <v>3200.0815316920548</v>
      </c>
    </row>
    <row r="23" spans="2:19" x14ac:dyDescent="0.3">
      <c r="C23" s="363"/>
      <c r="M23" s="39"/>
      <c r="N23" s="39"/>
      <c r="O23" s="39"/>
      <c r="P23" s="39"/>
      <c r="Q23" s="39"/>
    </row>
    <row r="25" spans="2:19" x14ac:dyDescent="0.3">
      <c r="D25" s="24"/>
      <c r="E25" s="24"/>
      <c r="F25" s="24"/>
    </row>
    <row r="26" spans="2:19" ht="30" x14ac:dyDescent="0.3">
      <c r="B26" s="300"/>
      <c r="C26" s="750" t="s">
        <v>354</v>
      </c>
      <c r="D26" s="750" t="s">
        <v>355</v>
      </c>
      <c r="E26" s="750" t="s">
        <v>356</v>
      </c>
      <c r="F26" s="750" t="s">
        <v>357</v>
      </c>
    </row>
    <row r="27" spans="2:19" x14ac:dyDescent="0.3">
      <c r="B27" s="299"/>
      <c r="C27" s="742" t="s">
        <v>599</v>
      </c>
      <c r="D27" s="742" t="s">
        <v>599</v>
      </c>
      <c r="E27" s="742" t="s">
        <v>599</v>
      </c>
      <c r="F27" s="751" t="s">
        <v>612</v>
      </c>
    </row>
    <row r="28" spans="2:19" x14ac:dyDescent="0.3">
      <c r="B28" s="86" t="s">
        <v>297</v>
      </c>
      <c r="C28" s="361">
        <v>0</v>
      </c>
      <c r="D28" s="752">
        <f>'Energy NPV'!C6</f>
        <v>0.04</v>
      </c>
      <c r="E28" s="86"/>
      <c r="F28" s="86"/>
    </row>
    <row r="29" spans="2:19" x14ac:dyDescent="0.3">
      <c r="B29" s="86" t="s">
        <v>353</v>
      </c>
      <c r="C29" s="785">
        <f>N22</f>
        <v>1409.8922240000029</v>
      </c>
      <c r="D29" s="785">
        <f>R22</f>
        <v>1067.8512630020755</v>
      </c>
      <c r="E29" s="785">
        <f>D29*((1+$D$28)^16)/(((1+$D$28)^16)-1)</f>
        <v>2291.0748640000038</v>
      </c>
      <c r="F29" s="785">
        <f>E29*$D$28</f>
        <v>91.642994560000147</v>
      </c>
    </row>
    <row r="30" spans="2:19" x14ac:dyDescent="0.3">
      <c r="B30" s="86" t="s">
        <v>352</v>
      </c>
      <c r="C30" s="785">
        <f>O22</f>
        <v>4225.0922240000054</v>
      </c>
      <c r="D30" s="785">
        <f>S22</f>
        <v>3200.0815316920548</v>
      </c>
      <c r="E30" s="785">
        <f>D30*((1+$D$28)^16)/(((1+$D$28)^16)-1)</f>
        <v>6865.7748639999963</v>
      </c>
      <c r="F30" s="785">
        <f>E30*$D$28</f>
        <v>274.63099455999986</v>
      </c>
    </row>
  </sheetData>
  <mergeCells count="1">
    <mergeCell ref="C7:C22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'Arable Model tables'!$D$4:$H$4</xm:f>
          </x14:formula1>
          <xm:sqref>C7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97"/>
  <sheetViews>
    <sheetView topLeftCell="A39" workbookViewId="0">
      <selection activeCell="C59" sqref="C59"/>
    </sheetView>
  </sheetViews>
  <sheetFormatPr defaultColWidth="9" defaultRowHeight="14" x14ac:dyDescent="0.3"/>
  <cols>
    <col min="2" max="2" width="14.5" customWidth="1"/>
  </cols>
  <sheetData>
    <row r="3" spans="2:14" x14ac:dyDescent="0.3"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</row>
    <row r="4" spans="2:14" x14ac:dyDescent="0.3">
      <c r="B4" s="506"/>
      <c r="C4" s="435"/>
      <c r="H4" s="366"/>
      <c r="I4" s="366"/>
      <c r="J4" s="366"/>
      <c r="K4" s="366"/>
      <c r="L4" s="366"/>
      <c r="M4" s="366"/>
      <c r="N4" s="366"/>
    </row>
    <row r="5" spans="2:14" x14ac:dyDescent="0.3">
      <c r="B5" s="756" t="s">
        <v>222</v>
      </c>
      <c r="C5" s="433" t="s">
        <v>391</v>
      </c>
      <c r="D5" s="514" t="s">
        <v>94</v>
      </c>
      <c r="E5" s="514" t="s">
        <v>95</v>
      </c>
      <c r="F5" s="731" t="s">
        <v>96</v>
      </c>
      <c r="G5" s="731" t="s">
        <v>451</v>
      </c>
      <c r="H5" s="366"/>
      <c r="I5" s="366"/>
      <c r="J5" s="366"/>
      <c r="K5" s="366"/>
      <c r="L5" s="366"/>
      <c r="M5" s="366"/>
      <c r="N5" s="366"/>
    </row>
    <row r="6" spans="2:14" x14ac:dyDescent="0.3">
      <c r="B6" s="435"/>
      <c r="C6" s="728">
        <v>1</v>
      </c>
      <c r="D6" s="753"/>
      <c r="E6" s="753">
        <f>'Energy NPV'!$D39</f>
        <v>0.6</v>
      </c>
      <c r="F6" s="753">
        <f>'Energy NPV'!$D65</f>
        <v>2.0466666666666664</v>
      </c>
      <c r="G6" s="753">
        <f>'Energy NPV'!$D91</f>
        <v>0</v>
      </c>
      <c r="H6" s="366"/>
      <c r="I6" s="366"/>
      <c r="J6" s="366"/>
      <c r="K6" s="366"/>
      <c r="L6" s="366"/>
      <c r="M6" s="366"/>
      <c r="N6" s="366"/>
    </row>
    <row r="7" spans="2:14" x14ac:dyDescent="0.3">
      <c r="B7" s="435"/>
      <c r="C7" s="420">
        <v>2</v>
      </c>
      <c r="D7" s="754"/>
      <c r="E7" s="754">
        <f>'Energy NPV'!$D40</f>
        <v>3.9250000000000007</v>
      </c>
      <c r="F7" s="754">
        <f>'Energy NPV'!$D66</f>
        <v>8.27</v>
      </c>
      <c r="G7" s="754">
        <f>'Energy NPV'!$D92</f>
        <v>9.9333333333333336</v>
      </c>
      <c r="H7" s="366"/>
      <c r="I7" s="366"/>
      <c r="J7" s="366"/>
      <c r="K7" s="366"/>
      <c r="L7" s="366"/>
      <c r="M7" s="366"/>
      <c r="N7" s="366"/>
    </row>
    <row r="8" spans="2:14" x14ac:dyDescent="0.3">
      <c r="B8" s="435"/>
      <c r="C8" s="420">
        <v>3</v>
      </c>
      <c r="D8" s="754"/>
      <c r="E8" s="754">
        <f>'Energy NPV'!$D41</f>
        <v>11.099999999999998</v>
      </c>
      <c r="F8" s="754">
        <f>'Energy NPV'!$D67</f>
        <v>10.926666666666668</v>
      </c>
      <c r="G8" s="754">
        <f>'Energy NPV'!$D93</f>
        <v>14.700000000000001</v>
      </c>
      <c r="H8" s="366"/>
      <c r="I8" s="366"/>
      <c r="J8" s="366"/>
      <c r="K8" s="366"/>
      <c r="L8" s="366"/>
      <c r="M8" s="366"/>
      <c r="N8" s="366"/>
    </row>
    <row r="9" spans="2:14" x14ac:dyDescent="0.3">
      <c r="B9" s="435"/>
      <c r="C9" s="420">
        <v>4</v>
      </c>
      <c r="D9" s="754">
        <f>'Energy Inputs'!$D$24</f>
        <v>30</v>
      </c>
      <c r="E9" s="754">
        <f>'Energy NPV'!$D42</f>
        <v>12.54</v>
      </c>
      <c r="F9" s="754">
        <f>'Energy NPV'!$D68</f>
        <v>11.617000000000001</v>
      </c>
      <c r="G9" s="754">
        <f>'Energy NPV'!$D94</f>
        <v>15.733333333333334</v>
      </c>
      <c r="H9" s="366"/>
      <c r="I9" s="366"/>
      <c r="J9" s="366"/>
      <c r="K9" s="366"/>
      <c r="L9" s="366"/>
      <c r="M9" s="366"/>
      <c r="N9" s="366"/>
    </row>
    <row r="10" spans="2:14" x14ac:dyDescent="0.3">
      <c r="B10" s="435"/>
      <c r="C10" s="420">
        <v>5</v>
      </c>
      <c r="D10" s="105"/>
      <c r="E10" s="754">
        <f>'Energy NPV'!$D43</f>
        <v>12.54</v>
      </c>
      <c r="F10" s="754">
        <f>'Energy NPV'!$D69</f>
        <v>11.617000000000001</v>
      </c>
      <c r="G10" s="754">
        <f>'Energy NPV'!$D95</f>
        <v>16.3</v>
      </c>
      <c r="H10" s="366"/>
      <c r="I10" s="366"/>
      <c r="J10" s="366"/>
      <c r="K10" s="366"/>
      <c r="L10" s="366"/>
      <c r="M10" s="366"/>
      <c r="N10" s="366"/>
    </row>
    <row r="11" spans="2:14" x14ac:dyDescent="0.3">
      <c r="B11" s="435"/>
      <c r="C11" s="420">
        <v>6</v>
      </c>
      <c r="D11" s="754"/>
      <c r="E11" s="754">
        <f>'Energy NPV'!$D44</f>
        <v>12.54</v>
      </c>
      <c r="F11" s="754">
        <f>'Energy NPV'!$D70</f>
        <v>11.617000000000001</v>
      </c>
      <c r="G11" s="754">
        <f>'Energy NPV'!$D96</f>
        <v>16.3</v>
      </c>
      <c r="H11" s="366"/>
      <c r="I11" s="366"/>
      <c r="J11" s="366"/>
      <c r="K11" s="366"/>
      <c r="L11" s="366"/>
      <c r="M11" s="366"/>
      <c r="N11" s="366"/>
    </row>
    <row r="12" spans="2:14" x14ac:dyDescent="0.3">
      <c r="B12" s="435"/>
      <c r="C12" s="420">
        <v>7</v>
      </c>
      <c r="D12" s="754">
        <f>'Energy Inputs'!$D$24</f>
        <v>30</v>
      </c>
      <c r="E12" s="754">
        <f>'Energy NPV'!$D45</f>
        <v>12.54</v>
      </c>
      <c r="F12" s="754">
        <f>'Energy NPV'!$D71</f>
        <v>11.617000000000001</v>
      </c>
      <c r="G12" s="754">
        <f>'Energy NPV'!$D97</f>
        <v>16.3</v>
      </c>
      <c r="H12" s="366"/>
      <c r="I12" s="366"/>
      <c r="J12" s="366"/>
      <c r="K12" s="366"/>
      <c r="L12" s="366"/>
      <c r="M12" s="366"/>
      <c r="N12" s="366"/>
    </row>
    <row r="13" spans="2:14" x14ac:dyDescent="0.3">
      <c r="B13" s="435"/>
      <c r="C13" s="420">
        <v>8</v>
      </c>
      <c r="D13" s="105"/>
      <c r="E13" s="754">
        <f>'Energy NPV'!$D46</f>
        <v>12.54</v>
      </c>
      <c r="F13" s="754">
        <f>'Energy NPV'!$D72</f>
        <v>11.617000000000001</v>
      </c>
      <c r="G13" s="754">
        <f>'Energy NPV'!$D98</f>
        <v>16.3</v>
      </c>
      <c r="H13" s="366"/>
      <c r="I13" s="366"/>
      <c r="J13" s="366"/>
      <c r="K13" s="366"/>
      <c r="L13" s="366"/>
      <c r="M13" s="366"/>
      <c r="N13" s="366"/>
    </row>
    <row r="14" spans="2:14" x14ac:dyDescent="0.3">
      <c r="B14" s="435"/>
      <c r="C14" s="420">
        <v>9</v>
      </c>
      <c r="D14" s="754"/>
      <c r="E14" s="754">
        <f>'Energy NPV'!$D47</f>
        <v>12.54</v>
      </c>
      <c r="F14" s="754">
        <f>'Energy NPV'!$D73</f>
        <v>11.617000000000001</v>
      </c>
      <c r="G14" s="754">
        <f>'Energy NPV'!$D99</f>
        <v>16.3</v>
      </c>
      <c r="H14" s="366"/>
      <c r="I14" s="366"/>
      <c r="J14" s="366"/>
      <c r="K14" s="366"/>
      <c r="L14" s="366"/>
      <c r="M14" s="366"/>
      <c r="N14" s="366"/>
    </row>
    <row r="15" spans="2:14" x14ac:dyDescent="0.3">
      <c r="B15" s="435"/>
      <c r="C15" s="420">
        <v>10</v>
      </c>
      <c r="D15" s="754">
        <f>'Energy Inputs'!$D$24</f>
        <v>30</v>
      </c>
      <c r="E15" s="754">
        <f>'Energy NPV'!$D48</f>
        <v>12.54</v>
      </c>
      <c r="F15" s="754">
        <f>'Energy NPV'!$D74</f>
        <v>11.617000000000001</v>
      </c>
      <c r="G15" s="754">
        <f>'Energy NPV'!$D100</f>
        <v>16.3</v>
      </c>
      <c r="H15" s="366"/>
      <c r="I15" s="366"/>
      <c r="J15" s="366"/>
      <c r="K15" s="366"/>
      <c r="L15" s="366"/>
      <c r="M15" s="366"/>
      <c r="N15" s="366"/>
    </row>
    <row r="16" spans="2:14" x14ac:dyDescent="0.3">
      <c r="B16" s="435"/>
      <c r="C16" s="420">
        <v>11</v>
      </c>
      <c r="D16" s="105"/>
      <c r="E16" s="754">
        <f>'Energy NPV'!$D49</f>
        <v>12.54</v>
      </c>
      <c r="F16" s="754">
        <f>'Energy NPV'!$D75</f>
        <v>11.617000000000001</v>
      </c>
      <c r="G16" s="754">
        <f>'Energy NPV'!$D101</f>
        <v>16.3</v>
      </c>
      <c r="H16" s="366"/>
      <c r="I16" s="366"/>
      <c r="J16" s="366"/>
      <c r="K16" s="366"/>
      <c r="L16" s="366"/>
      <c r="M16" s="366"/>
      <c r="N16" s="366"/>
    </row>
    <row r="17" spans="2:14" x14ac:dyDescent="0.3">
      <c r="B17" s="435"/>
      <c r="C17" s="420">
        <v>12</v>
      </c>
      <c r="D17" s="754"/>
      <c r="E17" s="754">
        <f>'Energy NPV'!$D50</f>
        <v>12.54</v>
      </c>
      <c r="F17" s="754">
        <f>'Energy NPV'!$D76</f>
        <v>11.617000000000001</v>
      </c>
      <c r="G17" s="754">
        <f>'Energy NPV'!$D102</f>
        <v>16.3</v>
      </c>
      <c r="H17" s="366"/>
      <c r="I17" s="366"/>
      <c r="J17" s="366"/>
      <c r="K17" s="366"/>
      <c r="L17" s="366"/>
      <c r="M17" s="366"/>
      <c r="N17" s="366"/>
    </row>
    <row r="18" spans="2:14" x14ac:dyDescent="0.3">
      <c r="B18" s="435"/>
      <c r="C18" s="420">
        <v>13</v>
      </c>
      <c r="D18" s="754">
        <f>'Energy Inputs'!$D$24</f>
        <v>30</v>
      </c>
      <c r="E18" s="754">
        <f>'Energy NPV'!$D51</f>
        <v>12.54</v>
      </c>
      <c r="F18" s="754">
        <f>'Energy NPV'!$D77</f>
        <v>11.617000000000001</v>
      </c>
      <c r="G18" s="754">
        <f>'Energy NPV'!$D103</f>
        <v>16.3</v>
      </c>
      <c r="H18" s="366"/>
      <c r="I18" s="366"/>
      <c r="J18" s="366"/>
      <c r="K18" s="366"/>
      <c r="L18" s="366"/>
      <c r="M18" s="366"/>
      <c r="N18" s="366"/>
    </row>
    <row r="19" spans="2:14" x14ac:dyDescent="0.3">
      <c r="B19" s="435"/>
      <c r="C19" s="420">
        <v>14</v>
      </c>
      <c r="D19" s="105"/>
      <c r="E19" s="754">
        <f>'Energy NPV'!$D52</f>
        <v>12.54</v>
      </c>
      <c r="F19" s="754">
        <f>'Energy NPV'!$D78</f>
        <v>11.617000000000001</v>
      </c>
      <c r="G19" s="754">
        <f>'Energy NPV'!$D104</f>
        <v>16.3</v>
      </c>
      <c r="H19" s="366"/>
      <c r="I19" s="366"/>
      <c r="J19" s="366"/>
      <c r="K19" s="366"/>
      <c r="L19" s="366"/>
      <c r="M19" s="366"/>
      <c r="N19" s="366"/>
    </row>
    <row r="20" spans="2:14" x14ac:dyDescent="0.3">
      <c r="B20" s="435"/>
      <c r="C20" s="420">
        <v>15</v>
      </c>
      <c r="D20" s="754"/>
      <c r="E20" s="754">
        <f>'Energy NPV'!$D53</f>
        <v>12.54</v>
      </c>
      <c r="F20" s="754">
        <f>'Energy NPV'!$D79</f>
        <v>11.617000000000001</v>
      </c>
      <c r="G20" s="754">
        <f>'Energy NPV'!$D105</f>
        <v>16.3</v>
      </c>
      <c r="H20" s="366"/>
      <c r="I20" s="366"/>
      <c r="J20" s="366"/>
      <c r="K20" s="366"/>
      <c r="L20" s="366"/>
      <c r="M20" s="366"/>
      <c r="N20" s="366"/>
    </row>
    <row r="21" spans="2:14" x14ac:dyDescent="0.3">
      <c r="B21" s="435"/>
      <c r="C21" s="561">
        <v>16</v>
      </c>
      <c r="D21" s="755">
        <f>'Energy Inputs'!$D$24</f>
        <v>30</v>
      </c>
      <c r="E21" s="755">
        <f>'Energy NPV'!$D54</f>
        <v>12.54</v>
      </c>
      <c r="F21" s="755">
        <f>'Energy NPV'!$D80</f>
        <v>11.617000000000001</v>
      </c>
      <c r="G21" s="755">
        <f>'Energy NPV'!$D106</f>
        <v>16.3</v>
      </c>
      <c r="H21" s="366"/>
      <c r="I21" s="366"/>
      <c r="J21" s="366"/>
      <c r="K21" s="366"/>
      <c r="L21" s="366"/>
      <c r="M21" s="366"/>
      <c r="N21" s="366"/>
    </row>
    <row r="22" spans="2:14" x14ac:dyDescent="0.3">
      <c r="B22" s="366"/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</row>
    <row r="23" spans="2:14" x14ac:dyDescent="0.3">
      <c r="B23" s="366"/>
      <c r="C23" s="366"/>
      <c r="D23" s="366"/>
      <c r="E23" s="366"/>
      <c r="F23" s="366"/>
      <c r="G23" s="366"/>
      <c r="H23" s="366"/>
      <c r="I23" s="366"/>
      <c r="J23" s="366"/>
      <c r="K23" s="366"/>
      <c r="L23" s="366"/>
      <c r="M23" s="366"/>
      <c r="N23" s="366"/>
    </row>
    <row r="24" spans="2:14" x14ac:dyDescent="0.3">
      <c r="B24" s="506"/>
      <c r="C24" s="435"/>
      <c r="D24" s="514" t="s">
        <v>94</v>
      </c>
      <c r="E24" s="514" t="s">
        <v>95</v>
      </c>
      <c r="F24" s="731" t="s">
        <v>96</v>
      </c>
      <c r="G24" s="731" t="s">
        <v>451</v>
      </c>
      <c r="H24" s="366"/>
      <c r="I24" s="366"/>
      <c r="J24" s="366"/>
      <c r="K24" s="366"/>
      <c r="L24" s="366"/>
      <c r="M24" s="366"/>
      <c r="N24" s="366"/>
    </row>
    <row r="25" spans="2:14" x14ac:dyDescent="0.3">
      <c r="B25" s="725" t="s">
        <v>251</v>
      </c>
      <c r="C25" s="725" t="s">
        <v>608</v>
      </c>
      <c r="D25" s="732">
        <f>'Energy Inputs'!D58</f>
        <v>72</v>
      </c>
      <c r="E25" s="732">
        <f>'Energy Inputs'!E58</f>
        <v>72</v>
      </c>
      <c r="F25" s="732">
        <f>'Energy Inputs'!F58</f>
        <v>72</v>
      </c>
      <c r="G25" s="732">
        <f>'Energy Inputs'!G58</f>
        <v>72</v>
      </c>
      <c r="H25" s="366"/>
      <c r="I25" s="366"/>
      <c r="J25" s="366"/>
      <c r="K25" s="366"/>
      <c r="L25" s="366"/>
      <c r="M25" s="366"/>
      <c r="N25" s="366"/>
    </row>
    <row r="26" spans="2:14" x14ac:dyDescent="0.3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</row>
    <row r="27" spans="2:14" x14ac:dyDescent="0.3"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366"/>
      <c r="M27" s="366"/>
      <c r="N27" s="366"/>
    </row>
    <row r="28" spans="2:14" x14ac:dyDescent="0.3">
      <c r="B28" s="725" t="s">
        <v>219</v>
      </c>
      <c r="C28" s="779" t="s">
        <v>599</v>
      </c>
      <c r="D28" s="155">
        <f>'Energy Inputs'!D10</f>
        <v>175.95</v>
      </c>
      <c r="E28" s="366"/>
      <c r="F28" s="366"/>
      <c r="G28" s="366"/>
      <c r="H28" s="366"/>
      <c r="I28" s="366"/>
      <c r="J28" s="366"/>
      <c r="K28" s="366"/>
      <c r="L28" s="366"/>
      <c r="M28" s="366"/>
      <c r="N28" s="366"/>
    </row>
    <row r="29" spans="2:14" x14ac:dyDescent="0.3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</row>
    <row r="30" spans="2:14" x14ac:dyDescent="0.3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</row>
    <row r="31" spans="2:14" x14ac:dyDescent="0.3">
      <c r="B31" s="518" t="s">
        <v>82</v>
      </c>
      <c r="C31" s="681"/>
      <c r="D31" s="514" t="s">
        <v>94</v>
      </c>
      <c r="E31" s="514" t="s">
        <v>95</v>
      </c>
      <c r="F31" s="731" t="s">
        <v>96</v>
      </c>
      <c r="G31" s="731" t="s">
        <v>451</v>
      </c>
      <c r="H31" s="366"/>
      <c r="I31" s="366"/>
      <c r="J31" s="366"/>
      <c r="K31" s="366"/>
      <c r="L31" s="366"/>
      <c r="M31" s="366"/>
      <c r="N31" s="366"/>
    </row>
    <row r="32" spans="2:14" x14ac:dyDescent="0.3">
      <c r="B32" s="355" t="s">
        <v>12</v>
      </c>
      <c r="C32" s="356" t="s">
        <v>599</v>
      </c>
      <c r="D32" s="111">
        <f>'Margins summary'!P20</f>
        <v>2498.2967840000001</v>
      </c>
      <c r="E32" s="111">
        <f>'Margins summary'!R20</f>
        <v>2224.610784</v>
      </c>
      <c r="F32" s="111">
        <f>'Margins summary'!T20</f>
        <v>5737.3339839999999</v>
      </c>
      <c r="G32" s="111">
        <f>'Margins summary'!V20</f>
        <v>2234.4822840000002</v>
      </c>
      <c r="H32" s="366"/>
      <c r="I32" s="366"/>
      <c r="J32" s="366"/>
      <c r="K32" s="366"/>
      <c r="L32" s="366"/>
      <c r="M32" s="366"/>
      <c r="N32" s="366"/>
    </row>
    <row r="33" spans="2:14" x14ac:dyDescent="0.3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366"/>
      <c r="M33" s="366"/>
      <c r="N33" s="366"/>
    </row>
    <row r="34" spans="2:14" x14ac:dyDescent="0.3">
      <c r="B34" s="366"/>
      <c r="C34" s="366"/>
      <c r="D34" s="366"/>
      <c r="E34" s="366"/>
      <c r="F34" s="366"/>
      <c r="G34" s="366"/>
      <c r="H34" s="366"/>
      <c r="I34" s="366"/>
      <c r="J34" s="366"/>
      <c r="K34" s="366"/>
      <c r="L34" s="366"/>
      <c r="M34" s="366"/>
      <c r="N34" s="366"/>
    </row>
    <row r="35" spans="2:14" x14ac:dyDescent="0.3">
      <c r="B35" s="518" t="s">
        <v>88</v>
      </c>
      <c r="C35" s="681"/>
      <c r="H35" s="366"/>
      <c r="I35" s="366"/>
      <c r="J35" s="366"/>
      <c r="K35" s="366"/>
      <c r="L35" s="366"/>
      <c r="M35" s="366"/>
      <c r="N35" s="366"/>
    </row>
    <row r="36" spans="2:14" x14ac:dyDescent="0.3">
      <c r="B36" s="357" t="s">
        <v>12</v>
      </c>
      <c r="C36" s="356" t="s">
        <v>599</v>
      </c>
      <c r="D36" s="514" t="s">
        <v>94</v>
      </c>
      <c r="E36" s="514" t="s">
        <v>95</v>
      </c>
      <c r="F36" s="731" t="s">
        <v>96</v>
      </c>
      <c r="G36" s="731" t="s">
        <v>451</v>
      </c>
      <c r="H36" s="366"/>
      <c r="I36" s="366"/>
      <c r="J36" s="366"/>
      <c r="K36" s="366"/>
      <c r="L36" s="366"/>
      <c r="M36" s="366"/>
      <c r="N36" s="366"/>
    </row>
    <row r="37" spans="2:14" x14ac:dyDescent="0.3">
      <c r="B37" s="366"/>
      <c r="C37" s="728">
        <v>1</v>
      </c>
      <c r="D37" s="753"/>
      <c r="E37" s="107">
        <v>0</v>
      </c>
      <c r="F37" s="107">
        <v>0</v>
      </c>
      <c r="G37" s="107">
        <v>0</v>
      </c>
      <c r="H37" s="366"/>
      <c r="I37" s="366"/>
      <c r="J37" s="366"/>
      <c r="K37" s="366"/>
      <c r="L37" s="366"/>
      <c r="M37" s="366"/>
      <c r="N37" s="366"/>
    </row>
    <row r="38" spans="2:14" x14ac:dyDescent="0.3">
      <c r="B38" s="366"/>
      <c r="C38" s="420">
        <v>2</v>
      </c>
      <c r="D38" s="754"/>
      <c r="E38" s="533">
        <f>'Margins summary'!$S$22</f>
        <v>408.42566399999998</v>
      </c>
      <c r="F38" s="533">
        <f>'Margins summary'!$U$22</f>
        <v>333.83611733333333</v>
      </c>
      <c r="G38" s="533">
        <f>'Margins summary'!$W$22</f>
        <v>431.07603399999994</v>
      </c>
      <c r="H38" s="366"/>
      <c r="I38" s="366"/>
      <c r="J38" s="366"/>
      <c r="K38" s="366"/>
      <c r="L38" s="366"/>
      <c r="M38" s="366"/>
      <c r="N38" s="366"/>
    </row>
    <row r="39" spans="2:14" x14ac:dyDescent="0.3">
      <c r="B39" s="366"/>
      <c r="C39" s="420">
        <v>3</v>
      </c>
      <c r="D39" s="754"/>
      <c r="E39" s="533">
        <f>'Margins summary'!$S$22</f>
        <v>408.42566399999998</v>
      </c>
      <c r="F39" s="533">
        <f>'Margins summary'!$U$22</f>
        <v>333.83611733333333</v>
      </c>
      <c r="G39" s="533">
        <f>'Margins summary'!$W$22</f>
        <v>431.07603399999994</v>
      </c>
      <c r="H39" s="366"/>
      <c r="I39" s="366"/>
      <c r="J39" s="366"/>
      <c r="K39" s="366"/>
      <c r="L39" s="366"/>
      <c r="M39" s="366"/>
      <c r="N39" s="366"/>
    </row>
    <row r="40" spans="2:14" x14ac:dyDescent="0.3">
      <c r="B40" s="366"/>
      <c r="C40" s="420">
        <v>4</v>
      </c>
      <c r="D40" s="301">
        <f>'Margins summary'!$P$22/5</f>
        <v>786.50766399999998</v>
      </c>
      <c r="E40" s="533">
        <f>'Margins summary'!$S$22</f>
        <v>408.42566399999998</v>
      </c>
      <c r="F40" s="533">
        <f>'Margins summary'!$U$22</f>
        <v>333.83611733333333</v>
      </c>
      <c r="G40" s="533">
        <f>'Margins summary'!$W$22</f>
        <v>431.07603399999994</v>
      </c>
      <c r="H40" s="366"/>
      <c r="I40" s="366"/>
      <c r="J40" s="366"/>
      <c r="K40" s="366"/>
      <c r="L40" s="366"/>
      <c r="M40" s="366"/>
      <c r="N40" s="366"/>
    </row>
    <row r="41" spans="2:14" x14ac:dyDescent="0.3">
      <c r="B41" s="366"/>
      <c r="C41" s="420">
        <v>5</v>
      </c>
      <c r="D41" s="754"/>
      <c r="E41" s="533">
        <f>'Margins summary'!$S$22</f>
        <v>408.42566399999998</v>
      </c>
      <c r="F41" s="533">
        <f>'Margins summary'!$U$22</f>
        <v>333.83611733333333</v>
      </c>
      <c r="G41" s="533">
        <f>'Margins summary'!$W$22</f>
        <v>431.07603399999994</v>
      </c>
      <c r="H41" s="366"/>
      <c r="I41" s="366"/>
      <c r="J41" s="366"/>
      <c r="K41" s="366"/>
      <c r="L41" s="366"/>
      <c r="M41" s="366"/>
      <c r="N41" s="366"/>
    </row>
    <row r="42" spans="2:14" x14ac:dyDescent="0.3">
      <c r="B42" s="366"/>
      <c r="C42" s="420">
        <v>6</v>
      </c>
      <c r="D42" s="754"/>
      <c r="E42" s="533">
        <f>'Margins summary'!$S$22</f>
        <v>408.42566399999998</v>
      </c>
      <c r="F42" s="533">
        <f>'Margins summary'!$U$22</f>
        <v>333.83611733333333</v>
      </c>
      <c r="G42" s="533">
        <f>'Margins summary'!$W$22</f>
        <v>431.07603399999994</v>
      </c>
      <c r="H42" s="366"/>
      <c r="I42" s="366"/>
      <c r="J42" s="366"/>
      <c r="K42" s="366"/>
      <c r="L42" s="366"/>
      <c r="M42" s="366"/>
      <c r="N42" s="366"/>
    </row>
    <row r="43" spans="2:14" x14ac:dyDescent="0.3">
      <c r="B43" s="366"/>
      <c r="C43" s="420">
        <v>7</v>
      </c>
      <c r="D43" s="301">
        <f>'Margins summary'!$P$22/5</f>
        <v>786.50766399999998</v>
      </c>
      <c r="E43" s="533">
        <f>'Margins summary'!$S$22</f>
        <v>408.42566399999998</v>
      </c>
      <c r="F43" s="533">
        <f>'Margins summary'!$U$22</f>
        <v>333.83611733333333</v>
      </c>
      <c r="G43" s="533">
        <f>'Margins summary'!$W$22</f>
        <v>431.07603399999994</v>
      </c>
      <c r="H43" s="366"/>
      <c r="I43" s="366"/>
      <c r="J43" s="366"/>
      <c r="K43" s="366"/>
      <c r="L43" s="366"/>
      <c r="M43" s="366"/>
      <c r="N43" s="366"/>
    </row>
    <row r="44" spans="2:14" x14ac:dyDescent="0.3">
      <c r="B44" s="366"/>
      <c r="C44" s="420">
        <v>8</v>
      </c>
      <c r="D44" s="754"/>
      <c r="E44" s="533">
        <f>'Margins summary'!$S$22</f>
        <v>408.42566399999998</v>
      </c>
      <c r="F44" s="533">
        <f>'Margins summary'!$U$22</f>
        <v>333.83611733333333</v>
      </c>
      <c r="G44" s="533">
        <f>'Margins summary'!$W$22</f>
        <v>431.07603399999994</v>
      </c>
      <c r="H44" s="366"/>
      <c r="I44" s="366"/>
      <c r="J44" s="366"/>
      <c r="K44" s="366"/>
      <c r="L44" s="366"/>
      <c r="M44" s="366"/>
      <c r="N44" s="366"/>
    </row>
    <row r="45" spans="2:14" x14ac:dyDescent="0.3">
      <c r="B45" s="366"/>
      <c r="C45" s="420">
        <v>9</v>
      </c>
      <c r="D45" s="754"/>
      <c r="E45" s="533">
        <f>'Margins summary'!$S$22</f>
        <v>408.42566399999998</v>
      </c>
      <c r="F45" s="533">
        <f>'Margins summary'!$U$22</f>
        <v>333.83611733333333</v>
      </c>
      <c r="G45" s="533">
        <f>'Margins summary'!$W$22</f>
        <v>431.07603399999994</v>
      </c>
      <c r="H45" s="366"/>
      <c r="I45" s="366"/>
      <c r="J45" s="366"/>
      <c r="K45" s="366"/>
      <c r="L45" s="366"/>
      <c r="M45" s="366"/>
      <c r="N45" s="366"/>
    </row>
    <row r="46" spans="2:14" x14ac:dyDescent="0.3">
      <c r="B46" s="366"/>
      <c r="C46" s="420">
        <v>10</v>
      </c>
      <c r="D46" s="301">
        <f>'Margins summary'!$P$22/5</f>
        <v>786.50766399999998</v>
      </c>
      <c r="E46" s="533">
        <f>'Margins summary'!$S$22</f>
        <v>408.42566399999998</v>
      </c>
      <c r="F46" s="533">
        <f>'Margins summary'!$U$22</f>
        <v>333.83611733333333</v>
      </c>
      <c r="G46" s="533">
        <f>'Margins summary'!$W$22</f>
        <v>431.07603399999994</v>
      </c>
      <c r="H46" s="366"/>
      <c r="I46" s="366"/>
      <c r="J46" s="366"/>
      <c r="K46" s="366"/>
      <c r="L46" s="366"/>
      <c r="M46" s="366"/>
      <c r="N46" s="366"/>
    </row>
    <row r="47" spans="2:14" x14ac:dyDescent="0.3">
      <c r="B47" s="366"/>
      <c r="C47" s="420">
        <v>11</v>
      </c>
      <c r="D47" s="105"/>
      <c r="E47" s="533">
        <f>'Margins summary'!$S$22</f>
        <v>408.42566399999998</v>
      </c>
      <c r="F47" s="533">
        <f>'Margins summary'!$U$22</f>
        <v>333.83611733333333</v>
      </c>
      <c r="G47" s="533">
        <f>'Margins summary'!$W$22</f>
        <v>431.07603399999994</v>
      </c>
      <c r="H47" s="366"/>
      <c r="I47" s="366"/>
      <c r="J47" s="366"/>
      <c r="K47" s="366"/>
      <c r="L47" s="366"/>
      <c r="M47" s="366"/>
      <c r="N47" s="366"/>
    </row>
    <row r="48" spans="2:14" x14ac:dyDescent="0.3">
      <c r="B48" s="366"/>
      <c r="C48" s="420">
        <v>12</v>
      </c>
      <c r="D48" s="754"/>
      <c r="E48" s="533">
        <f>'Margins summary'!$S$22</f>
        <v>408.42566399999998</v>
      </c>
      <c r="F48" s="533">
        <f>'Margins summary'!$U$22</f>
        <v>333.83611733333333</v>
      </c>
      <c r="G48" s="533">
        <f>'Margins summary'!$W$22</f>
        <v>431.07603399999994</v>
      </c>
      <c r="H48" s="366"/>
      <c r="I48" s="366"/>
      <c r="J48" s="366"/>
      <c r="K48" s="366"/>
      <c r="L48" s="366"/>
      <c r="M48" s="366"/>
      <c r="N48" s="366"/>
    </row>
    <row r="49" spans="2:14" x14ac:dyDescent="0.3">
      <c r="B49" s="366"/>
      <c r="C49" s="420">
        <v>13</v>
      </c>
      <c r="D49" s="301">
        <f>'Margins summary'!$P$22/5</f>
        <v>786.50766399999998</v>
      </c>
      <c r="E49" s="533">
        <f>'Margins summary'!$S$22</f>
        <v>408.42566399999998</v>
      </c>
      <c r="F49" s="533">
        <f>'Margins summary'!$U$22</f>
        <v>333.83611733333333</v>
      </c>
      <c r="G49" s="533">
        <f>'Margins summary'!$W$22</f>
        <v>431.07603399999994</v>
      </c>
      <c r="H49" s="366"/>
      <c r="I49" s="366"/>
      <c r="J49" s="366"/>
      <c r="K49" s="366"/>
      <c r="L49" s="366"/>
      <c r="M49" s="366"/>
      <c r="N49" s="366"/>
    </row>
    <row r="50" spans="2:14" x14ac:dyDescent="0.3">
      <c r="B50" s="366"/>
      <c r="C50" s="420">
        <v>14</v>
      </c>
      <c r="D50" s="105"/>
      <c r="E50" s="533">
        <f>'Margins summary'!$S$22</f>
        <v>408.42566399999998</v>
      </c>
      <c r="F50" s="533">
        <f>'Margins summary'!$U$22</f>
        <v>333.83611733333333</v>
      </c>
      <c r="G50" s="533">
        <f>'Margins summary'!$W$22</f>
        <v>431.07603399999994</v>
      </c>
      <c r="H50" s="366"/>
      <c r="I50" s="366"/>
      <c r="J50" s="366"/>
      <c r="K50" s="366"/>
      <c r="L50" s="366"/>
      <c r="M50" s="366"/>
      <c r="N50" s="366"/>
    </row>
    <row r="51" spans="2:14" x14ac:dyDescent="0.3">
      <c r="B51" s="366"/>
      <c r="C51" s="420">
        <v>15</v>
      </c>
      <c r="D51" s="754"/>
      <c r="E51" s="533">
        <f>'Margins summary'!$S$22</f>
        <v>408.42566399999998</v>
      </c>
      <c r="F51" s="533">
        <f>'Margins summary'!$U$22</f>
        <v>333.83611733333333</v>
      </c>
      <c r="G51" s="533">
        <f>'Margins summary'!$W$22</f>
        <v>431.07603399999994</v>
      </c>
      <c r="H51" s="366"/>
      <c r="I51" s="366"/>
      <c r="J51" s="366"/>
      <c r="K51" s="366"/>
      <c r="L51" s="366"/>
      <c r="M51" s="366"/>
      <c r="N51" s="366"/>
    </row>
    <row r="52" spans="2:14" x14ac:dyDescent="0.3">
      <c r="B52" s="366"/>
      <c r="C52" s="561">
        <v>16</v>
      </c>
      <c r="D52" s="299">
        <f>'Margins summary'!$P$22/5</f>
        <v>786.50766399999998</v>
      </c>
      <c r="E52" s="537">
        <f>'Margins summary'!$S$22</f>
        <v>408.42566399999998</v>
      </c>
      <c r="F52" s="537">
        <f>'Margins summary'!$U$22</f>
        <v>333.83611733333333</v>
      </c>
      <c r="G52" s="537">
        <f>'Margins summary'!$W$22</f>
        <v>431.07603399999994</v>
      </c>
      <c r="H52" s="366"/>
      <c r="I52" s="366"/>
      <c r="J52" s="366"/>
      <c r="K52" s="366"/>
      <c r="L52" s="366"/>
      <c r="M52" s="366"/>
      <c r="N52" s="366"/>
    </row>
    <row r="53" spans="2:14" x14ac:dyDescent="0.3">
      <c r="B53" s="366"/>
      <c r="C53" s="366"/>
      <c r="D53" s="366"/>
      <c r="E53" s="366"/>
      <c r="F53" s="366"/>
      <c r="G53" s="366"/>
      <c r="H53" s="366"/>
      <c r="I53" s="366"/>
      <c r="J53" s="366"/>
      <c r="K53" s="366"/>
      <c r="L53" s="366"/>
      <c r="M53" s="366"/>
      <c r="N53" s="366"/>
    </row>
    <row r="54" spans="2:14" x14ac:dyDescent="0.3">
      <c r="B54" s="366"/>
      <c r="C54" s="366"/>
      <c r="D54" s="366"/>
      <c r="E54" s="366"/>
      <c r="F54" s="366"/>
      <c r="G54" s="366"/>
      <c r="H54" s="366"/>
      <c r="I54" s="366"/>
      <c r="J54" s="366"/>
      <c r="K54" s="366"/>
      <c r="L54" s="366"/>
      <c r="M54" s="366"/>
      <c r="N54" s="366"/>
    </row>
    <row r="55" spans="2:14" x14ac:dyDescent="0.3">
      <c r="B55" s="518" t="s">
        <v>266</v>
      </c>
      <c r="C55" s="681"/>
      <c r="D55" s="514" t="s">
        <v>94</v>
      </c>
      <c r="E55" s="514" t="s">
        <v>95</v>
      </c>
      <c r="F55" s="731" t="s">
        <v>96</v>
      </c>
      <c r="G55" s="731" t="s">
        <v>451</v>
      </c>
      <c r="H55" s="366"/>
      <c r="I55" s="366"/>
      <c r="J55" s="366"/>
      <c r="K55" s="366"/>
      <c r="L55" s="366"/>
      <c r="M55" s="366"/>
      <c r="N55" s="366"/>
    </row>
    <row r="56" spans="2:14" x14ac:dyDescent="0.3">
      <c r="B56" s="357" t="s">
        <v>12</v>
      </c>
      <c r="C56" s="356" t="s">
        <v>599</v>
      </c>
      <c r="D56" s="100">
        <f>'Energy margins'!J67</f>
        <v>192.1</v>
      </c>
      <c r="E56" s="100">
        <f>'Energy margins'!Q67</f>
        <v>192.1</v>
      </c>
      <c r="F56" s="100">
        <f>'Energy margins'!X67</f>
        <v>192.1</v>
      </c>
      <c r="G56" s="100">
        <f>'Energy margins'!AE67</f>
        <v>192.1</v>
      </c>
      <c r="H56" s="366"/>
      <c r="I56" s="366"/>
      <c r="J56" s="366"/>
      <c r="K56" s="366"/>
      <c r="L56" s="366"/>
      <c r="M56" s="366"/>
      <c r="N56" s="366"/>
    </row>
    <row r="57" spans="2:14" x14ac:dyDescent="0.3">
      <c r="B57" s="366"/>
      <c r="C57" s="366"/>
      <c r="D57" s="119"/>
      <c r="E57" s="119"/>
      <c r="F57" s="119"/>
      <c r="G57" s="119"/>
      <c r="H57" s="366"/>
      <c r="I57" s="366"/>
      <c r="J57" s="366"/>
      <c r="K57" s="366"/>
      <c r="L57" s="366"/>
      <c r="M57" s="366"/>
      <c r="N57" s="366"/>
    </row>
    <row r="58" spans="2:14" x14ac:dyDescent="0.3">
      <c r="B58" s="366"/>
      <c r="C58" s="366"/>
      <c r="D58" s="366"/>
      <c r="E58" s="366"/>
      <c r="F58" s="366"/>
      <c r="G58" s="366"/>
      <c r="H58" s="366"/>
      <c r="I58" s="366"/>
      <c r="J58" s="366"/>
      <c r="K58" s="366"/>
      <c r="L58" s="366"/>
      <c r="M58" s="366"/>
      <c r="N58" s="366"/>
    </row>
    <row r="59" spans="2:14" x14ac:dyDescent="0.3">
      <c r="B59" s="366"/>
      <c r="C59" s="518" t="s">
        <v>672</v>
      </c>
      <c r="D59" s="680"/>
      <c r="E59" s="680"/>
      <c r="F59" s="680"/>
      <c r="G59" s="681"/>
      <c r="H59" s="366"/>
      <c r="I59" s="518" t="s">
        <v>673</v>
      </c>
      <c r="J59" s="680"/>
      <c r="K59" s="680"/>
      <c r="L59" s="680"/>
      <c r="M59" s="681"/>
      <c r="N59" s="366"/>
    </row>
    <row r="60" spans="2:14" x14ac:dyDescent="0.3">
      <c r="B60" s="358"/>
      <c r="C60" s="564"/>
      <c r="D60" s="514" t="s">
        <v>94</v>
      </c>
      <c r="E60" s="514" t="s">
        <v>95</v>
      </c>
      <c r="F60" s="731" t="s">
        <v>96</v>
      </c>
      <c r="G60" s="731" t="s">
        <v>451</v>
      </c>
      <c r="H60" s="366"/>
      <c r="I60" s="564"/>
      <c r="J60" s="514" t="s">
        <v>94</v>
      </c>
      <c r="K60" s="514" t="s">
        <v>95</v>
      </c>
      <c r="L60" s="731" t="s">
        <v>96</v>
      </c>
      <c r="M60" s="731" t="s">
        <v>451</v>
      </c>
      <c r="N60" s="366"/>
    </row>
    <row r="61" spans="2:14" x14ac:dyDescent="0.3">
      <c r="B61" s="366"/>
      <c r="C61" s="728">
        <v>1</v>
      </c>
      <c r="D61" s="559">
        <f>'Energy NPV'!AC13</f>
        <v>-2498.2967840000001</v>
      </c>
      <c r="E61" s="559">
        <f>'Energy NPV'!AC39</f>
        <v>-2181.4107840000001</v>
      </c>
      <c r="F61" s="559">
        <f>'Energy NPV'!AC65</f>
        <v>-5702.9739840000002</v>
      </c>
      <c r="G61" s="559">
        <f>'Energy NPV'!AC91</f>
        <v>-2234.4822840000002</v>
      </c>
      <c r="H61" s="366"/>
      <c r="I61" s="728">
        <v>1</v>
      </c>
      <c r="J61" s="559">
        <f>'Energy NPV'!AD13</f>
        <v>-2322.3467840000003</v>
      </c>
      <c r="K61" s="559">
        <f>'Energy NPV'!AD39</f>
        <v>-2005.4607839999999</v>
      </c>
      <c r="L61" s="559">
        <f>'Energy NPV'!AD65</f>
        <v>-5527.0239839999995</v>
      </c>
      <c r="M61" s="559">
        <f>'Energy NPV'!AD91</f>
        <v>-2058.5322840000003</v>
      </c>
      <c r="N61" s="366"/>
    </row>
    <row r="62" spans="2:14" x14ac:dyDescent="0.3">
      <c r="B62" s="366"/>
      <c r="C62" s="420">
        <v>2</v>
      </c>
      <c r="D62" s="560">
        <f>'Energy NPV'!AC14</f>
        <v>-152.46307692307693</v>
      </c>
      <c r="E62" s="560">
        <f>'Energy NPV'!AC40</f>
        <v>-215.45421538461531</v>
      </c>
      <c r="F62" s="560">
        <f>'Energy NPV'!AC66</f>
        <v>99.933861538461485</v>
      </c>
      <c r="G62" s="560">
        <f>'Energy NPV'!AC92</f>
        <v>120.13001538461546</v>
      </c>
      <c r="H62" s="366"/>
      <c r="I62" s="420">
        <v>2</v>
      </c>
      <c r="J62" s="560">
        <f>'Energy NPV'!AD14</f>
        <v>16.719615384615373</v>
      </c>
      <c r="K62" s="560">
        <f>'Energy NPV'!AD40</f>
        <v>-46.271523076923032</v>
      </c>
      <c r="L62" s="560">
        <f>'Energy NPV'!AD66</f>
        <v>269.11655384615375</v>
      </c>
      <c r="M62" s="560">
        <f>'Energy NPV'!AD92</f>
        <v>289.31270769230781</v>
      </c>
      <c r="N62" s="366"/>
    </row>
    <row r="63" spans="2:14" x14ac:dyDescent="0.3">
      <c r="B63" s="366"/>
      <c r="C63" s="420">
        <v>3</v>
      </c>
      <c r="D63" s="560">
        <f>'Energy NPV'!AC15</f>
        <v>-146.59911242603548</v>
      </c>
      <c r="E63" s="560">
        <f>'Energy NPV'!AC41</f>
        <v>270.45822485207083</v>
      </c>
      <c r="F63" s="560">
        <f>'Energy NPV'!AC67</f>
        <v>272.93936390532542</v>
      </c>
      <c r="G63" s="560">
        <f>'Energy NPV'!AC93</f>
        <v>432.81732248520717</v>
      </c>
      <c r="H63" s="366"/>
      <c r="I63" s="420">
        <v>3</v>
      </c>
      <c r="J63" s="560">
        <f>'Energy NPV'!AD15</f>
        <v>16.076553254437858</v>
      </c>
      <c r="K63" s="560">
        <f>'Energy NPV'!AD41</f>
        <v>433.13389053254423</v>
      </c>
      <c r="L63" s="560">
        <f>'Energy NPV'!AD67</f>
        <v>435.61502958579882</v>
      </c>
      <c r="M63" s="560">
        <f>'Energy NPV'!AD93</f>
        <v>595.49298816568057</v>
      </c>
      <c r="N63" s="366"/>
    </row>
    <row r="64" spans="2:14" x14ac:dyDescent="0.3">
      <c r="B64" s="366"/>
      <c r="C64" s="420">
        <v>4</v>
      </c>
      <c r="D64" s="560">
        <f>'Energy NPV'!AC16</f>
        <v>1293.6155979745106</v>
      </c>
      <c r="E64" s="560">
        <f>'Energy NPV'!AC42</f>
        <v>453.00517751479276</v>
      </c>
      <c r="F64" s="560">
        <f>'Energy NPV'!AC68</f>
        <v>468.36347860719172</v>
      </c>
      <c r="G64" s="560">
        <f>'Energy NPV'!AC94</f>
        <v>644.04693900773805</v>
      </c>
      <c r="H64" s="366"/>
      <c r="I64" s="420">
        <v>4</v>
      </c>
      <c r="J64" s="560">
        <f>'Energy NPV'!AD16</f>
        <v>1450.0345072826581</v>
      </c>
      <c r="K64" s="560">
        <f>'Energy NPV'!AD42</f>
        <v>609.42408682294024</v>
      </c>
      <c r="L64" s="560">
        <f>'Energy NPV'!AD68</f>
        <v>624.78238791533909</v>
      </c>
      <c r="M64" s="560">
        <f>'Energy NPV'!AD94</f>
        <v>800.46584831588552</v>
      </c>
      <c r="N64" s="366"/>
    </row>
    <row r="65" spans="2:14" x14ac:dyDescent="0.3">
      <c r="B65" s="366"/>
      <c r="C65" s="420">
        <v>5</v>
      </c>
      <c r="D65" s="560">
        <f>'Energy NPV'!AC17</f>
        <v>-38.946246630019949</v>
      </c>
      <c r="E65" s="560">
        <f>'Energy NPV'!AC43</f>
        <v>435.58190145653145</v>
      </c>
      <c r="F65" s="560">
        <f>'Energy NPV'!AC69</f>
        <v>450.34949866076124</v>
      </c>
      <c r="G65" s="560">
        <f>'Energy NPV'!AC95</f>
        <v>654.15191388606854</v>
      </c>
      <c r="H65" s="366"/>
      <c r="I65" s="420">
        <v>5</v>
      </c>
      <c r="J65" s="560">
        <f>'Energy NPV'!AD17</f>
        <v>111.45655078166028</v>
      </c>
      <c r="K65" s="560">
        <f>'Energy NPV'!AD43</f>
        <v>585.98469886821169</v>
      </c>
      <c r="L65" s="560">
        <f>'Energy NPV'!AD69</f>
        <v>600.75229607244137</v>
      </c>
      <c r="M65" s="560">
        <f>'Energy NPV'!AD95</f>
        <v>804.55471129774878</v>
      </c>
      <c r="N65" s="366"/>
    </row>
    <row r="66" spans="2:14" x14ac:dyDescent="0.3">
      <c r="B66" s="366"/>
      <c r="C66" s="420">
        <v>6</v>
      </c>
      <c r="D66" s="560">
        <f>'Energy NPV'!AC18</f>
        <v>-37.448314067326869</v>
      </c>
      <c r="E66" s="560">
        <f>'Energy NPV'!AC44</f>
        <v>418.82875140051095</v>
      </c>
      <c r="F66" s="560">
        <f>'Energy NPV'!AC70</f>
        <v>433.02836409688575</v>
      </c>
      <c r="G66" s="560">
        <f>'Energy NPV'!AC96</f>
        <v>628.99222489045042</v>
      </c>
      <c r="H66" s="366"/>
      <c r="I66" s="420">
        <v>6</v>
      </c>
      <c r="J66" s="560">
        <f>'Energy NPV'!AD18</f>
        <v>107.16976036698102</v>
      </c>
      <c r="K66" s="560">
        <f>'Energy NPV'!AD44</f>
        <v>563.44682583481892</v>
      </c>
      <c r="L66" s="560">
        <f>'Energy NPV'!AD70</f>
        <v>577.64643853119355</v>
      </c>
      <c r="M66" s="560">
        <f>'Energy NPV'!AD96</f>
        <v>773.61029932475833</v>
      </c>
      <c r="N66" s="366"/>
    </row>
    <row r="67" spans="2:14" x14ac:dyDescent="0.3">
      <c r="B67" s="366"/>
      <c r="C67" s="420">
        <v>7</v>
      </c>
      <c r="D67" s="560">
        <f>'Energy NPV'!AC19</f>
        <v>1150.0195561192379</v>
      </c>
      <c r="E67" s="560">
        <f>'Energy NPV'!AC45</f>
        <v>402.71995326972205</v>
      </c>
      <c r="F67" s="560">
        <f>'Energy NPV'!AC71</f>
        <v>416.37342701623629</v>
      </c>
      <c r="G67" s="560">
        <f>'Energy NPV'!AC97</f>
        <v>604.80021624081769</v>
      </c>
      <c r="H67" s="366"/>
      <c r="I67" s="420">
        <v>7</v>
      </c>
      <c r="J67" s="560">
        <f>'Energy NPV'!AD19</f>
        <v>1289.0753969214568</v>
      </c>
      <c r="K67" s="560">
        <f>'Energy NPV'!AD45</f>
        <v>541.77579407194128</v>
      </c>
      <c r="L67" s="560">
        <f>'Energy NPV'!AD71</f>
        <v>555.42926781845529</v>
      </c>
      <c r="M67" s="560">
        <f>'Energy NPV'!AD97</f>
        <v>743.85605704303691</v>
      </c>
      <c r="N67" s="366"/>
    </row>
    <row r="68" spans="2:14" x14ac:dyDescent="0.3">
      <c r="B68" s="366"/>
      <c r="C68" s="420">
        <v>8</v>
      </c>
      <c r="D68" s="560">
        <f>'Energy NPV'!AC20</f>
        <v>-34.623071437987122</v>
      </c>
      <c r="E68" s="560">
        <f>'Energy NPV'!AC46</f>
        <v>387.23072429780973</v>
      </c>
      <c r="F68" s="560">
        <f>'Energy NPV'!AC72</f>
        <v>400.35906443868879</v>
      </c>
      <c r="G68" s="560">
        <f>'Energy NPV'!AC98</f>
        <v>581.53866946232472</v>
      </c>
      <c r="H68" s="366"/>
      <c r="I68" s="420">
        <v>8</v>
      </c>
      <c r="J68" s="560">
        <f>'Energy NPV'!AD20</f>
        <v>99.084467794915895</v>
      </c>
      <c r="K68" s="560">
        <f>'Energy NPV'!AD46</f>
        <v>520.93826353071279</v>
      </c>
      <c r="L68" s="560">
        <f>'Energy NPV'!AD72</f>
        <v>534.06660367159168</v>
      </c>
      <c r="M68" s="560">
        <f>'Energy NPV'!AD98</f>
        <v>715.24620869522778</v>
      </c>
      <c r="N68" s="366"/>
    </row>
    <row r="69" spans="2:14" x14ac:dyDescent="0.3">
      <c r="B69" s="366"/>
      <c r="C69" s="420">
        <v>9</v>
      </c>
      <c r="D69" s="560">
        <f>'Energy NPV'!AC21</f>
        <v>-33.29141484421838</v>
      </c>
      <c r="E69" s="560">
        <f>'Energy NPV'!AC47</f>
        <v>372.33723490174003</v>
      </c>
      <c r="F69" s="560">
        <f>'Energy NPV'!AC73</f>
        <v>384.96063888335453</v>
      </c>
      <c r="G69" s="560">
        <f>'Energy NPV'!AC99</f>
        <v>559.17179755992754</v>
      </c>
      <c r="H69" s="366"/>
      <c r="I69" s="420">
        <v>9</v>
      </c>
      <c r="J69" s="560">
        <f>'Energy NPV'!AD21</f>
        <v>95.273526725880657</v>
      </c>
      <c r="K69" s="560">
        <f>'Energy NPV'!AD47</f>
        <v>500.90217647183914</v>
      </c>
      <c r="L69" s="560">
        <f>'Energy NPV'!AD73</f>
        <v>513.52558045345347</v>
      </c>
      <c r="M69" s="560">
        <f>'Energy NPV'!AD99</f>
        <v>687.73673913002665</v>
      </c>
      <c r="N69" s="366"/>
    </row>
    <row r="70" spans="2:14" x14ac:dyDescent="0.3">
      <c r="B70" s="366"/>
      <c r="C70" s="420">
        <v>10</v>
      </c>
      <c r="D70" s="560">
        <f>'Energy NPV'!AC22</f>
        <v>1022.3631977903442</v>
      </c>
      <c r="E70" s="560">
        <f>'Energy NPV'!AC48</f>
        <v>358.01657202090388</v>
      </c>
      <c r="F70" s="560">
        <f>'Energy NPV'!AC74</f>
        <v>370.15446046476393</v>
      </c>
      <c r="G70" s="560">
        <f>'Energy NPV'!AC100</f>
        <v>537.66518996146874</v>
      </c>
      <c r="H70" s="366"/>
      <c r="I70" s="420">
        <v>10</v>
      </c>
      <c r="J70" s="560">
        <f>'Energy NPV'!AD22</f>
        <v>1145.9833339154393</v>
      </c>
      <c r="K70" s="560">
        <f>'Energy NPV'!AD48</f>
        <v>481.63670814599914</v>
      </c>
      <c r="L70" s="560">
        <f>'Energy NPV'!AD74</f>
        <v>493.77459658985907</v>
      </c>
      <c r="M70" s="560">
        <f>'Energy NPV'!AD100</f>
        <v>661.28532608656406</v>
      </c>
      <c r="N70" s="366"/>
    </row>
    <row r="71" spans="2:14" x14ac:dyDescent="0.3">
      <c r="B71" s="366"/>
      <c r="C71" s="420">
        <v>11</v>
      </c>
      <c r="D71" s="560">
        <f>'Energy NPV'!AC23</f>
        <v>0</v>
      </c>
      <c r="E71" s="560">
        <f>'Energy NPV'!AC49</f>
        <v>344.24670386625371</v>
      </c>
      <c r="F71" s="560">
        <f>'Energy NPV'!AC75</f>
        <v>355.91775044688842</v>
      </c>
      <c r="G71" s="560">
        <f>'Energy NPV'!AC101</f>
        <v>516.98575957833532</v>
      </c>
      <c r="H71" s="366"/>
      <c r="I71" s="420">
        <v>11</v>
      </c>
      <c r="J71" s="560">
        <f>'Energy NPV'!AD23</f>
        <v>118.86551550489925</v>
      </c>
      <c r="K71" s="560">
        <f>'Energy NPV'!AD49</f>
        <v>463.112219371153</v>
      </c>
      <c r="L71" s="560">
        <f>'Energy NPV'!AD75</f>
        <v>474.78326595178754</v>
      </c>
      <c r="M71" s="560">
        <f>'Energy NPV'!AD101</f>
        <v>635.85127508323467</v>
      </c>
      <c r="N71" s="366"/>
    </row>
    <row r="72" spans="2:14" x14ac:dyDescent="0.3">
      <c r="B72" s="366"/>
      <c r="C72" s="420">
        <v>12</v>
      </c>
      <c r="D72" s="560">
        <f>'Energy NPV'!AC24</f>
        <v>0</v>
      </c>
      <c r="E72" s="560">
        <f>'Energy NPV'!AC50</f>
        <v>331.00644602524397</v>
      </c>
      <c r="F72" s="560">
        <f>'Energy NPV'!AC76</f>
        <v>342.22860619893117</v>
      </c>
      <c r="G72" s="560">
        <f>'Energy NPV'!AC102</f>
        <v>497.10169190224559</v>
      </c>
      <c r="H72" s="366"/>
      <c r="I72" s="420">
        <v>12</v>
      </c>
      <c r="J72" s="560">
        <f>'Energy NPV'!AD24</f>
        <v>114.29376490855698</v>
      </c>
      <c r="K72" s="560">
        <f>'Energy NPV'!AD50</f>
        <v>445.300210933801</v>
      </c>
      <c r="L72" s="560">
        <f>'Energy NPV'!AD76</f>
        <v>456.52237110748808</v>
      </c>
      <c r="M72" s="560">
        <f>'Energy NPV'!AD102</f>
        <v>611.39545681080256</v>
      </c>
      <c r="N72" s="366"/>
    </row>
    <row r="73" spans="2:14" x14ac:dyDescent="0.3">
      <c r="B73" s="366"/>
      <c r="C73" s="420">
        <v>13</v>
      </c>
      <c r="D73" s="560">
        <f>'Energy NPV'!AC25</f>
        <v>937.33480100891529</v>
      </c>
      <c r="E73" s="560">
        <f>'Energy NPV'!AC51</f>
        <v>318.27542887042682</v>
      </c>
      <c r="F73" s="560">
        <f>'Energy NPV'!AC77</f>
        <v>329.06596749897221</v>
      </c>
      <c r="G73" s="560">
        <f>'Energy NPV'!AC103</f>
        <v>477.9823960598514</v>
      </c>
      <c r="H73" s="366"/>
      <c r="I73" s="420">
        <v>13</v>
      </c>
      <c r="J73" s="560">
        <f>'Energy NPV'!AD25</f>
        <v>1047.2326518825275</v>
      </c>
      <c r="K73" s="560">
        <f>'Energy NPV'!AD51</f>
        <v>428.17327974403935</v>
      </c>
      <c r="L73" s="560">
        <f>'Energy NPV'!AD77</f>
        <v>438.96381837258457</v>
      </c>
      <c r="M73" s="560">
        <f>'Energy NPV'!AD103</f>
        <v>587.88024693346392</v>
      </c>
      <c r="N73" s="366"/>
    </row>
    <row r="74" spans="2:14" x14ac:dyDescent="0.3">
      <c r="B74" s="366"/>
      <c r="C74" s="420">
        <v>14</v>
      </c>
      <c r="D74" s="560">
        <f>'Energy NPV'!AC26</f>
        <v>0</v>
      </c>
      <c r="E74" s="560">
        <f>'Energy NPV'!AC52</f>
        <v>306.03406622156427</v>
      </c>
      <c r="F74" s="560">
        <f>'Energy NPV'!AC78</f>
        <v>316.40958413362716</v>
      </c>
      <c r="G74" s="560">
        <f>'Energy NPV'!AC104</f>
        <v>459.59845774985712</v>
      </c>
      <c r="H74" s="366"/>
      <c r="I74" s="420">
        <v>14</v>
      </c>
      <c r="J74" s="560">
        <f>'Energy NPV'!AD26</f>
        <v>105.67101045539658</v>
      </c>
      <c r="K74" s="560">
        <f>'Energy NPV'!AD52</f>
        <v>411.70507667696086</v>
      </c>
      <c r="L74" s="560">
        <f>'Energy NPV'!AD78</f>
        <v>422.08059458902363</v>
      </c>
      <c r="M74" s="560">
        <f>'Energy NPV'!AD104</f>
        <v>565.2694682052537</v>
      </c>
      <c r="N74" s="366"/>
    </row>
    <row r="75" spans="2:14" x14ac:dyDescent="0.3">
      <c r="B75" s="366"/>
      <c r="C75" s="420">
        <v>15</v>
      </c>
      <c r="D75" s="560">
        <f>'Energy NPV'!AC27</f>
        <v>0</v>
      </c>
      <c r="E75" s="560">
        <f>'Energy NPV'!AC53</f>
        <v>294.26352521304256</v>
      </c>
      <c r="F75" s="560">
        <f>'Energy NPV'!AC79</f>
        <v>304.23998474387224</v>
      </c>
      <c r="G75" s="560">
        <f>'Energy NPV'!AC105</f>
        <v>441.92159399024723</v>
      </c>
      <c r="H75" s="366"/>
      <c r="I75" s="420">
        <v>15</v>
      </c>
      <c r="J75" s="560">
        <f>'Energy NPV'!AD27</f>
        <v>101.60674082249672</v>
      </c>
      <c r="K75" s="560">
        <f>'Energy NPV'!AD53</f>
        <v>395.87026603553932</v>
      </c>
      <c r="L75" s="560">
        <f>'Energy NPV'!AD79</f>
        <v>405.84672556636889</v>
      </c>
      <c r="M75" s="560">
        <f>'Energy NPV'!AD105</f>
        <v>543.52833481274399</v>
      </c>
      <c r="N75" s="366"/>
    </row>
    <row r="76" spans="2:14" x14ac:dyDescent="0.3">
      <c r="B76" s="366"/>
      <c r="C76" s="561">
        <v>16</v>
      </c>
      <c r="D76" s="567">
        <f>'Energy NPV'!AC28</f>
        <v>726.62091398123209</v>
      </c>
      <c r="E76" s="567">
        <f>'Energy NPV'!AC54</f>
        <v>176.27938634901315</v>
      </c>
      <c r="F76" s="567">
        <f>'Energy NPV'!AC80</f>
        <v>248.6170247044879</v>
      </c>
      <c r="G76" s="567">
        <f>'Energy NPV'!AC106</f>
        <v>318.25829863478685</v>
      </c>
      <c r="H76" s="366"/>
      <c r="I76" s="561">
        <v>16</v>
      </c>
      <c r="J76" s="567">
        <f>'Energy NPV'!AD28</f>
        <v>824.31970323363271</v>
      </c>
      <c r="K76" s="567">
        <f>'Energy NPV'!AD54</f>
        <v>273.97817560141385</v>
      </c>
      <c r="L76" s="567">
        <f>'Energy NPV'!AD80</f>
        <v>346.31581395688858</v>
      </c>
      <c r="M76" s="567">
        <f>'Energy NPV'!AD106</f>
        <v>415.95708788718758</v>
      </c>
      <c r="N76" s="366"/>
    </row>
    <row r="77" spans="2:14" x14ac:dyDescent="0.3">
      <c r="B77" s="366"/>
      <c r="C77" s="366"/>
      <c r="D77" s="366"/>
      <c r="E77" s="366"/>
      <c r="F77" s="366"/>
      <c r="G77" s="366"/>
      <c r="H77" s="366"/>
      <c r="I77" s="366"/>
      <c r="J77" s="366"/>
      <c r="K77" s="366"/>
      <c r="L77" s="366"/>
      <c r="M77" s="366"/>
      <c r="N77" s="366"/>
    </row>
    <row r="78" spans="2:14" x14ac:dyDescent="0.3">
      <c r="B78" s="366"/>
      <c r="C78" s="366"/>
      <c r="D78" s="366"/>
      <c r="E78" s="366"/>
      <c r="F78" s="366"/>
      <c r="G78" s="366"/>
      <c r="H78" s="366"/>
      <c r="I78" s="366"/>
      <c r="J78" s="366"/>
      <c r="K78" s="366"/>
      <c r="L78" s="366"/>
      <c r="M78" s="366"/>
      <c r="N78" s="366"/>
    </row>
    <row r="79" spans="2:14" x14ac:dyDescent="0.3">
      <c r="B79" s="366"/>
      <c r="C79" s="518" t="s">
        <v>674</v>
      </c>
      <c r="D79" s="680"/>
      <c r="E79" s="680"/>
      <c r="F79" s="680"/>
      <c r="G79" s="681"/>
      <c r="H79" s="366"/>
      <c r="I79" s="518" t="s">
        <v>672</v>
      </c>
      <c r="J79" s="680"/>
      <c r="K79" s="680"/>
      <c r="L79" s="680"/>
      <c r="M79" s="681"/>
      <c r="N79" s="366"/>
    </row>
    <row r="80" spans="2:14" x14ac:dyDescent="0.3">
      <c r="B80" s="366"/>
      <c r="C80" s="729"/>
      <c r="D80" s="514" t="s">
        <v>94</v>
      </c>
      <c r="E80" s="514" t="s">
        <v>95</v>
      </c>
      <c r="F80" s="731" t="s">
        <v>96</v>
      </c>
      <c r="G80" s="731" t="s">
        <v>451</v>
      </c>
      <c r="H80" s="366"/>
      <c r="I80" s="729"/>
      <c r="J80" s="514" t="s">
        <v>94</v>
      </c>
      <c r="K80" s="514" t="s">
        <v>95</v>
      </c>
      <c r="L80" s="731" t="s">
        <v>96</v>
      </c>
      <c r="M80" s="731" t="s">
        <v>451</v>
      </c>
      <c r="N80" s="366"/>
    </row>
    <row r="81" spans="2:14" x14ac:dyDescent="0.3">
      <c r="B81" s="366"/>
      <c r="C81" s="728">
        <v>1</v>
      </c>
      <c r="D81" s="559">
        <f>'Energy NPV'!AH13</f>
        <v>-2498.2967840000001</v>
      </c>
      <c r="E81" s="559">
        <f>'Energy NPV'!AH39</f>
        <v>-2181.4107840000001</v>
      </c>
      <c r="F81" s="559">
        <f>'Energy NPV'!AH65</f>
        <v>-5702.9739840000002</v>
      </c>
      <c r="G81" s="559">
        <f>'Energy NPV'!AH91</f>
        <v>-2234.4822840000002</v>
      </c>
      <c r="H81" s="366"/>
      <c r="I81" s="728">
        <v>1</v>
      </c>
      <c r="J81" s="559">
        <f>'Energy NPV'!AI13</f>
        <v>-2322.3467840000003</v>
      </c>
      <c r="K81" s="559">
        <f>'Energy NPV'!AI39</f>
        <v>-2005.4607839999999</v>
      </c>
      <c r="L81" s="559">
        <f>'Energy NPV'!AI65</f>
        <v>-5527.0239839999995</v>
      </c>
      <c r="M81" s="559">
        <f>'Energy NPV'!AI91</f>
        <v>-2058.5322840000003</v>
      </c>
      <c r="N81" s="366"/>
    </row>
    <row r="82" spans="2:14" x14ac:dyDescent="0.3">
      <c r="B82" s="366"/>
      <c r="C82" s="420">
        <v>2</v>
      </c>
      <c r="D82" s="560">
        <f>'Energy NPV'!AH14</f>
        <v>-2650.7598609230772</v>
      </c>
      <c r="E82" s="560">
        <f>'Energy NPV'!AH40</f>
        <v>-2396.8649993846157</v>
      </c>
      <c r="F82" s="560">
        <f>'Energy NPV'!AH66</f>
        <v>-5603.0401224615389</v>
      </c>
      <c r="G82" s="560">
        <f>'Energy NPV'!AH92</f>
        <v>-2114.3522686153847</v>
      </c>
      <c r="H82" s="366"/>
      <c r="I82" s="420">
        <v>2</v>
      </c>
      <c r="J82" s="560">
        <f>'Energy NPV'!AI14</f>
        <v>-2305.627168615385</v>
      </c>
      <c r="K82" s="560">
        <f>'Energy NPV'!AI40</f>
        <v>-2051.732307076923</v>
      </c>
      <c r="L82" s="560">
        <f>'Energy NPV'!AI66</f>
        <v>-5257.9074301538458</v>
      </c>
      <c r="M82" s="560">
        <f>'Energy NPV'!AI92</f>
        <v>-1769.2195763076925</v>
      </c>
      <c r="N82" s="366"/>
    </row>
    <row r="83" spans="2:14" x14ac:dyDescent="0.3">
      <c r="B83" s="366"/>
      <c r="C83" s="420">
        <v>3</v>
      </c>
      <c r="D83" s="560">
        <f>'Energy NPV'!AH15</f>
        <v>-2797.3589733491126</v>
      </c>
      <c r="E83" s="560">
        <f>'Energy NPV'!AH41</f>
        <v>-2126.4067745325447</v>
      </c>
      <c r="F83" s="560">
        <f>'Energy NPV'!AH67</f>
        <v>-5330.1007585562138</v>
      </c>
      <c r="G83" s="560">
        <f>'Energy NPV'!AH93</f>
        <v>-1681.5349461301776</v>
      </c>
      <c r="H83" s="366"/>
      <c r="I83" s="420">
        <v>3</v>
      </c>
      <c r="J83" s="560">
        <f>'Energy NPV'!AI15</f>
        <v>-2289.5506153609472</v>
      </c>
      <c r="K83" s="560">
        <f>'Energy NPV'!AI41</f>
        <v>-1618.5984165443788</v>
      </c>
      <c r="L83" s="560">
        <f>'Energy NPV'!AI67</f>
        <v>-4822.292400568047</v>
      </c>
      <c r="M83" s="560">
        <f>'Energy NPV'!AI93</f>
        <v>-1173.7265881420119</v>
      </c>
      <c r="N83" s="366"/>
    </row>
    <row r="84" spans="2:14" x14ac:dyDescent="0.3">
      <c r="B84" s="366"/>
      <c r="C84" s="420">
        <v>4</v>
      </c>
      <c r="D84" s="560">
        <f>'Energy NPV'!AH16</f>
        <v>-1503.743375374602</v>
      </c>
      <c r="E84" s="560">
        <f>'Energy NPV'!AH42</f>
        <v>-1673.401597017752</v>
      </c>
      <c r="F84" s="560">
        <f>'Energy NPV'!AH68</f>
        <v>-4861.7372799490222</v>
      </c>
      <c r="G84" s="560">
        <f>'Energy NPV'!AH94</f>
        <v>-1037.4880071224395</v>
      </c>
      <c r="H84" s="366"/>
      <c r="I84" s="420">
        <v>4</v>
      </c>
      <c r="J84" s="560">
        <f>'Energy NPV'!AI16</f>
        <v>-839.51610807828911</v>
      </c>
      <c r="K84" s="560">
        <f>'Energy NPV'!AI42</f>
        <v>-1009.1743297214385</v>
      </c>
      <c r="L84" s="560">
        <f>'Energy NPV'!AI68</f>
        <v>-4197.5100126527077</v>
      </c>
      <c r="M84" s="560">
        <f>'Energy NPV'!AI94</f>
        <v>-373.26073982612638</v>
      </c>
      <c r="N84" s="366"/>
    </row>
    <row r="85" spans="2:14" x14ac:dyDescent="0.3">
      <c r="B85" s="366"/>
      <c r="C85" s="420">
        <v>5</v>
      </c>
      <c r="D85" s="560">
        <f>'Energy NPV'!AH17</f>
        <v>-1542.6896220046219</v>
      </c>
      <c r="E85" s="560">
        <f>'Energy NPV'!AH43</f>
        <v>-1237.8196955612207</v>
      </c>
      <c r="F85" s="560">
        <f>'Energy NPV'!AH69</f>
        <v>-4411.3877812882611</v>
      </c>
      <c r="G85" s="560">
        <f>'Energy NPV'!AH95</f>
        <v>-383.33609323637097</v>
      </c>
      <c r="H85" s="366"/>
      <c r="I85" s="420">
        <v>5</v>
      </c>
      <c r="J85" s="560">
        <f>'Energy NPV'!AI17</f>
        <v>-728.05955729662878</v>
      </c>
      <c r="K85" s="560">
        <f>'Energy NPV'!AI43</f>
        <v>-423.18963085322684</v>
      </c>
      <c r="L85" s="560">
        <f>'Energy NPV'!AI69</f>
        <v>-3596.7577165802663</v>
      </c>
      <c r="M85" s="560">
        <f>'Energy NPV'!AI95</f>
        <v>431.2939714716224</v>
      </c>
      <c r="N85" s="366"/>
    </row>
    <row r="86" spans="2:14" x14ac:dyDescent="0.3">
      <c r="B86" s="366"/>
      <c r="C86" s="420">
        <v>6</v>
      </c>
      <c r="D86" s="560">
        <f>'Energy NPV'!AH18</f>
        <v>-1580.1379360719488</v>
      </c>
      <c r="E86" s="560">
        <f>'Energy NPV'!AH44</f>
        <v>-818.99094416070966</v>
      </c>
      <c r="F86" s="560">
        <f>'Energy NPV'!AH70</f>
        <v>-3978.3594171913755</v>
      </c>
      <c r="G86" s="560">
        <f>'Energy NPV'!AH96</f>
        <v>245.65613165407945</v>
      </c>
      <c r="H86" s="366"/>
      <c r="I86" s="420">
        <v>6</v>
      </c>
      <c r="J86" s="560">
        <f>'Energy NPV'!AI18</f>
        <v>-620.88979692964779</v>
      </c>
      <c r="K86" s="560">
        <f>'Energy NPV'!AI44</f>
        <v>140.25719498159208</v>
      </c>
      <c r="L86" s="560">
        <f>'Energy NPV'!AI70</f>
        <v>-3019.111278049073</v>
      </c>
      <c r="M86" s="560">
        <f>'Energy NPV'!AI96</f>
        <v>1204.9042707963808</v>
      </c>
      <c r="N86" s="366"/>
    </row>
    <row r="87" spans="2:14" x14ac:dyDescent="0.3">
      <c r="B87" s="366"/>
      <c r="C87" s="420">
        <v>7</v>
      </c>
      <c r="D87" s="560">
        <f>'Energy NPV'!AH19</f>
        <v>-430.11837995271094</v>
      </c>
      <c r="E87" s="560">
        <f>'Energy NPV'!AH45</f>
        <v>-416.2709908909876</v>
      </c>
      <c r="F87" s="560">
        <f>'Energy NPV'!AH71</f>
        <v>-3561.9859901751392</v>
      </c>
      <c r="G87" s="560">
        <f>'Energy NPV'!AH97</f>
        <v>850.45634789489714</v>
      </c>
      <c r="H87" s="366"/>
      <c r="I87" s="420">
        <v>7</v>
      </c>
      <c r="J87" s="560">
        <f>'Energy NPV'!AI19</f>
        <v>668.185599991809</v>
      </c>
      <c r="K87" s="560">
        <f>'Energy NPV'!AI45</f>
        <v>682.03298905353336</v>
      </c>
      <c r="L87" s="560">
        <f>'Energy NPV'!AI71</f>
        <v>-2463.6820102306178</v>
      </c>
      <c r="M87" s="560">
        <f>'Energy NPV'!AI97</f>
        <v>1948.7603278394176</v>
      </c>
      <c r="N87" s="366"/>
    </row>
    <row r="88" spans="2:14" x14ac:dyDescent="0.3">
      <c r="B88" s="366"/>
      <c r="C88" s="420">
        <v>8</v>
      </c>
      <c r="D88" s="560">
        <f>'Energy NPV'!AH20</f>
        <v>-464.74145139069805</v>
      </c>
      <c r="E88" s="560">
        <f>'Energy NPV'!AH46</f>
        <v>-29.040266593177876</v>
      </c>
      <c r="F88" s="560">
        <f>'Energy NPV'!AH72</f>
        <v>-3161.6269257364506</v>
      </c>
      <c r="G88" s="560">
        <f>'Energy NPV'!AH98</f>
        <v>1431.995017357222</v>
      </c>
      <c r="H88" s="366"/>
      <c r="I88" s="420">
        <v>8</v>
      </c>
      <c r="J88" s="560">
        <f>'Energy NPV'!AI20</f>
        <v>767.27006778672489</v>
      </c>
      <c r="K88" s="560">
        <f>'Energy NPV'!AI46</f>
        <v>1202.971252584246</v>
      </c>
      <c r="L88" s="560">
        <f>'Energy NPV'!AI72</f>
        <v>-1929.6154065590263</v>
      </c>
      <c r="M88" s="560">
        <f>'Energy NPV'!AI98</f>
        <v>2664.0065365346454</v>
      </c>
      <c r="N88" s="366"/>
    </row>
    <row r="89" spans="2:14" x14ac:dyDescent="0.3">
      <c r="B89" s="366"/>
      <c r="C89" s="420">
        <v>9</v>
      </c>
      <c r="D89" s="560">
        <f>'Energy NPV'!AH21</f>
        <v>-498.03286623491641</v>
      </c>
      <c r="E89" s="560">
        <f>'Energy NPV'!AH47</f>
        <v>343.29696830856216</v>
      </c>
      <c r="F89" s="560">
        <f>'Energy NPV'!AH73</f>
        <v>-2776.6662868530962</v>
      </c>
      <c r="G89" s="560">
        <f>'Energy NPV'!AH99</f>
        <v>1991.1668149171496</v>
      </c>
      <c r="H89" s="366"/>
      <c r="I89" s="420">
        <v>9</v>
      </c>
      <c r="J89" s="560">
        <f>'Energy NPV'!AI21</f>
        <v>862.54359451260552</v>
      </c>
      <c r="K89" s="560">
        <f>'Energy NPV'!AI47</f>
        <v>1703.8734290560851</v>
      </c>
      <c r="L89" s="560">
        <f>'Energy NPV'!AI73</f>
        <v>-1416.0898261055727</v>
      </c>
      <c r="M89" s="560">
        <f>'Energy NPV'!AI99</f>
        <v>3351.7432756646722</v>
      </c>
      <c r="N89" s="366"/>
    </row>
    <row r="90" spans="2:14" x14ac:dyDescent="0.3">
      <c r="B90" s="366"/>
      <c r="C90" s="420">
        <v>10</v>
      </c>
      <c r="D90" s="560">
        <f>'Energy NPV'!AH22</f>
        <v>524.33033155542785</v>
      </c>
      <c r="E90" s="560">
        <f>'Energy NPV'!AH48</f>
        <v>701.31354032946604</v>
      </c>
      <c r="F90" s="560">
        <f>'Energy NPV'!AH74</f>
        <v>-2406.5118263883323</v>
      </c>
      <c r="G90" s="560">
        <f>'Energy NPV'!AH100</f>
        <v>2528.8320048786181</v>
      </c>
      <c r="H90" s="366"/>
      <c r="I90" s="420">
        <v>10</v>
      </c>
      <c r="J90" s="560">
        <f>'Energy NPV'!AI22</f>
        <v>2008.5269284280448</v>
      </c>
      <c r="K90" s="560">
        <f>'Energy NPV'!AI48</f>
        <v>2185.5101372020845</v>
      </c>
      <c r="L90" s="560">
        <f>'Energy NPV'!AI74</f>
        <v>-922.31522951571355</v>
      </c>
      <c r="M90" s="560">
        <f>'Energy NPV'!AI100</f>
        <v>4013.0286017512362</v>
      </c>
      <c r="N90" s="366"/>
    </row>
    <row r="91" spans="2:14" x14ac:dyDescent="0.3">
      <c r="B91" s="366"/>
      <c r="C91" s="420">
        <v>11</v>
      </c>
      <c r="D91" s="560">
        <f>'Energy NPV'!AH23</f>
        <v>524.33033155542785</v>
      </c>
      <c r="E91" s="560">
        <f>'Energy NPV'!AH49</f>
        <v>1045.5602441957199</v>
      </c>
      <c r="F91" s="560">
        <f>'Energy NPV'!AH75</f>
        <v>-2050.5940759414439</v>
      </c>
      <c r="G91" s="560">
        <f>'Energy NPV'!AH101</f>
        <v>3045.8177644569532</v>
      </c>
      <c r="H91" s="366"/>
      <c r="I91" s="420">
        <v>11</v>
      </c>
      <c r="J91" s="560">
        <f>'Energy NPV'!AI23</f>
        <v>2127.3924439329439</v>
      </c>
      <c r="K91" s="560">
        <f>'Energy NPV'!AI49</f>
        <v>2648.6223565732375</v>
      </c>
      <c r="L91" s="560">
        <f>'Energy NPV'!AI75</f>
        <v>-447.53196356392601</v>
      </c>
      <c r="M91" s="560">
        <f>'Energy NPV'!AI101</f>
        <v>4648.8798768344714</v>
      </c>
      <c r="N91" s="366"/>
    </row>
    <row r="92" spans="2:14" x14ac:dyDescent="0.3">
      <c r="B92" s="366"/>
      <c r="C92" s="420">
        <v>12</v>
      </c>
      <c r="D92" s="560">
        <f>'Energy NPV'!AH24</f>
        <v>524.33033155542785</v>
      </c>
      <c r="E92" s="560">
        <f>'Energy NPV'!AH50</f>
        <v>1376.5666902209639</v>
      </c>
      <c r="F92" s="560">
        <f>'Energy NPV'!AH76</f>
        <v>-1708.3654697425127</v>
      </c>
      <c r="G92" s="560">
        <f>'Energy NPV'!AH102</f>
        <v>3542.9194563591986</v>
      </c>
      <c r="H92" s="366"/>
      <c r="I92" s="420">
        <v>12</v>
      </c>
      <c r="J92" s="560">
        <f>'Energy NPV'!AI24</f>
        <v>2241.686208841501</v>
      </c>
      <c r="K92" s="560">
        <f>'Energy NPV'!AI50</f>
        <v>3093.9225675070384</v>
      </c>
      <c r="L92" s="560">
        <f>'Energy NPV'!AI76</f>
        <v>8.9904075435620712</v>
      </c>
      <c r="M92" s="560">
        <f>'Energy NPV'!AI102</f>
        <v>5260.2753336452743</v>
      </c>
      <c r="N92" s="366"/>
    </row>
    <row r="93" spans="2:14" x14ac:dyDescent="0.3">
      <c r="B93" s="366"/>
      <c r="C93" s="420">
        <v>13</v>
      </c>
      <c r="D93" s="560">
        <f>'Energy NPV'!AH25</f>
        <v>1461.6651325643431</v>
      </c>
      <c r="E93" s="560">
        <f>'Energy NPV'!AH51</f>
        <v>1694.8421190913907</v>
      </c>
      <c r="F93" s="560">
        <f>'Energy NPV'!AH77</f>
        <v>-1379.2995022435405</v>
      </c>
      <c r="G93" s="560">
        <f>'Energy NPV'!AH103</f>
        <v>4020.9018524190501</v>
      </c>
      <c r="H93" s="366"/>
      <c r="I93" s="420">
        <v>13</v>
      </c>
      <c r="J93" s="560">
        <f>'Energy NPV'!AI25</f>
        <v>3288.9188607240285</v>
      </c>
      <c r="K93" s="560">
        <f>'Energy NPV'!AI51</f>
        <v>3522.0958472510779</v>
      </c>
      <c r="L93" s="560">
        <f>'Energy NPV'!AI77</f>
        <v>447.95422591614664</v>
      </c>
      <c r="M93" s="560">
        <f>'Energy NPV'!AI103</f>
        <v>5848.1555805787384</v>
      </c>
      <c r="N93" s="366"/>
    </row>
    <row r="94" spans="2:14" x14ac:dyDescent="0.3">
      <c r="B94" s="366"/>
      <c r="C94" s="420">
        <v>14</v>
      </c>
      <c r="D94" s="560">
        <f>'Energy NPV'!AH26</f>
        <v>1461.6651325643431</v>
      </c>
      <c r="E94" s="560">
        <f>'Energy NPV'!AH52</f>
        <v>2000.8761853129549</v>
      </c>
      <c r="F94" s="560">
        <f>'Energy NPV'!AH78</f>
        <v>-1062.8899181099132</v>
      </c>
      <c r="G94" s="560">
        <f>'Energy NPV'!AH104</f>
        <v>4480.5003101689072</v>
      </c>
      <c r="H94" s="366"/>
      <c r="I94" s="420">
        <v>14</v>
      </c>
      <c r="J94" s="560">
        <f>'Energy NPV'!AI26</f>
        <v>3394.5898711794252</v>
      </c>
      <c r="K94" s="560">
        <f>'Energy NPV'!AI52</f>
        <v>3933.8009239280386</v>
      </c>
      <c r="L94" s="560">
        <f>'Energy NPV'!AI78</f>
        <v>870.03482050517027</v>
      </c>
      <c r="M94" s="560">
        <f>'Energy NPV'!AI104</f>
        <v>6413.4250487839918</v>
      </c>
      <c r="N94" s="366"/>
    </row>
    <row r="95" spans="2:14" x14ac:dyDescent="0.3">
      <c r="B95" s="366"/>
      <c r="C95" s="420">
        <v>15</v>
      </c>
      <c r="D95" s="560">
        <f>'Energy NPV'!AH27</f>
        <v>1461.6651325643431</v>
      </c>
      <c r="E95" s="560">
        <f>'Energy NPV'!AH53</f>
        <v>2295.1397105259975</v>
      </c>
      <c r="F95" s="560">
        <f>'Energy NPV'!AH79</f>
        <v>-758.64993336604095</v>
      </c>
      <c r="G95" s="560">
        <f>'Energy NPV'!AH105</f>
        <v>4922.4219041591541</v>
      </c>
      <c r="H95" s="366"/>
      <c r="I95" s="420">
        <v>15</v>
      </c>
      <c r="J95" s="560">
        <f>'Energy NPV'!AI27</f>
        <v>3496.1966120019219</v>
      </c>
      <c r="K95" s="560">
        <f>'Energy NPV'!AI53</f>
        <v>4329.6711899635775</v>
      </c>
      <c r="L95" s="560">
        <f>'Energy NPV'!AI79</f>
        <v>1275.8815460715391</v>
      </c>
      <c r="M95" s="560">
        <f>'Energy NPV'!AI105</f>
        <v>6956.9533835967359</v>
      </c>
      <c r="N95" s="366"/>
    </row>
    <row r="96" spans="2:14" x14ac:dyDescent="0.3">
      <c r="B96" s="366"/>
      <c r="C96" s="561">
        <v>16</v>
      </c>
      <c r="D96" s="567">
        <f>'Energy NPV'!AH28</f>
        <v>2188.2860465455751</v>
      </c>
      <c r="E96" s="567">
        <f>'Energy NPV'!AH54</f>
        <v>2471.4190968750108</v>
      </c>
      <c r="F96" s="567">
        <f>'Energy NPV'!AH80</f>
        <v>-510.03290866155305</v>
      </c>
      <c r="G96" s="567">
        <f>'Energy NPV'!AH106</f>
        <v>5240.6802027939411</v>
      </c>
      <c r="H96" s="366"/>
      <c r="I96" s="561">
        <v>16</v>
      </c>
      <c r="J96" s="567">
        <f>'Energy NPV'!AI28</f>
        <v>4320.5163152355544</v>
      </c>
      <c r="K96" s="567">
        <f>'Energy NPV'!AI54</f>
        <v>4603.6493655649911</v>
      </c>
      <c r="L96" s="567">
        <f>'Energy NPV'!AI80</f>
        <v>1622.1973600284277</v>
      </c>
      <c r="M96" s="567">
        <f>'Energy NPV'!AI106</f>
        <v>7372.9104714839232</v>
      </c>
      <c r="N96" s="366"/>
    </row>
    <row r="97" spans="2:14" x14ac:dyDescent="0.3">
      <c r="B97" s="366"/>
      <c r="C97" s="366"/>
      <c r="D97" s="366"/>
      <c r="E97" s="366"/>
      <c r="F97" s="366"/>
      <c r="G97" s="366"/>
      <c r="H97" s="366"/>
      <c r="I97" s="366"/>
      <c r="J97" s="366"/>
      <c r="K97" s="366"/>
      <c r="L97" s="366"/>
      <c r="M97" s="366"/>
      <c r="N97" s="36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T30"/>
  <sheetViews>
    <sheetView workbookViewId="0">
      <selection activeCell="F4" sqref="F4"/>
    </sheetView>
  </sheetViews>
  <sheetFormatPr defaultColWidth="9" defaultRowHeight="14" x14ac:dyDescent="0.3"/>
  <cols>
    <col min="2" max="2" width="20.08203125" bestFit="1" customWidth="1"/>
    <col min="3" max="30" width="10.58203125" customWidth="1"/>
  </cols>
  <sheetData>
    <row r="4" spans="1:20" ht="40" x14ac:dyDescent="0.3">
      <c r="B4" s="733" t="s">
        <v>300</v>
      </c>
      <c r="C4" s="734" t="s">
        <v>278</v>
      </c>
      <c r="D4" s="735" t="s">
        <v>314</v>
      </c>
      <c r="E4" s="735" t="s">
        <v>338</v>
      </c>
      <c r="F4" s="735" t="s">
        <v>666</v>
      </c>
      <c r="G4" s="736" t="s">
        <v>390</v>
      </c>
      <c r="H4" s="735" t="s">
        <v>392</v>
      </c>
      <c r="I4" s="736" t="s">
        <v>393</v>
      </c>
      <c r="J4" s="735" t="s">
        <v>283</v>
      </c>
      <c r="K4" s="736" t="s">
        <v>452</v>
      </c>
      <c r="L4" s="736" t="s">
        <v>453</v>
      </c>
      <c r="M4" s="736" t="s">
        <v>454</v>
      </c>
      <c r="N4" s="736" t="s">
        <v>455</v>
      </c>
      <c r="O4" s="736" t="s">
        <v>456</v>
      </c>
      <c r="P4" s="736" t="s">
        <v>457</v>
      </c>
      <c r="Q4" s="736" t="s">
        <v>458</v>
      </c>
      <c r="R4" s="736" t="s">
        <v>459</v>
      </c>
      <c r="S4" s="736" t="s">
        <v>460</v>
      </c>
      <c r="T4" s="736" t="s">
        <v>461</v>
      </c>
    </row>
    <row r="5" spans="1:20" x14ac:dyDescent="0.3">
      <c r="B5" s="737"/>
      <c r="C5" s="738"/>
      <c r="D5" s="739"/>
      <c r="E5" s="739"/>
      <c r="F5" s="739"/>
      <c r="G5" s="740"/>
      <c r="H5" s="739"/>
      <c r="I5" s="739"/>
      <c r="J5" s="739"/>
      <c r="K5" s="740"/>
      <c r="L5" s="740"/>
      <c r="M5" s="740"/>
      <c r="N5" s="740"/>
      <c r="O5" s="740"/>
      <c r="P5" s="740"/>
      <c r="Q5" s="740"/>
      <c r="R5" s="740"/>
      <c r="S5" s="740"/>
      <c r="T5" s="740"/>
    </row>
    <row r="6" spans="1:20" x14ac:dyDescent="0.3">
      <c r="A6" s="298"/>
      <c r="B6" s="741"/>
      <c r="C6" s="742"/>
      <c r="D6" s="743" t="s">
        <v>341</v>
      </c>
      <c r="E6" s="743" t="s">
        <v>601</v>
      </c>
      <c r="F6" s="743" t="s">
        <v>599</v>
      </c>
      <c r="G6" s="743" t="s">
        <v>599</v>
      </c>
      <c r="H6" s="743" t="s">
        <v>599</v>
      </c>
      <c r="I6" s="743" t="s">
        <v>599</v>
      </c>
      <c r="J6" s="743" t="s">
        <v>599</v>
      </c>
      <c r="K6" s="743" t="s">
        <v>599</v>
      </c>
      <c r="L6" s="743" t="s">
        <v>599</v>
      </c>
      <c r="M6" s="743" t="s">
        <v>599</v>
      </c>
      <c r="N6" s="743" t="s">
        <v>599</v>
      </c>
      <c r="O6" s="743" t="s">
        <v>599</v>
      </c>
      <c r="P6" s="743" t="s">
        <v>599</v>
      </c>
      <c r="Q6" s="743" t="s">
        <v>599</v>
      </c>
      <c r="R6" s="743" t="s">
        <v>599</v>
      </c>
      <c r="S6" s="743" t="s">
        <v>599</v>
      </c>
      <c r="T6" s="743" t="s">
        <v>599</v>
      </c>
    </row>
    <row r="7" spans="1:20" x14ac:dyDescent="0.3">
      <c r="B7" s="728">
        <v>1</v>
      </c>
      <c r="C7" s="362" t="s">
        <v>96</v>
      </c>
      <c r="D7" s="747">
        <f>INDEX('Energy Model tables'!$D$6:$G$21,MATCH($B7,'Energy Model tables'!$C$6:$C$21,0),MATCH($C$7,'Energy Model tables'!$D$5:$G$5,0))</f>
        <v>2.0466666666666664</v>
      </c>
      <c r="E7" s="747">
        <f>HLOOKUP($C$7,'Energy Model tables'!$D$24:$G$25,2,FALSE)</f>
        <v>72</v>
      </c>
      <c r="F7" s="747">
        <f>'Energy Model tables'!$D$28</f>
        <v>175.95</v>
      </c>
      <c r="G7" s="748">
        <f>IF($C7&lt;&gt;"",HLOOKUP($C$7,'Energy Model tables'!$D$31:$G$32,2,FALSE),0)</f>
        <v>5737.3339839999999</v>
      </c>
      <c r="H7" s="747">
        <f>INDEX('Energy Model tables'!$D$37:$G$52,MATCH($B7,'Energy Model tables'!$C$37:$C$52,0),MATCH($C$7,'Energy Model tables'!$D$36:$G$36,0))</f>
        <v>0</v>
      </c>
      <c r="I7" s="748">
        <f>IF($C22&lt;&gt;"",HLOOKUP($C$7,'Energy Model tables'!$D$55:$G$56,2,FALSE),0)</f>
        <v>0</v>
      </c>
      <c r="J7" s="747">
        <f>G7+H7+I7</f>
        <v>5737.3339839999999</v>
      </c>
      <c r="K7" s="747">
        <f>D7*E7</f>
        <v>147.35999999999999</v>
      </c>
      <c r="L7" s="747">
        <f>K7+F7</f>
        <v>323.30999999999995</v>
      </c>
      <c r="M7" s="747">
        <f>K7-J7</f>
        <v>-5589.9739840000002</v>
      </c>
      <c r="N7" s="747">
        <f>L7-J7</f>
        <v>-5414.0239839999995</v>
      </c>
      <c r="O7" s="748">
        <f>M7</f>
        <v>-5589.9739840000002</v>
      </c>
      <c r="P7" s="748">
        <f>N7</f>
        <v>-5414.0239839999995</v>
      </c>
      <c r="Q7" s="747">
        <f>INDEX('Energy Model tables'!$D$61:$G$76,MATCH($B7,'Energy Model tables'!$C$61:$C$76,0),MATCH($C$7,'Energy Model tables'!$D$60:$G$60,0))</f>
        <v>-5702.9739840000002</v>
      </c>
      <c r="R7" s="747">
        <f>INDEX('Energy Model tables'!$J$61:$M$76,MATCH($B7,'Energy Model tables'!$I$61:$I$76,0),MATCH($C$7,'Energy Model tables'!$J$60:$M$60,0))</f>
        <v>-5527.0239839999995</v>
      </c>
      <c r="S7" s="747">
        <f>INDEX('Energy Model tables'!$D$81:$G$96,MATCH($B7,'Energy Model tables'!$C$81:$C$96,0),MATCH($C$7,'Energy Model tables'!$D$80:$G$80,0))</f>
        <v>-5702.9739840000002</v>
      </c>
      <c r="T7" s="747">
        <f>INDEX('Energy Model tables'!$J$81:$M$96,MATCH($B7,'Energy Model tables'!$I$81:$I$96,0),MATCH($C$7,'Energy Model tables'!$J$80:$M$80,0))</f>
        <v>-5527.0239839999995</v>
      </c>
    </row>
    <row r="8" spans="1:20" x14ac:dyDescent="0.3">
      <c r="B8" s="420">
        <v>2</v>
      </c>
      <c r="C8" s="738"/>
      <c r="D8" s="748">
        <f>INDEX('Energy Model tables'!$D$6:$G$21,MATCH($B8,'Energy Model tables'!$C$6:$C$21,0),MATCH($C$7,'Energy Model tables'!$D$5:$G$5,0))</f>
        <v>8.27</v>
      </c>
      <c r="E8" s="748">
        <f>HLOOKUP($C$7,'Energy Model tables'!$D$24:$G$25,2,FALSE)</f>
        <v>72</v>
      </c>
      <c r="F8" s="748">
        <f>'Energy Model tables'!$D$28</f>
        <v>175.95</v>
      </c>
      <c r="G8" s="748">
        <f>IF($C8&lt;&gt;"",HLOOKUP($C$7,'Energy Model tables'!$D$31:$G$32,2,FALSE),0)</f>
        <v>0</v>
      </c>
      <c r="H8" s="748">
        <f>INDEX('Energy Model tables'!$D$37:$G$52,MATCH($B8,'Energy Model tables'!$C$37:$C$52,0),MATCH($C$7,'Energy Model tables'!$D$36:$G$36,0))</f>
        <v>333.83611733333333</v>
      </c>
      <c r="I8" s="748">
        <f>IF($C8&lt;&gt;"",HLOOKUP($C$7,'Energy Model tables'!$D$55:$G$56,2,FALSE),0)</f>
        <v>0</v>
      </c>
      <c r="J8" s="748">
        <f t="shared" ref="J8:J22" si="0">G8+H8+I8</f>
        <v>333.83611733333333</v>
      </c>
      <c r="K8" s="748">
        <f t="shared" ref="K8:K22" si="1">D8*E8</f>
        <v>595.43999999999994</v>
      </c>
      <c r="L8" s="748">
        <f t="shared" ref="L8:L22" si="2">K8+F8</f>
        <v>771.38999999999987</v>
      </c>
      <c r="M8" s="748">
        <f t="shared" ref="M8:M22" si="3">K8-J8</f>
        <v>261.60388266666661</v>
      </c>
      <c r="N8" s="748">
        <f t="shared" ref="N8:N22" si="4">L8-J8</f>
        <v>437.55388266666654</v>
      </c>
      <c r="O8" s="748">
        <f>O7+M8</f>
        <v>-5328.3701013333339</v>
      </c>
      <c r="P8" s="748">
        <f>P7+N8</f>
        <v>-4976.4701013333333</v>
      </c>
      <c r="Q8" s="748">
        <f>INDEX('Energy Model tables'!$D$61:$G$76,MATCH($B8,'Energy Model tables'!$C$61:$C$76,0),MATCH($C$7,'Energy Model tables'!$D$60:$G$60,0))</f>
        <v>99.933861538461485</v>
      </c>
      <c r="R8" s="748">
        <f>INDEX('Energy Model tables'!$J$61:$M$76,MATCH($B8,'Energy Model tables'!$I$61:$I$76,0),MATCH($C$7,'Energy Model tables'!$J$60:$M$60,0))</f>
        <v>269.11655384615375</v>
      </c>
      <c r="S8" s="748">
        <f>INDEX('Energy Model tables'!$D$81:$G$96,MATCH($B8,'Energy Model tables'!$C$81:$C$96,0),MATCH($C$7,'Energy Model tables'!$D$80:$G$80,0))</f>
        <v>-5603.0401224615389</v>
      </c>
      <c r="T8" s="748">
        <f>INDEX('Energy Model tables'!$J$81:$M$96,MATCH($B8,'Energy Model tables'!$I$81:$I$96,0),MATCH($C$7,'Energy Model tables'!$J$80:$M$80,0))</f>
        <v>-5257.9074301538458</v>
      </c>
    </row>
    <row r="9" spans="1:20" x14ac:dyDescent="0.3">
      <c r="B9" s="420">
        <v>3</v>
      </c>
      <c r="C9" s="738"/>
      <c r="D9" s="748">
        <f>INDEX('Energy Model tables'!$D$6:$G$21,MATCH($B9,'Energy Model tables'!$C$6:$C$21,0),MATCH($C$7,'Energy Model tables'!$D$5:$G$5,0))</f>
        <v>10.926666666666668</v>
      </c>
      <c r="E9" s="748">
        <f>HLOOKUP($C$7,'Energy Model tables'!$D$24:$G$25,2,FALSE)</f>
        <v>72</v>
      </c>
      <c r="F9" s="748">
        <f>'Energy Model tables'!$D$28</f>
        <v>175.95</v>
      </c>
      <c r="G9" s="748">
        <f>IF($C9&lt;&gt;"",HLOOKUP($C$7,'Energy Model tables'!$D$31:$G$32,2,FALSE),0)</f>
        <v>0</v>
      </c>
      <c r="H9" s="748">
        <f>INDEX('Energy Model tables'!$D$37:$G$52,MATCH($B9,'Energy Model tables'!$C$37:$C$52,0),MATCH($C$7,'Energy Model tables'!$D$36:$G$36,0))</f>
        <v>333.83611733333333</v>
      </c>
      <c r="I9" s="748">
        <f>IF($C9&lt;&gt;"",HLOOKUP($C$7,'Energy Model tables'!$D$55:$G$56,2,FALSE),0)</f>
        <v>0</v>
      </c>
      <c r="J9" s="748">
        <f t="shared" si="0"/>
        <v>333.83611733333333</v>
      </c>
      <c r="K9" s="748">
        <f t="shared" si="1"/>
        <v>786.72</v>
      </c>
      <c r="L9" s="748">
        <f t="shared" si="2"/>
        <v>962.67000000000007</v>
      </c>
      <c r="M9" s="748">
        <f t="shared" si="3"/>
        <v>452.88388266666669</v>
      </c>
      <c r="N9" s="748">
        <f t="shared" si="4"/>
        <v>628.8338826666668</v>
      </c>
      <c r="O9" s="748">
        <f t="shared" ref="O9:P22" si="5">O8+M9</f>
        <v>-4875.4862186666669</v>
      </c>
      <c r="P9" s="748">
        <f t="shared" si="5"/>
        <v>-4347.6362186666665</v>
      </c>
      <c r="Q9" s="748">
        <f>INDEX('Energy Model tables'!$D$61:$G$76,MATCH($B9,'Energy Model tables'!$C$61:$C$76,0),MATCH($C$7,'Energy Model tables'!$D$60:$G$60,0))</f>
        <v>272.93936390532542</v>
      </c>
      <c r="R9" s="748">
        <f>INDEX('Energy Model tables'!$J$61:$M$76,MATCH($B9,'Energy Model tables'!$I$61:$I$76,0),MATCH($C$7,'Energy Model tables'!$J$60:$M$60,0))</f>
        <v>435.61502958579882</v>
      </c>
      <c r="S9" s="748">
        <f>INDEX('Energy Model tables'!$D$81:$G$96,MATCH($B9,'Energy Model tables'!$C$81:$C$96,0),MATCH($C$7,'Energy Model tables'!$D$80:$G$80,0))</f>
        <v>-5330.1007585562138</v>
      </c>
      <c r="T9" s="748">
        <f>INDEX('Energy Model tables'!$J$81:$M$96,MATCH($B9,'Energy Model tables'!$I$81:$I$96,0),MATCH($C$7,'Energy Model tables'!$J$80:$M$80,0))</f>
        <v>-4822.292400568047</v>
      </c>
    </row>
    <row r="10" spans="1:20" x14ac:dyDescent="0.3">
      <c r="B10" s="420">
        <v>4</v>
      </c>
      <c r="C10" s="738"/>
      <c r="D10" s="748">
        <f>INDEX('Energy Model tables'!$D$6:$G$21,MATCH($B10,'Energy Model tables'!$C$6:$C$21,0),MATCH($C$7,'Energy Model tables'!$D$5:$G$5,0))</f>
        <v>11.617000000000001</v>
      </c>
      <c r="E10" s="748">
        <f>HLOOKUP($C$7,'Energy Model tables'!$D$24:$G$25,2,FALSE)</f>
        <v>72</v>
      </c>
      <c r="F10" s="748">
        <f>'Energy Model tables'!$D$28</f>
        <v>175.95</v>
      </c>
      <c r="G10" s="748">
        <f>IF($C10&lt;&gt;"",HLOOKUP($C$7,'Energy Model tables'!$D$31:$G$32,2,FALSE),0)</f>
        <v>0</v>
      </c>
      <c r="H10" s="748">
        <f>INDEX('Energy Model tables'!$D$37:$G$52,MATCH($B10,'Energy Model tables'!$C$37:$C$52,0),MATCH($C$7,'Energy Model tables'!$D$36:$G$36,0))</f>
        <v>333.83611733333333</v>
      </c>
      <c r="I10" s="748">
        <f>IF($C10&lt;&gt;"",HLOOKUP($C$7,'Energy Model tables'!$D$55:$G$56,2,FALSE),0)</f>
        <v>0</v>
      </c>
      <c r="J10" s="748">
        <f t="shared" si="0"/>
        <v>333.83611733333333</v>
      </c>
      <c r="K10" s="748">
        <f t="shared" si="1"/>
        <v>836.42400000000009</v>
      </c>
      <c r="L10" s="748">
        <f t="shared" si="2"/>
        <v>1012.374</v>
      </c>
      <c r="M10" s="748">
        <f t="shared" si="3"/>
        <v>502.58788266666676</v>
      </c>
      <c r="N10" s="748">
        <f t="shared" si="4"/>
        <v>678.53788266666675</v>
      </c>
      <c r="O10" s="748">
        <f t="shared" si="5"/>
        <v>-4372.8983360000002</v>
      </c>
      <c r="P10" s="748">
        <f t="shared" si="5"/>
        <v>-3669.098336</v>
      </c>
      <c r="Q10" s="748">
        <f>INDEX('Energy Model tables'!$D$61:$G$76,MATCH($B10,'Energy Model tables'!$C$61:$C$76,0),MATCH($C$7,'Energy Model tables'!$D$60:$G$60,0))</f>
        <v>468.36347860719172</v>
      </c>
      <c r="R10" s="748">
        <f>INDEX('Energy Model tables'!$J$61:$M$76,MATCH($B10,'Energy Model tables'!$I$61:$I$76,0),MATCH($C$7,'Energy Model tables'!$J$60:$M$60,0))</f>
        <v>624.78238791533909</v>
      </c>
      <c r="S10" s="748">
        <f>INDEX('Energy Model tables'!$D$81:$G$96,MATCH($B10,'Energy Model tables'!$C$81:$C$96,0),MATCH($C$7,'Energy Model tables'!$D$80:$G$80,0))</f>
        <v>-4861.7372799490222</v>
      </c>
      <c r="T10" s="748">
        <f>INDEX('Energy Model tables'!$J$81:$M$96,MATCH($B10,'Energy Model tables'!$I$81:$I$96,0),MATCH($C$7,'Energy Model tables'!$J$80:$M$80,0))</f>
        <v>-4197.5100126527077</v>
      </c>
    </row>
    <row r="11" spans="1:20" x14ac:dyDescent="0.3">
      <c r="B11" s="420">
        <v>5</v>
      </c>
      <c r="C11" s="738"/>
      <c r="D11" s="748">
        <f>INDEX('Energy Model tables'!$D$6:$G$21,MATCH($B11,'Energy Model tables'!$C$6:$C$21,0),MATCH($C$7,'Energy Model tables'!$D$5:$G$5,0))</f>
        <v>11.617000000000001</v>
      </c>
      <c r="E11" s="748">
        <f>HLOOKUP($C$7,'Energy Model tables'!$D$24:$G$25,2,FALSE)</f>
        <v>72</v>
      </c>
      <c r="F11" s="748">
        <f>'Energy Model tables'!$D$28</f>
        <v>175.95</v>
      </c>
      <c r="G11" s="748">
        <f>IF($C11&lt;&gt;"",HLOOKUP($C$7,'Energy Model tables'!$D$31:$G$32,2,FALSE),0)</f>
        <v>0</v>
      </c>
      <c r="H11" s="748">
        <f>INDEX('Energy Model tables'!$D$37:$G$52,MATCH($B11,'Energy Model tables'!$C$37:$C$52,0),MATCH($C$7,'Energy Model tables'!$D$36:$G$36,0))</f>
        <v>333.83611733333333</v>
      </c>
      <c r="I11" s="748">
        <f>IF($C11&lt;&gt;"",HLOOKUP($C$7,'Energy Model tables'!$D$55:$G$56,2,FALSE),0)</f>
        <v>0</v>
      </c>
      <c r="J11" s="748">
        <f t="shared" si="0"/>
        <v>333.83611733333333</v>
      </c>
      <c r="K11" s="748">
        <f t="shared" si="1"/>
        <v>836.42400000000009</v>
      </c>
      <c r="L11" s="748">
        <f t="shared" si="2"/>
        <v>1012.374</v>
      </c>
      <c r="M11" s="748">
        <f t="shared" si="3"/>
        <v>502.58788266666676</v>
      </c>
      <c r="N11" s="748">
        <f t="shared" si="4"/>
        <v>678.53788266666675</v>
      </c>
      <c r="O11" s="748">
        <f t="shared" si="5"/>
        <v>-3870.3104533333335</v>
      </c>
      <c r="P11" s="748">
        <f t="shared" si="5"/>
        <v>-2990.5604533333335</v>
      </c>
      <c r="Q11" s="748">
        <f>INDEX('Energy Model tables'!$D$61:$G$76,MATCH($B11,'Energy Model tables'!$C$61:$C$76,0),MATCH($C$7,'Energy Model tables'!$D$60:$G$60,0))</f>
        <v>450.34949866076124</v>
      </c>
      <c r="R11" s="748">
        <f>INDEX('Energy Model tables'!$J$61:$M$76,MATCH($B11,'Energy Model tables'!$I$61:$I$76,0),MATCH($C$7,'Energy Model tables'!$J$60:$M$60,0))</f>
        <v>600.75229607244137</v>
      </c>
      <c r="S11" s="748">
        <f>INDEX('Energy Model tables'!$D$81:$G$96,MATCH($B11,'Energy Model tables'!$C$81:$C$96,0),MATCH($C$7,'Energy Model tables'!$D$80:$G$80,0))</f>
        <v>-4411.3877812882611</v>
      </c>
      <c r="T11" s="748">
        <f>INDEX('Energy Model tables'!$J$81:$M$96,MATCH($B11,'Energy Model tables'!$I$81:$I$96,0),MATCH($C$7,'Energy Model tables'!$J$80:$M$80,0))</f>
        <v>-3596.7577165802663</v>
      </c>
    </row>
    <row r="12" spans="1:20" x14ac:dyDescent="0.3">
      <c r="B12" s="420">
        <v>6</v>
      </c>
      <c r="C12" s="738"/>
      <c r="D12" s="748">
        <f>INDEX('Energy Model tables'!$D$6:$G$21,MATCH($B12,'Energy Model tables'!$C$6:$C$21,0),MATCH($C$7,'Energy Model tables'!$D$5:$G$5,0))</f>
        <v>11.617000000000001</v>
      </c>
      <c r="E12" s="748">
        <f>HLOOKUP($C$7,'Energy Model tables'!$D$24:$G$25,2,FALSE)</f>
        <v>72</v>
      </c>
      <c r="F12" s="748">
        <f>'Energy Model tables'!$D$28</f>
        <v>175.95</v>
      </c>
      <c r="G12" s="748">
        <f>IF($C12&lt;&gt;"",HLOOKUP($C$7,'Energy Model tables'!$D$31:$G$32,2,FALSE),0)</f>
        <v>0</v>
      </c>
      <c r="H12" s="748">
        <f>INDEX('Energy Model tables'!$D$37:$G$52,MATCH($B12,'Energy Model tables'!$C$37:$C$52,0),MATCH($C$7,'Energy Model tables'!$D$36:$G$36,0))</f>
        <v>333.83611733333333</v>
      </c>
      <c r="I12" s="748">
        <f>IF($C12&lt;&gt;"",HLOOKUP($C$7,'Energy Model tables'!$D$55:$G$56,2,FALSE),0)</f>
        <v>0</v>
      </c>
      <c r="J12" s="748">
        <f t="shared" si="0"/>
        <v>333.83611733333333</v>
      </c>
      <c r="K12" s="748">
        <f t="shared" si="1"/>
        <v>836.42400000000009</v>
      </c>
      <c r="L12" s="748">
        <f t="shared" si="2"/>
        <v>1012.374</v>
      </c>
      <c r="M12" s="748">
        <f t="shared" si="3"/>
        <v>502.58788266666676</v>
      </c>
      <c r="N12" s="748">
        <f t="shared" si="4"/>
        <v>678.53788266666675</v>
      </c>
      <c r="O12" s="748">
        <f t="shared" si="5"/>
        <v>-3367.7225706666668</v>
      </c>
      <c r="P12" s="748">
        <f t="shared" si="5"/>
        <v>-2312.022570666667</v>
      </c>
      <c r="Q12" s="748">
        <f>INDEX('Energy Model tables'!$D$61:$G$76,MATCH($B12,'Energy Model tables'!$C$61:$C$76,0),MATCH($C$7,'Energy Model tables'!$D$60:$G$60,0))</f>
        <v>433.02836409688575</v>
      </c>
      <c r="R12" s="748">
        <f>INDEX('Energy Model tables'!$J$61:$M$76,MATCH($B12,'Energy Model tables'!$I$61:$I$76,0),MATCH($C$7,'Energy Model tables'!$J$60:$M$60,0))</f>
        <v>577.64643853119355</v>
      </c>
      <c r="S12" s="748">
        <f>INDEX('Energy Model tables'!$D$81:$G$96,MATCH($B12,'Energy Model tables'!$C$81:$C$96,0),MATCH($C$7,'Energy Model tables'!$D$80:$G$80,0))</f>
        <v>-3978.3594171913755</v>
      </c>
      <c r="T12" s="748">
        <f>INDEX('Energy Model tables'!$J$81:$M$96,MATCH($B12,'Energy Model tables'!$I$81:$I$96,0),MATCH($C$7,'Energy Model tables'!$J$80:$M$80,0))</f>
        <v>-3019.111278049073</v>
      </c>
    </row>
    <row r="13" spans="1:20" x14ac:dyDescent="0.3">
      <c r="B13" s="420">
        <v>7</v>
      </c>
      <c r="C13" s="738"/>
      <c r="D13" s="748">
        <f>INDEX('Energy Model tables'!$D$6:$G$21,MATCH($B13,'Energy Model tables'!$C$6:$C$21,0),MATCH($C$7,'Energy Model tables'!$D$5:$G$5,0))</f>
        <v>11.617000000000001</v>
      </c>
      <c r="E13" s="748">
        <f>HLOOKUP($C$7,'Energy Model tables'!$D$24:$G$25,2,FALSE)</f>
        <v>72</v>
      </c>
      <c r="F13" s="748">
        <f>'Energy Model tables'!$D$28</f>
        <v>175.95</v>
      </c>
      <c r="G13" s="748">
        <f>IF($C13&lt;&gt;"",HLOOKUP($C$7,'Energy Model tables'!$D$31:$G$32,2,FALSE),0)</f>
        <v>0</v>
      </c>
      <c r="H13" s="748">
        <f>INDEX('Energy Model tables'!$D$37:$G$52,MATCH($B13,'Energy Model tables'!$C$37:$C$52,0),MATCH($C$7,'Energy Model tables'!$D$36:$G$36,0))</f>
        <v>333.83611733333333</v>
      </c>
      <c r="I13" s="748">
        <f>IF($C13&lt;&gt;"",HLOOKUP($C$7,'Energy Model tables'!$D$55:$G$56,2,FALSE),0)</f>
        <v>0</v>
      </c>
      <c r="J13" s="748">
        <f t="shared" si="0"/>
        <v>333.83611733333333</v>
      </c>
      <c r="K13" s="748">
        <f t="shared" si="1"/>
        <v>836.42400000000009</v>
      </c>
      <c r="L13" s="748">
        <f t="shared" si="2"/>
        <v>1012.374</v>
      </c>
      <c r="M13" s="748">
        <f t="shared" si="3"/>
        <v>502.58788266666676</v>
      </c>
      <c r="N13" s="748">
        <f t="shared" si="4"/>
        <v>678.53788266666675</v>
      </c>
      <c r="O13" s="748">
        <f t="shared" si="5"/>
        <v>-2865.1346880000001</v>
      </c>
      <c r="P13" s="748">
        <f t="shared" si="5"/>
        <v>-1633.4846880000002</v>
      </c>
      <c r="Q13" s="748">
        <f>INDEX('Energy Model tables'!$D$61:$G$76,MATCH($B13,'Energy Model tables'!$C$61:$C$76,0),MATCH($C$7,'Energy Model tables'!$D$60:$G$60,0))</f>
        <v>416.37342701623629</v>
      </c>
      <c r="R13" s="748">
        <f>INDEX('Energy Model tables'!$J$61:$M$76,MATCH($B13,'Energy Model tables'!$I$61:$I$76,0),MATCH($C$7,'Energy Model tables'!$J$60:$M$60,0))</f>
        <v>555.42926781845529</v>
      </c>
      <c r="S13" s="748">
        <f>INDEX('Energy Model tables'!$D$81:$G$96,MATCH($B13,'Energy Model tables'!$C$81:$C$96,0),MATCH($C$7,'Energy Model tables'!$D$80:$G$80,0))</f>
        <v>-3561.9859901751392</v>
      </c>
      <c r="T13" s="748">
        <f>INDEX('Energy Model tables'!$J$81:$M$96,MATCH($B13,'Energy Model tables'!$I$81:$I$96,0),MATCH($C$7,'Energy Model tables'!$J$80:$M$80,0))</f>
        <v>-2463.6820102306178</v>
      </c>
    </row>
    <row r="14" spans="1:20" x14ac:dyDescent="0.3">
      <c r="B14" s="420">
        <v>8</v>
      </c>
      <c r="C14" s="738"/>
      <c r="D14" s="748">
        <f>INDEX('Energy Model tables'!$D$6:$G$21,MATCH($B14,'Energy Model tables'!$C$6:$C$21,0),MATCH($C$7,'Energy Model tables'!$D$5:$G$5,0))</f>
        <v>11.617000000000001</v>
      </c>
      <c r="E14" s="748">
        <f>HLOOKUP($C$7,'Energy Model tables'!$D$24:$G$25,2,FALSE)</f>
        <v>72</v>
      </c>
      <c r="F14" s="748">
        <f>'Energy Model tables'!$D$28</f>
        <v>175.95</v>
      </c>
      <c r="G14" s="748">
        <f>IF($C14&lt;&gt;"",HLOOKUP($C$7,'Energy Model tables'!$D$31:$G$32,2,FALSE),0)</f>
        <v>0</v>
      </c>
      <c r="H14" s="748">
        <f>INDEX('Energy Model tables'!$D$37:$G$52,MATCH($B14,'Energy Model tables'!$C$37:$C$52,0),MATCH($C$7,'Energy Model tables'!$D$36:$G$36,0))</f>
        <v>333.83611733333333</v>
      </c>
      <c r="I14" s="748">
        <f>IF($C14&lt;&gt;"",HLOOKUP($C$7,'Energy Model tables'!$D$55:$G$56,2,FALSE),0)</f>
        <v>0</v>
      </c>
      <c r="J14" s="748">
        <f t="shared" si="0"/>
        <v>333.83611733333333</v>
      </c>
      <c r="K14" s="748">
        <f t="shared" si="1"/>
        <v>836.42400000000009</v>
      </c>
      <c r="L14" s="748">
        <f t="shared" si="2"/>
        <v>1012.374</v>
      </c>
      <c r="M14" s="748">
        <f t="shared" si="3"/>
        <v>502.58788266666676</v>
      </c>
      <c r="N14" s="748">
        <f t="shared" si="4"/>
        <v>678.53788266666675</v>
      </c>
      <c r="O14" s="748">
        <f t="shared" si="5"/>
        <v>-2362.5468053333334</v>
      </c>
      <c r="P14" s="748">
        <f t="shared" si="5"/>
        <v>-954.94680533333349</v>
      </c>
      <c r="Q14" s="748">
        <f>INDEX('Energy Model tables'!$D$61:$G$76,MATCH($B14,'Energy Model tables'!$C$61:$C$76,0),MATCH($C$7,'Energy Model tables'!$D$60:$G$60,0))</f>
        <v>400.35906443868879</v>
      </c>
      <c r="R14" s="748">
        <f>INDEX('Energy Model tables'!$J$61:$M$76,MATCH($B14,'Energy Model tables'!$I$61:$I$76,0),MATCH($C$7,'Energy Model tables'!$J$60:$M$60,0))</f>
        <v>534.06660367159168</v>
      </c>
      <c r="S14" s="748">
        <f>INDEX('Energy Model tables'!$D$81:$G$96,MATCH($B14,'Energy Model tables'!$C$81:$C$96,0),MATCH($C$7,'Energy Model tables'!$D$80:$G$80,0))</f>
        <v>-3161.6269257364506</v>
      </c>
      <c r="T14" s="748">
        <f>INDEX('Energy Model tables'!$J$81:$M$96,MATCH($B14,'Energy Model tables'!$I$81:$I$96,0),MATCH($C$7,'Energy Model tables'!$J$80:$M$80,0))</f>
        <v>-1929.6154065590263</v>
      </c>
    </row>
    <row r="15" spans="1:20" x14ac:dyDescent="0.3">
      <c r="B15" s="420">
        <v>9</v>
      </c>
      <c r="C15" s="738"/>
      <c r="D15" s="748">
        <f>INDEX('Energy Model tables'!$D$6:$G$21,MATCH($B15,'Energy Model tables'!$C$6:$C$21,0),MATCH($C$7,'Energy Model tables'!$D$5:$G$5,0))</f>
        <v>11.617000000000001</v>
      </c>
      <c r="E15" s="748">
        <f>HLOOKUP($C$7,'Energy Model tables'!$D$24:$G$25,2,FALSE)</f>
        <v>72</v>
      </c>
      <c r="F15" s="748">
        <f>'Energy Model tables'!$D$28</f>
        <v>175.95</v>
      </c>
      <c r="G15" s="748">
        <f>IF($C15&lt;&gt;"",HLOOKUP($C$7,'Energy Model tables'!$D$31:$G$32,2,FALSE),0)</f>
        <v>0</v>
      </c>
      <c r="H15" s="748">
        <f>INDEX('Energy Model tables'!$D$37:$G$52,MATCH($B15,'Energy Model tables'!$C$37:$C$52,0),MATCH($C$7,'Energy Model tables'!$D$36:$G$36,0))</f>
        <v>333.83611733333333</v>
      </c>
      <c r="I15" s="748">
        <f>IF($C15&lt;&gt;"",HLOOKUP($C$7,'Energy Model tables'!$D$55:$G$56,2,FALSE),0)</f>
        <v>0</v>
      </c>
      <c r="J15" s="748">
        <f t="shared" si="0"/>
        <v>333.83611733333333</v>
      </c>
      <c r="K15" s="748">
        <f t="shared" si="1"/>
        <v>836.42400000000009</v>
      </c>
      <c r="L15" s="748">
        <f t="shared" si="2"/>
        <v>1012.374</v>
      </c>
      <c r="M15" s="748">
        <f t="shared" si="3"/>
        <v>502.58788266666676</v>
      </c>
      <c r="N15" s="748">
        <f t="shared" si="4"/>
        <v>678.53788266666675</v>
      </c>
      <c r="O15" s="748">
        <f t="shared" si="5"/>
        <v>-1859.9589226666667</v>
      </c>
      <c r="P15" s="748">
        <f t="shared" si="5"/>
        <v>-276.40892266666674</v>
      </c>
      <c r="Q15" s="748">
        <f>INDEX('Energy Model tables'!$D$61:$G$76,MATCH($B15,'Energy Model tables'!$C$61:$C$76,0),MATCH($C$7,'Energy Model tables'!$D$60:$G$60,0))</f>
        <v>384.96063888335453</v>
      </c>
      <c r="R15" s="748">
        <f>INDEX('Energy Model tables'!$J$61:$M$76,MATCH($B15,'Energy Model tables'!$I$61:$I$76,0),MATCH($C$7,'Energy Model tables'!$J$60:$M$60,0))</f>
        <v>513.52558045345347</v>
      </c>
      <c r="S15" s="748">
        <f>INDEX('Energy Model tables'!$D$81:$G$96,MATCH($B15,'Energy Model tables'!$C$81:$C$96,0),MATCH($C$7,'Energy Model tables'!$D$80:$G$80,0))</f>
        <v>-2776.6662868530962</v>
      </c>
      <c r="T15" s="748">
        <f>INDEX('Energy Model tables'!$J$81:$M$96,MATCH($B15,'Energy Model tables'!$I$81:$I$96,0),MATCH($C$7,'Energy Model tables'!$J$80:$M$80,0))</f>
        <v>-1416.0898261055727</v>
      </c>
    </row>
    <row r="16" spans="1:20" x14ac:dyDescent="0.3">
      <c r="B16" s="420">
        <v>10</v>
      </c>
      <c r="C16" s="738"/>
      <c r="D16" s="748">
        <f>INDEX('Energy Model tables'!$D$6:$G$21,MATCH($B16,'Energy Model tables'!$C$6:$C$21,0),MATCH($C$7,'Energy Model tables'!$D$5:$G$5,0))</f>
        <v>11.617000000000001</v>
      </c>
      <c r="E16" s="748">
        <f>HLOOKUP($C$7,'Energy Model tables'!$D$24:$G$25,2,FALSE)</f>
        <v>72</v>
      </c>
      <c r="F16" s="748">
        <f>'Energy Model tables'!$D$28</f>
        <v>175.95</v>
      </c>
      <c r="G16" s="748">
        <f>IF($C16&lt;&gt;"",HLOOKUP($C$7,'Energy Model tables'!$D$31:$G$32,2,FALSE),0)</f>
        <v>0</v>
      </c>
      <c r="H16" s="748">
        <f>INDEX('Energy Model tables'!$D$37:$G$52,MATCH($B16,'Energy Model tables'!$C$37:$C$52,0),MATCH($C$7,'Energy Model tables'!$D$36:$G$36,0))</f>
        <v>333.83611733333333</v>
      </c>
      <c r="I16" s="748">
        <f>IF($C16&lt;&gt;"",HLOOKUP($C$7,'Energy Model tables'!$D$55:$G$56,2,FALSE),0)</f>
        <v>0</v>
      </c>
      <c r="J16" s="748">
        <f t="shared" si="0"/>
        <v>333.83611733333333</v>
      </c>
      <c r="K16" s="748">
        <f t="shared" si="1"/>
        <v>836.42400000000009</v>
      </c>
      <c r="L16" s="748">
        <f t="shared" si="2"/>
        <v>1012.374</v>
      </c>
      <c r="M16" s="748">
        <f t="shared" si="3"/>
        <v>502.58788266666676</v>
      </c>
      <c r="N16" s="748">
        <f t="shared" si="4"/>
        <v>678.53788266666675</v>
      </c>
      <c r="O16" s="748">
        <f t="shared" si="5"/>
        <v>-1357.37104</v>
      </c>
      <c r="P16" s="748">
        <f t="shared" si="5"/>
        <v>402.12896000000001</v>
      </c>
      <c r="Q16" s="748">
        <f>INDEX('Energy Model tables'!$D$61:$G$76,MATCH($B16,'Energy Model tables'!$C$61:$C$76,0),MATCH($C$7,'Energy Model tables'!$D$60:$G$60,0))</f>
        <v>370.15446046476393</v>
      </c>
      <c r="R16" s="748">
        <f>INDEX('Energy Model tables'!$J$61:$M$76,MATCH($B16,'Energy Model tables'!$I$61:$I$76,0),MATCH($C$7,'Energy Model tables'!$J$60:$M$60,0))</f>
        <v>493.77459658985907</v>
      </c>
      <c r="S16" s="748">
        <f>INDEX('Energy Model tables'!$D$81:$G$96,MATCH($B16,'Energy Model tables'!$C$81:$C$96,0),MATCH($C$7,'Energy Model tables'!$D$80:$G$80,0))</f>
        <v>-2406.5118263883323</v>
      </c>
      <c r="T16" s="748">
        <f>INDEX('Energy Model tables'!$J$81:$M$96,MATCH($B16,'Energy Model tables'!$I$81:$I$96,0),MATCH($C$7,'Energy Model tables'!$J$80:$M$80,0))</f>
        <v>-922.31522951571355</v>
      </c>
    </row>
    <row r="17" spans="2:20" x14ac:dyDescent="0.3">
      <c r="B17" s="420">
        <v>11</v>
      </c>
      <c r="C17" s="738"/>
      <c r="D17" s="748">
        <f>INDEX('Energy Model tables'!$D$6:$G$21,MATCH($B17,'Energy Model tables'!$C$6:$C$21,0),MATCH($C$7,'Energy Model tables'!$D$5:$G$5,0))</f>
        <v>11.617000000000001</v>
      </c>
      <c r="E17" s="748">
        <f>HLOOKUP($C$7,'Energy Model tables'!$D$24:$G$25,2,FALSE)</f>
        <v>72</v>
      </c>
      <c r="F17" s="748">
        <f>'Energy Model tables'!$D$28</f>
        <v>175.95</v>
      </c>
      <c r="G17" s="748">
        <f>IF($C17&lt;&gt;"",HLOOKUP($C$7,'Energy Model tables'!$D$31:$G$32,2,FALSE),0)</f>
        <v>0</v>
      </c>
      <c r="H17" s="748">
        <f>INDEX('Energy Model tables'!$D$37:$G$52,MATCH($B17,'Energy Model tables'!$C$37:$C$52,0),MATCH($C$7,'Energy Model tables'!$D$36:$G$36,0))</f>
        <v>333.83611733333333</v>
      </c>
      <c r="I17" s="748">
        <f>IF($C17&lt;&gt;"",HLOOKUP($C$7,'Energy Model tables'!$D$55:$G$56,2,FALSE),0)</f>
        <v>0</v>
      </c>
      <c r="J17" s="748">
        <f t="shared" si="0"/>
        <v>333.83611733333333</v>
      </c>
      <c r="K17" s="748">
        <f t="shared" si="1"/>
        <v>836.42400000000009</v>
      </c>
      <c r="L17" s="748">
        <f t="shared" si="2"/>
        <v>1012.374</v>
      </c>
      <c r="M17" s="748">
        <f t="shared" si="3"/>
        <v>502.58788266666676</v>
      </c>
      <c r="N17" s="748">
        <f t="shared" si="4"/>
        <v>678.53788266666675</v>
      </c>
      <c r="O17" s="748">
        <f t="shared" si="5"/>
        <v>-854.78315733333329</v>
      </c>
      <c r="P17" s="748">
        <f t="shared" si="5"/>
        <v>1080.6668426666668</v>
      </c>
      <c r="Q17" s="748">
        <f>INDEX('Energy Model tables'!$D$61:$G$76,MATCH($B17,'Energy Model tables'!$C$61:$C$76,0),MATCH($C$7,'Energy Model tables'!$D$60:$G$60,0))</f>
        <v>355.91775044688842</v>
      </c>
      <c r="R17" s="748">
        <f>INDEX('Energy Model tables'!$J$61:$M$76,MATCH($B17,'Energy Model tables'!$I$61:$I$76,0),MATCH($C$7,'Energy Model tables'!$J$60:$M$60,0))</f>
        <v>474.78326595178754</v>
      </c>
      <c r="S17" s="748">
        <f>INDEX('Energy Model tables'!$D$81:$G$96,MATCH($B17,'Energy Model tables'!$C$81:$C$96,0),MATCH($C$7,'Energy Model tables'!$D$80:$G$80,0))</f>
        <v>-2050.5940759414439</v>
      </c>
      <c r="T17" s="748">
        <f>INDEX('Energy Model tables'!$J$81:$M$96,MATCH($B17,'Energy Model tables'!$I$81:$I$96,0),MATCH($C$7,'Energy Model tables'!$J$80:$M$80,0))</f>
        <v>-447.53196356392601</v>
      </c>
    </row>
    <row r="18" spans="2:20" x14ac:dyDescent="0.3">
      <c r="B18" s="420">
        <v>12</v>
      </c>
      <c r="C18" s="738"/>
      <c r="D18" s="748">
        <f>INDEX('Energy Model tables'!$D$6:$G$21,MATCH($B18,'Energy Model tables'!$C$6:$C$21,0),MATCH($C$7,'Energy Model tables'!$D$5:$G$5,0))</f>
        <v>11.617000000000001</v>
      </c>
      <c r="E18" s="748">
        <f>HLOOKUP($C$7,'Energy Model tables'!$D$24:$G$25,2,FALSE)</f>
        <v>72</v>
      </c>
      <c r="F18" s="748">
        <f>'Energy Model tables'!$D$28</f>
        <v>175.95</v>
      </c>
      <c r="G18" s="748">
        <f>IF($C18&lt;&gt;"",HLOOKUP($C$7,'Energy Model tables'!$D$31:$G$32,2,FALSE),0)</f>
        <v>0</v>
      </c>
      <c r="H18" s="748">
        <f>INDEX('Energy Model tables'!$D$37:$G$52,MATCH($B18,'Energy Model tables'!$C$37:$C$52,0),MATCH($C$7,'Energy Model tables'!$D$36:$G$36,0))</f>
        <v>333.83611733333333</v>
      </c>
      <c r="I18" s="748">
        <f>IF($C18&lt;&gt;"",HLOOKUP($C$7,'Energy Model tables'!$D$55:$G$56,2,FALSE),0)</f>
        <v>0</v>
      </c>
      <c r="J18" s="748">
        <f t="shared" si="0"/>
        <v>333.83611733333333</v>
      </c>
      <c r="K18" s="748">
        <f t="shared" si="1"/>
        <v>836.42400000000009</v>
      </c>
      <c r="L18" s="748">
        <f t="shared" si="2"/>
        <v>1012.374</v>
      </c>
      <c r="M18" s="748">
        <f t="shared" si="3"/>
        <v>502.58788266666676</v>
      </c>
      <c r="N18" s="748">
        <f t="shared" si="4"/>
        <v>678.53788266666675</v>
      </c>
      <c r="O18" s="748">
        <f t="shared" si="5"/>
        <v>-352.19527466666653</v>
      </c>
      <c r="P18" s="748">
        <f t="shared" si="5"/>
        <v>1759.2047253333335</v>
      </c>
      <c r="Q18" s="748">
        <f>INDEX('Energy Model tables'!$D$61:$G$76,MATCH($B18,'Energy Model tables'!$C$61:$C$76,0),MATCH($C$7,'Energy Model tables'!$D$60:$G$60,0))</f>
        <v>342.22860619893117</v>
      </c>
      <c r="R18" s="748">
        <f>INDEX('Energy Model tables'!$J$61:$M$76,MATCH($B18,'Energy Model tables'!$I$61:$I$76,0),MATCH($C$7,'Energy Model tables'!$J$60:$M$60,0))</f>
        <v>456.52237110748808</v>
      </c>
      <c r="S18" s="748">
        <f>INDEX('Energy Model tables'!$D$81:$G$96,MATCH($B18,'Energy Model tables'!$C$81:$C$96,0),MATCH($C$7,'Energy Model tables'!$D$80:$G$80,0))</f>
        <v>-1708.3654697425127</v>
      </c>
      <c r="T18" s="748">
        <f>INDEX('Energy Model tables'!$J$81:$M$96,MATCH($B18,'Energy Model tables'!$I$81:$I$96,0),MATCH($C$7,'Energy Model tables'!$J$80:$M$80,0))</f>
        <v>8.9904075435620712</v>
      </c>
    </row>
    <row r="19" spans="2:20" x14ac:dyDescent="0.3">
      <c r="B19" s="420">
        <v>13</v>
      </c>
      <c r="C19" s="738"/>
      <c r="D19" s="748">
        <f>INDEX('Energy Model tables'!$D$6:$G$21,MATCH($B19,'Energy Model tables'!$C$6:$C$21,0),MATCH($C$7,'Energy Model tables'!$D$5:$G$5,0))</f>
        <v>11.617000000000001</v>
      </c>
      <c r="E19" s="748">
        <f>HLOOKUP($C$7,'Energy Model tables'!$D$24:$G$25,2,FALSE)</f>
        <v>72</v>
      </c>
      <c r="F19" s="748">
        <f>'Energy Model tables'!$D$28</f>
        <v>175.95</v>
      </c>
      <c r="G19" s="748">
        <f>IF($C19&lt;&gt;"",HLOOKUP($C$7,'Energy Model tables'!$D$31:$G$32,2,FALSE),0)</f>
        <v>0</v>
      </c>
      <c r="H19" s="748">
        <f>INDEX('Energy Model tables'!$D$37:$G$52,MATCH($B19,'Energy Model tables'!$C$37:$C$52,0),MATCH($C$7,'Energy Model tables'!$D$36:$G$36,0))</f>
        <v>333.83611733333333</v>
      </c>
      <c r="I19" s="748">
        <f>IF($C19&lt;&gt;"",HLOOKUP($C$7,'Energy Model tables'!$D$55:$G$56,2,FALSE),0)</f>
        <v>0</v>
      </c>
      <c r="J19" s="748">
        <f t="shared" si="0"/>
        <v>333.83611733333333</v>
      </c>
      <c r="K19" s="748">
        <f t="shared" si="1"/>
        <v>836.42400000000009</v>
      </c>
      <c r="L19" s="748">
        <f t="shared" si="2"/>
        <v>1012.374</v>
      </c>
      <c r="M19" s="748">
        <f t="shared" si="3"/>
        <v>502.58788266666676</v>
      </c>
      <c r="N19" s="748">
        <f t="shared" si="4"/>
        <v>678.53788266666675</v>
      </c>
      <c r="O19" s="748">
        <f t="shared" si="5"/>
        <v>150.39260800000022</v>
      </c>
      <c r="P19" s="748">
        <f t="shared" si="5"/>
        <v>2437.7426080000005</v>
      </c>
      <c r="Q19" s="748">
        <f>INDEX('Energy Model tables'!$D$61:$G$76,MATCH($B19,'Energy Model tables'!$C$61:$C$76,0),MATCH($C$7,'Energy Model tables'!$D$60:$G$60,0))</f>
        <v>329.06596749897221</v>
      </c>
      <c r="R19" s="748">
        <f>INDEX('Energy Model tables'!$J$61:$M$76,MATCH($B19,'Energy Model tables'!$I$61:$I$76,0),MATCH($C$7,'Energy Model tables'!$J$60:$M$60,0))</f>
        <v>438.96381837258457</v>
      </c>
      <c r="S19" s="748">
        <f>INDEX('Energy Model tables'!$D$81:$G$96,MATCH($B19,'Energy Model tables'!$C$81:$C$96,0),MATCH($C$7,'Energy Model tables'!$D$80:$G$80,0))</f>
        <v>-1379.2995022435405</v>
      </c>
      <c r="T19" s="748">
        <f>INDEX('Energy Model tables'!$J$81:$M$96,MATCH($B19,'Energy Model tables'!$I$81:$I$96,0),MATCH($C$7,'Energy Model tables'!$J$80:$M$80,0))</f>
        <v>447.95422591614664</v>
      </c>
    </row>
    <row r="20" spans="2:20" x14ac:dyDescent="0.3">
      <c r="B20" s="420">
        <v>14</v>
      </c>
      <c r="C20" s="738"/>
      <c r="D20" s="748">
        <f>INDEX('Energy Model tables'!$D$6:$G$21,MATCH($B20,'Energy Model tables'!$C$6:$C$21,0),MATCH($C$7,'Energy Model tables'!$D$5:$G$5,0))</f>
        <v>11.617000000000001</v>
      </c>
      <c r="E20" s="748">
        <f>HLOOKUP($C$7,'Energy Model tables'!$D$24:$G$25,2,FALSE)</f>
        <v>72</v>
      </c>
      <c r="F20" s="748">
        <f>'Energy Model tables'!$D$28</f>
        <v>175.95</v>
      </c>
      <c r="G20" s="748">
        <f>IF($C20&lt;&gt;"",HLOOKUP($C$7,'Energy Model tables'!$D$31:$G$32,2,FALSE),0)</f>
        <v>0</v>
      </c>
      <c r="H20" s="748">
        <f>INDEX('Energy Model tables'!$D$37:$G$52,MATCH($B20,'Energy Model tables'!$C$37:$C$52,0),MATCH($C$7,'Energy Model tables'!$D$36:$G$36,0))</f>
        <v>333.83611733333333</v>
      </c>
      <c r="I20" s="748">
        <f>IF($C20&lt;&gt;"",HLOOKUP($C$7,'Energy Model tables'!$D$55:$G$56,2,FALSE),0)</f>
        <v>0</v>
      </c>
      <c r="J20" s="748">
        <f t="shared" si="0"/>
        <v>333.83611733333333</v>
      </c>
      <c r="K20" s="748">
        <f t="shared" si="1"/>
        <v>836.42400000000009</v>
      </c>
      <c r="L20" s="748">
        <f t="shared" si="2"/>
        <v>1012.374</v>
      </c>
      <c r="M20" s="748">
        <f t="shared" si="3"/>
        <v>502.58788266666676</v>
      </c>
      <c r="N20" s="748">
        <f t="shared" si="4"/>
        <v>678.53788266666675</v>
      </c>
      <c r="O20" s="748">
        <f t="shared" si="5"/>
        <v>652.98049066666704</v>
      </c>
      <c r="P20" s="748">
        <f t="shared" si="5"/>
        <v>3116.280490666667</v>
      </c>
      <c r="Q20" s="748">
        <f>INDEX('Energy Model tables'!$D$61:$G$76,MATCH($B20,'Energy Model tables'!$C$61:$C$76,0),MATCH($C$7,'Energy Model tables'!$D$60:$G$60,0))</f>
        <v>316.40958413362716</v>
      </c>
      <c r="R20" s="748">
        <f>INDEX('Energy Model tables'!$J$61:$M$76,MATCH($B20,'Energy Model tables'!$I$61:$I$76,0),MATCH($C$7,'Energy Model tables'!$J$60:$M$60,0))</f>
        <v>422.08059458902363</v>
      </c>
      <c r="S20" s="748">
        <f>INDEX('Energy Model tables'!$D$81:$G$96,MATCH($B20,'Energy Model tables'!$C$81:$C$96,0),MATCH($C$7,'Energy Model tables'!$D$80:$G$80,0))</f>
        <v>-1062.8899181099132</v>
      </c>
      <c r="T20" s="748">
        <f>INDEX('Energy Model tables'!$J$81:$M$96,MATCH($B20,'Energy Model tables'!$I$81:$I$96,0),MATCH($C$7,'Energy Model tables'!$J$80:$M$80,0))</f>
        <v>870.03482050517027</v>
      </c>
    </row>
    <row r="21" spans="2:20" x14ac:dyDescent="0.3">
      <c r="B21" s="420">
        <v>15</v>
      </c>
      <c r="C21" s="738"/>
      <c r="D21" s="748">
        <f>INDEX('Energy Model tables'!$D$6:$G$21,MATCH($B21,'Energy Model tables'!$C$6:$C$21,0),MATCH($C$7,'Energy Model tables'!$D$5:$G$5,0))</f>
        <v>11.617000000000001</v>
      </c>
      <c r="E21" s="748">
        <f>HLOOKUP($C$7,'Energy Model tables'!$D$24:$G$25,2,FALSE)</f>
        <v>72</v>
      </c>
      <c r="F21" s="748">
        <f>'Energy Model tables'!$D$28</f>
        <v>175.95</v>
      </c>
      <c r="G21" s="748">
        <f>IF($C21&lt;&gt;"",HLOOKUP($C$7,'Energy Model tables'!$D$31:$G$32,2,FALSE),0)</f>
        <v>0</v>
      </c>
      <c r="H21" s="748">
        <f>INDEX('Energy Model tables'!$D$37:$G$52,MATCH($B21,'Energy Model tables'!$C$37:$C$52,0),MATCH($C$7,'Energy Model tables'!$D$36:$G$36,0))</f>
        <v>333.83611733333333</v>
      </c>
      <c r="I21" s="748">
        <f>IF($C21&lt;&gt;"",HLOOKUP($C$7,'Energy Model tables'!$D$55:$G$56,2,FALSE),0)</f>
        <v>0</v>
      </c>
      <c r="J21" s="748">
        <f t="shared" si="0"/>
        <v>333.83611733333333</v>
      </c>
      <c r="K21" s="748">
        <f t="shared" si="1"/>
        <v>836.42400000000009</v>
      </c>
      <c r="L21" s="748">
        <f t="shared" si="2"/>
        <v>1012.374</v>
      </c>
      <c r="M21" s="748">
        <f t="shared" si="3"/>
        <v>502.58788266666676</v>
      </c>
      <c r="N21" s="748">
        <f t="shared" si="4"/>
        <v>678.53788266666675</v>
      </c>
      <c r="O21" s="748">
        <f t="shared" si="5"/>
        <v>1155.5683733333337</v>
      </c>
      <c r="P21" s="748">
        <f t="shared" si="5"/>
        <v>3794.8183733333335</v>
      </c>
      <c r="Q21" s="748">
        <f>INDEX('Energy Model tables'!$D$61:$G$76,MATCH($B21,'Energy Model tables'!$C$61:$C$76,0),MATCH($C$7,'Energy Model tables'!$D$60:$G$60,0))</f>
        <v>304.23998474387224</v>
      </c>
      <c r="R21" s="748">
        <f>INDEX('Energy Model tables'!$J$61:$M$76,MATCH($B21,'Energy Model tables'!$I$61:$I$76,0),MATCH($C$7,'Energy Model tables'!$J$60:$M$60,0))</f>
        <v>405.84672556636889</v>
      </c>
      <c r="S21" s="748">
        <f>INDEX('Energy Model tables'!$D$81:$G$96,MATCH($B21,'Energy Model tables'!$C$81:$C$96,0),MATCH($C$7,'Energy Model tables'!$D$80:$G$80,0))</f>
        <v>-758.64993336604095</v>
      </c>
      <c r="T21" s="748">
        <f>INDEX('Energy Model tables'!$J$81:$M$96,MATCH($B21,'Energy Model tables'!$I$81:$I$96,0),MATCH($C$7,'Energy Model tables'!$J$80:$M$80,0))</f>
        <v>1275.8815460715391</v>
      </c>
    </row>
    <row r="22" spans="2:20" x14ac:dyDescent="0.3">
      <c r="B22" s="561">
        <v>16</v>
      </c>
      <c r="C22" s="742"/>
      <c r="D22" s="749">
        <f>INDEX('Energy Model tables'!$D$6:$G$21,MATCH($B22,'Energy Model tables'!$C$6:$C$21,0),MATCH($C$7,'Energy Model tables'!$D$5:$G$5,0))</f>
        <v>11.617000000000001</v>
      </c>
      <c r="E22" s="749">
        <f>HLOOKUP($C$7,'Energy Model tables'!$D$24:$G$25,2,FALSE)</f>
        <v>72</v>
      </c>
      <c r="F22" s="749">
        <f>'Energy Model tables'!$D$28</f>
        <v>175.95</v>
      </c>
      <c r="G22" s="749">
        <f>IF($C22&lt;&gt;"",HLOOKUP($C$7,'Energy Model tables'!$D$31:$G$32,2,FALSE),0)</f>
        <v>0</v>
      </c>
      <c r="H22" s="749">
        <f>INDEX('Energy Model tables'!$D$37:$G$52,MATCH($B22,'Energy Model tables'!$C$37:$C$52,0),MATCH($C$7,'Energy Model tables'!$D$36:$G$36,0))</f>
        <v>333.83611733333333</v>
      </c>
      <c r="I22" s="749">
        <f>IF($C7&lt;&gt;"",HLOOKUP($C$7,'Energy Model tables'!$D$55:$G$56,2,FALSE),0)</f>
        <v>192.1</v>
      </c>
      <c r="J22" s="749">
        <f t="shared" si="0"/>
        <v>525.9361173333333</v>
      </c>
      <c r="K22" s="749">
        <f t="shared" si="1"/>
        <v>836.42400000000009</v>
      </c>
      <c r="L22" s="749">
        <f t="shared" si="2"/>
        <v>1012.374</v>
      </c>
      <c r="M22" s="749">
        <f t="shared" si="3"/>
        <v>310.48788266666679</v>
      </c>
      <c r="N22" s="749">
        <f t="shared" si="4"/>
        <v>486.43788266666672</v>
      </c>
      <c r="O22" s="749">
        <f t="shared" si="5"/>
        <v>1466.0562560000005</v>
      </c>
      <c r="P22" s="749">
        <f t="shared" si="5"/>
        <v>4281.2562560000006</v>
      </c>
      <c r="Q22" s="749">
        <f>INDEX('Energy Model tables'!$D$61:$G$76,MATCH($B22,'Energy Model tables'!$C$61:$C$76,0),MATCH($C$7,'Energy Model tables'!$D$60:$G$60,0))</f>
        <v>248.6170247044879</v>
      </c>
      <c r="R22" s="749">
        <f>INDEX('Energy Model tables'!$J$61:$M$76,MATCH($B22,'Energy Model tables'!$I$61:$I$76,0),MATCH($C$7,'Energy Model tables'!$J$60:$M$60,0))</f>
        <v>346.31581395688858</v>
      </c>
      <c r="S22" s="749">
        <f>INDEX('Energy Model tables'!$D$81:$G$96,MATCH($B22,'Energy Model tables'!$C$81:$C$96,0),MATCH($C$7,'Energy Model tables'!$D$80:$G$80,0))</f>
        <v>-510.03290866155305</v>
      </c>
      <c r="T22" s="749">
        <f>INDEX('Energy Model tables'!$J$81:$M$96,MATCH($B22,'Energy Model tables'!$I$81:$I$96,0),MATCH($C$7,'Energy Model tables'!$J$80:$M$80,0))</f>
        <v>1622.1973600284277</v>
      </c>
    </row>
    <row r="23" spans="2:20" x14ac:dyDescent="0.3">
      <c r="C23" s="363"/>
      <c r="N23" s="39"/>
      <c r="O23" s="39"/>
      <c r="P23" s="39"/>
      <c r="Q23" s="39"/>
      <c r="R23" s="39"/>
    </row>
    <row r="25" spans="2:20" x14ac:dyDescent="0.3">
      <c r="D25" s="24"/>
      <c r="E25" s="24"/>
      <c r="F25" s="24"/>
    </row>
    <row r="26" spans="2:20" ht="30" x14ac:dyDescent="0.3">
      <c r="B26" s="86"/>
      <c r="C26" s="359" t="s">
        <v>354</v>
      </c>
      <c r="D26" s="360" t="s">
        <v>355</v>
      </c>
      <c r="E26" s="360" t="s">
        <v>356</v>
      </c>
      <c r="F26" s="360" t="s">
        <v>357</v>
      </c>
    </row>
    <row r="27" spans="2:20" x14ac:dyDescent="0.3">
      <c r="B27" s="86"/>
      <c r="C27" s="359" t="s">
        <v>613</v>
      </c>
      <c r="D27" s="360" t="s">
        <v>599</v>
      </c>
      <c r="E27" s="360" t="s">
        <v>599</v>
      </c>
      <c r="F27" s="360" t="s">
        <v>612</v>
      </c>
    </row>
    <row r="28" spans="2:20" x14ac:dyDescent="0.3">
      <c r="B28" s="86" t="s">
        <v>297</v>
      </c>
      <c r="C28" s="361">
        <v>0</v>
      </c>
      <c r="D28" s="752">
        <f>'Energy NPV'!C6</f>
        <v>0.04</v>
      </c>
      <c r="E28" s="86"/>
      <c r="F28" s="86"/>
    </row>
    <row r="29" spans="2:20" x14ac:dyDescent="0.3">
      <c r="B29" s="86" t="s">
        <v>449</v>
      </c>
      <c r="C29" s="785">
        <f>O22</f>
        <v>1466.0562560000005</v>
      </c>
      <c r="D29" s="785">
        <f>S22</f>
        <v>-510.03290866155305</v>
      </c>
      <c r="E29" s="785">
        <f>D29*((1+$D$28)^16)/(((1+$D$28)^16)-1)</f>
        <v>-1094.2755956126289</v>
      </c>
      <c r="F29" s="785">
        <f>E29*$D$28</f>
        <v>-43.771023824505157</v>
      </c>
    </row>
    <row r="30" spans="2:20" x14ac:dyDescent="0.3">
      <c r="B30" s="86" t="s">
        <v>450</v>
      </c>
      <c r="C30" s="785">
        <f>P22</f>
        <v>4281.2562560000006</v>
      </c>
      <c r="D30" s="785">
        <f>T22</f>
        <v>1622.1973600284277</v>
      </c>
      <c r="E30" s="785">
        <f>D30*((1+$D$28)^16)/(((1+$D$28)^16)-1)</f>
        <v>3480.4244043873668</v>
      </c>
      <c r="F30" s="785">
        <f>E30*$D$28</f>
        <v>139.21697617549466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'Energy Model tables'!$D$5:$G$5</xm:f>
          </x14:formula1>
          <xm:sqref>C7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I106"/>
  <sheetViews>
    <sheetView topLeftCell="F11" workbookViewId="0">
      <selection activeCell="F11" sqref="F11"/>
    </sheetView>
  </sheetViews>
  <sheetFormatPr defaultColWidth="9" defaultRowHeight="14" x14ac:dyDescent="0.3"/>
  <cols>
    <col min="1" max="1" width="13.75" customWidth="1"/>
    <col min="2" max="5" width="9" customWidth="1"/>
  </cols>
  <sheetData>
    <row r="2" spans="2:35" ht="14.5" thickBot="1" x14ac:dyDescent="0.35"/>
    <row r="3" spans="2:35" ht="14.5" thickBot="1" x14ac:dyDescent="0.35">
      <c r="B3" s="352" t="s">
        <v>610</v>
      </c>
      <c r="C3" s="353"/>
      <c r="D3" s="353"/>
      <c r="E3" s="229"/>
      <c r="F3" s="200"/>
    </row>
    <row r="6" spans="2:35" x14ac:dyDescent="0.3">
      <c r="B6" s="86" t="s">
        <v>297</v>
      </c>
      <c r="C6" s="770">
        <f>'Arable NPV'!C6</f>
        <v>0.04</v>
      </c>
    </row>
    <row r="7" spans="2:35" x14ac:dyDescent="0.3">
      <c r="B7" s="24"/>
      <c r="C7" s="24"/>
      <c r="D7" s="24"/>
      <c r="E7" s="24"/>
      <c r="F7" s="24"/>
    </row>
    <row r="9" spans="2:35" x14ac:dyDescent="0.3">
      <c r="B9" s="211" t="s">
        <v>94</v>
      </c>
      <c r="C9" s="230"/>
      <c r="D9" s="230"/>
      <c r="E9" s="230"/>
      <c r="F9" s="194"/>
      <c r="G9" s="193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</row>
    <row r="10" spans="2:35" x14ac:dyDescent="0.3">
      <c r="B10" s="203"/>
      <c r="C10" s="148"/>
      <c r="D10" s="148"/>
      <c r="E10" s="148"/>
      <c r="F10" s="1086"/>
      <c r="G10" s="1086"/>
      <c r="H10" s="1086"/>
      <c r="I10" s="148"/>
      <c r="J10" s="961" t="s">
        <v>88</v>
      </c>
      <c r="K10" s="962"/>
      <c r="L10" s="962"/>
      <c r="M10" s="962"/>
      <c r="N10" s="962"/>
      <c r="O10" s="962"/>
      <c r="P10" s="962"/>
      <c r="Q10" s="962"/>
      <c r="R10" s="962"/>
      <c r="S10" s="962"/>
      <c r="T10" s="962"/>
      <c r="U10" s="963"/>
      <c r="V10" s="1086"/>
      <c r="W10" s="1086"/>
      <c r="X10" s="148"/>
      <c r="Y10" s="148"/>
      <c r="Z10" s="1087" t="s">
        <v>275</v>
      </c>
      <c r="AA10" s="1088"/>
      <c r="AB10" s="1088"/>
      <c r="AC10" s="1088"/>
      <c r="AD10" s="1089"/>
      <c r="AE10" s="1087" t="s">
        <v>276</v>
      </c>
      <c r="AF10" s="1088"/>
      <c r="AG10" s="1088"/>
      <c r="AH10" s="1088"/>
      <c r="AI10" s="1089"/>
    </row>
    <row r="11" spans="2:35" ht="51" x14ac:dyDescent="0.3">
      <c r="B11" s="204" t="s">
        <v>277</v>
      </c>
      <c r="C11" s="205" t="s">
        <v>565</v>
      </c>
      <c r="D11" s="205" t="s">
        <v>303</v>
      </c>
      <c r="E11" s="205" t="s">
        <v>304</v>
      </c>
      <c r="F11" s="171" t="s">
        <v>675</v>
      </c>
      <c r="G11" s="171" t="s">
        <v>666</v>
      </c>
      <c r="H11" s="171" t="s">
        <v>676</v>
      </c>
      <c r="I11" s="205" t="s">
        <v>301</v>
      </c>
      <c r="J11" s="933" t="s">
        <v>255</v>
      </c>
      <c r="K11" s="934" t="s">
        <v>35</v>
      </c>
      <c r="L11" s="934" t="s">
        <v>548</v>
      </c>
      <c r="M11" s="934" t="s">
        <v>147</v>
      </c>
      <c r="N11" s="935" t="s">
        <v>571</v>
      </c>
      <c r="O11" s="935" t="s">
        <v>572</v>
      </c>
      <c r="P11" s="935" t="s">
        <v>573</v>
      </c>
      <c r="Q11" s="949" t="s">
        <v>182</v>
      </c>
      <c r="R11" s="949" t="s">
        <v>478</v>
      </c>
      <c r="S11" s="950" t="s">
        <v>479</v>
      </c>
      <c r="T11" s="949" t="s">
        <v>480</v>
      </c>
      <c r="U11" s="936" t="s">
        <v>302</v>
      </c>
      <c r="V11" s="205" t="s">
        <v>305</v>
      </c>
      <c r="W11" s="171" t="s">
        <v>283</v>
      </c>
      <c r="X11" s="171" t="s">
        <v>677</v>
      </c>
      <c r="Y11" s="171" t="s">
        <v>678</v>
      </c>
      <c r="Z11" s="195" t="s">
        <v>286</v>
      </c>
      <c r="AA11" s="171" t="s">
        <v>679</v>
      </c>
      <c r="AB11" s="171" t="s">
        <v>288</v>
      </c>
      <c r="AC11" s="171" t="s">
        <v>680</v>
      </c>
      <c r="AD11" s="198" t="s">
        <v>290</v>
      </c>
      <c r="AE11" s="195" t="s">
        <v>291</v>
      </c>
      <c r="AF11" s="171" t="s">
        <v>681</v>
      </c>
      <c r="AG11" s="171" t="s">
        <v>293</v>
      </c>
      <c r="AH11" s="171" t="s">
        <v>682</v>
      </c>
      <c r="AI11" s="198" t="s">
        <v>295</v>
      </c>
    </row>
    <row r="12" spans="2:35" x14ac:dyDescent="0.3">
      <c r="B12" s="210"/>
      <c r="C12" s="225" t="s">
        <v>566</v>
      </c>
      <c r="D12" s="225" t="s">
        <v>341</v>
      </c>
      <c r="E12" s="225" t="s">
        <v>601</v>
      </c>
      <c r="F12" s="225" t="s">
        <v>599</v>
      </c>
      <c r="G12" s="225" t="s">
        <v>599</v>
      </c>
      <c r="H12" s="225" t="s">
        <v>599</v>
      </c>
      <c r="I12" s="225" t="s">
        <v>599</v>
      </c>
      <c r="J12" s="937" t="s">
        <v>599</v>
      </c>
      <c r="K12" s="938" t="s">
        <v>599</v>
      </c>
      <c r="L12" s="938" t="s">
        <v>599</v>
      </c>
      <c r="M12" s="938" t="s">
        <v>599</v>
      </c>
      <c r="N12" s="938" t="s">
        <v>599</v>
      </c>
      <c r="O12" s="938" t="s">
        <v>599</v>
      </c>
      <c r="P12" s="938" t="s">
        <v>599</v>
      </c>
      <c r="Q12" s="939" t="s">
        <v>599</v>
      </c>
      <c r="R12" s="939" t="s">
        <v>599</v>
      </c>
      <c r="S12" s="939" t="s">
        <v>599</v>
      </c>
      <c r="T12" s="939" t="s">
        <v>601</v>
      </c>
      <c r="U12" s="940" t="s">
        <v>599</v>
      </c>
      <c r="V12" s="226" t="s">
        <v>599</v>
      </c>
      <c r="W12" s="226" t="s">
        <v>599</v>
      </c>
      <c r="X12" s="226" t="s">
        <v>599</v>
      </c>
      <c r="Y12" s="730" t="s">
        <v>599</v>
      </c>
      <c r="Z12" s="226" t="s">
        <v>599</v>
      </c>
      <c r="AA12" s="226" t="s">
        <v>599</v>
      </c>
      <c r="AB12" s="226" t="s">
        <v>599</v>
      </c>
      <c r="AC12" s="226" t="s">
        <v>599</v>
      </c>
      <c r="AD12" s="730" t="s">
        <v>599</v>
      </c>
      <c r="AE12" s="226" t="s">
        <v>599</v>
      </c>
      <c r="AF12" s="226" t="s">
        <v>599</v>
      </c>
      <c r="AG12" s="226" t="s">
        <v>599</v>
      </c>
      <c r="AH12" s="226" t="s">
        <v>599</v>
      </c>
      <c r="AI12" s="730" t="s">
        <v>599</v>
      </c>
    </row>
    <row r="13" spans="2:35" x14ac:dyDescent="0.3">
      <c r="B13" s="899">
        <v>1</v>
      </c>
      <c r="C13" s="928">
        <f>'Energy Inputs'!D30</f>
        <v>0</v>
      </c>
      <c r="D13" s="928">
        <f>C13*'Energy Inputs'!$D$24</f>
        <v>0</v>
      </c>
      <c r="E13" s="213">
        <f>'Energy margins'!$E$12</f>
        <v>72</v>
      </c>
      <c r="F13" s="928">
        <f t="shared" ref="F13:F28" si="0">D13*E13</f>
        <v>0</v>
      </c>
      <c r="G13" s="928">
        <f>'Energy Inputs'!$D$10</f>
        <v>175.95</v>
      </c>
      <c r="H13" s="213">
        <f>F13+G13</f>
        <v>175.95</v>
      </c>
      <c r="I13" s="929">
        <f>'Margins summary'!P20</f>
        <v>2498.2967840000001</v>
      </c>
      <c r="J13" s="970">
        <f>IF(ISERROR(IF(MOD(IF(AND(B13&gt;='Energy margins'!$F$44,B13&lt;='Energy margins'!$G$44),B13-'Energy margins'!$F$44,""),'Energy margins'!$H$44)=0,'Energy margins'!$E$44,0)),0,IF(MOD(IF(AND(B13&gt;='Energy margins'!$F$44,B13&lt;='Energy margins'!$G$44),B13-'Energy margins'!$F$44,""),'Energy margins'!$H$44)=0,'Energy margins'!$E$44,0))</f>
        <v>0</v>
      </c>
      <c r="K13" s="928">
        <f>IF(ISERROR(IF(MOD(IF(AND(B13&gt;='Energy margins'!$F$45,B13&lt;='Energy margins'!$G$45),B13-'Energy margins'!$F$45,""),'Energy margins'!$H$45)=0,'Energy margins'!$E$45,0)),0,IF(MOD(IF(AND(B13&gt;='Energy margins'!$F$45,B13&lt;='Energy margins'!$G$45),B13-'Energy margins'!$F$45,""),'Energy margins'!$H$45)=0,'Energy margins'!$E$45,0))</f>
        <v>0</v>
      </c>
      <c r="L13" s="928">
        <f>IF(ISERROR(IF(MOD(IF(AND(B13&gt;='Energy margins'!$F$46,B13&lt;='Energy margins'!$G$46),B13-'Energy margins'!$F$46,""),'Energy margins'!$H$46)=0,'Energy margins'!$E$46,0)),0,IF(MOD(IF(AND(B13&gt;='Energy margins'!$F$46,B13&lt;='Energy margins'!$G$46),B13-'Energy margins'!$F$46,""),'Energy margins'!$H$46)=0,'Energy margins'!$E$46,0))</f>
        <v>0</v>
      </c>
      <c r="M13" s="928">
        <f>IF(ISERROR(IF(MOD(IF(AND(B13&gt;='Energy margins'!$F$47,B13&lt;='Energy margins'!$G$47),B13-'Energy margins'!$F$47,""),'Energy margins'!$H$47)=0,'Energy margins'!$E$47,0)),0,IF(MOD(IF(AND(B13&gt;='Energy margins'!$F$47,B13&lt;='Energy margins'!$G$47),B13-'Energy margins'!$F$47,""),'Energy margins'!$H$47)=0,'Energy margins'!$E$47,0))</f>
        <v>0</v>
      </c>
      <c r="N13" s="928">
        <f>IF(ISERROR(IF(MOD(IF(AND(B13&gt;='Energy margins'!$F$50,B13&lt;='Energy margins'!$G$50),B13-'Energy margins'!$F$50,""),'Energy margins'!$H$50)=0,'Energy margins'!$E$50,0)),0,IF(MOD(IF(AND(B13&gt;='Energy margins'!$F$50,B13&lt;='Energy margins'!$G$50),B13-'Energy margins'!$F$50,""),'Energy margins'!$H$50)=0,'Energy margins'!$E$50,0))</f>
        <v>0</v>
      </c>
      <c r="O13" s="928">
        <f>IF(ISERROR(IF(MOD(IF(AND(B13&gt;='Energy margins'!$F$53,B13&lt;='Energy margins'!$G$53),B13-'Energy margins'!$F$53,""),'Energy margins'!$H$53)=0,'Energy margins'!$E$53,0)),0,IF(MOD(IF(AND(B13&gt;='Energy margins'!$F$53,B13&lt;='Energy margins'!$G$53),B13-'Energy margins'!$F$53,""),'Energy margins'!$H$53)=0,'Energy margins'!$E$53,0))</f>
        <v>0</v>
      </c>
      <c r="P13" s="928">
        <f>IF(ISERROR(IF(MOD(IF(AND(B13&gt;='Energy margins'!$F$56,B13&lt;='Energy margins'!$G$56),B13-'Energy margins'!$F$56,""),'Energy margins'!$H$56)=0,'Energy margins'!$E$56,0)),0,IF(MOD(IF(AND(B13&gt;='Energy margins'!$F$56,B13&lt;='Energy margins'!$G$56),B13-'Energy margins'!$F$56,""),'Energy margins'!$H$56)=0,'Energy margins'!$E$56,0))</f>
        <v>0</v>
      </c>
      <c r="Q13" s="928">
        <f>IF(ISERROR(IF(MOD(IF(AND(B13&gt;='Energy margins'!$F$59,B13&lt;='Energy margins'!$G$59),B13-'Energy margins'!$F$59,""),'Energy margins'!$H$59)=0,'Energy margins'!$E$59,0)),0,IF(MOD(IF(AND(B13&gt;='Energy margins'!$F$59,B13&lt;='Energy margins'!$G$59),B13-'Energy margins'!$F$59,""),'Energy margins'!$H$59)=0,'Energy margins'!$E$59,0))</f>
        <v>0</v>
      </c>
      <c r="R13" s="928">
        <f>IF(ISERROR(IF(MOD(IF(AND(B13&gt;='Energy margins'!$F$60,B13&lt;='Energy margins'!$G$60),B13-'Energy margins'!$F$60,""),'Energy margins'!$H$60)=0,'Energy margins'!$E$60,0)),0,IF(MOD(IF(AND(B13&gt;='Energy margins'!$F$60,B13&lt;='Energy margins'!$G$60),B13-'Energy margins'!$F$60,""),'Energy margins'!$H$60)=0,'Energy margins'!$E$60,0))</f>
        <v>0</v>
      </c>
      <c r="S13" s="928">
        <f>IF(ISERROR(IF(MOD(IF(AND(B13&gt;='Energy margins'!$F$61,B13&lt;='Energy margins'!$G$61),B13-'Energy margins'!$F$61,""),'Energy margins'!$H$61)=0,'Energy margins'!$E$61,0)),0,IF(MOD(IF(AND(B13&gt;='Energy margins'!$F$61,B13&lt;='Energy margins'!$G$61),B13-'Energy margins'!$F$61,""),'Energy margins'!$H$61)=0,'Energy margins'!$E$61,0))</f>
        <v>0</v>
      </c>
      <c r="T13" s="928">
        <f>IF(ISERROR(IF(MOD(IF(AND(B13&gt;='Energy margins'!$F$62,B13&lt;='Energy margins'!$G$62),B13-'Energy margins'!$F$62,""),'Energy margins'!$H$62)=0,'Energy margins'!$E$62,0)),0,IF(MOD(IF(AND(B13&gt;='Energy margins'!$F$62,B13&lt;='Energy margins'!$G$62),B13-'Energy margins'!$F$62,""),'Energy margins'!$H$62)=0,'Energy margins'!$E$62,0))</f>
        <v>0</v>
      </c>
      <c r="U13" s="942">
        <f>SUM(J13:T13)</f>
        <v>0</v>
      </c>
      <c r="V13" s="197"/>
      <c r="W13" s="197">
        <f>I13+U13+V13</f>
        <v>2498.2967840000001</v>
      </c>
      <c r="X13" s="197">
        <f t="shared" ref="X13:X28" si="1">F13-W13</f>
        <v>-2498.2967840000001</v>
      </c>
      <c r="Y13" s="197">
        <f t="shared" ref="Y13:Y28" si="2">H13-W13</f>
        <v>-2322.3467840000003</v>
      </c>
      <c r="Z13" s="973">
        <f>F13/((1+$C$6)^($B13-1))</f>
        <v>0</v>
      </c>
      <c r="AA13" s="974">
        <f>G13/(1+$C$6)^($B13-1)</f>
        <v>175.95</v>
      </c>
      <c r="AB13" s="974">
        <f>W13/((1+$C$6)^($B13-1))</f>
        <v>2498.2967840000001</v>
      </c>
      <c r="AC13" s="974">
        <f>X13/((1+$C$6)^($B13-1))</f>
        <v>-2498.2967840000001</v>
      </c>
      <c r="AD13" s="974">
        <f>Y13/((1+$C$6)^($B13-1))</f>
        <v>-2322.3467840000003</v>
      </c>
      <c r="AE13" s="973">
        <f>Z13</f>
        <v>0</v>
      </c>
      <c r="AF13" s="974">
        <f>AA13</f>
        <v>175.95</v>
      </c>
      <c r="AG13" s="974">
        <f>AB13</f>
        <v>2498.2967840000001</v>
      </c>
      <c r="AH13" s="974">
        <f>AC13</f>
        <v>-2498.2967840000001</v>
      </c>
      <c r="AI13" s="975">
        <f>AD13</f>
        <v>-2322.3467840000003</v>
      </c>
    </row>
    <row r="14" spans="2:35" x14ac:dyDescent="0.3">
      <c r="B14" s="900">
        <v>2</v>
      </c>
      <c r="C14" s="918">
        <f>'Energy Inputs'!D31</f>
        <v>0</v>
      </c>
      <c r="D14" s="918">
        <f>C14*'Energy Inputs'!$D$24</f>
        <v>0</v>
      </c>
      <c r="E14" s="197">
        <f>'Energy margins'!$E$12</f>
        <v>72</v>
      </c>
      <c r="F14" s="918">
        <f t="shared" si="0"/>
        <v>0</v>
      </c>
      <c r="G14" s="918">
        <f>'Energy Inputs'!$D$10</f>
        <v>175.95</v>
      </c>
      <c r="H14" s="197">
        <f t="shared" ref="H14:H28" si="3">F14+G14</f>
        <v>175.95</v>
      </c>
      <c r="I14" s="199"/>
      <c r="J14" s="920">
        <f>IF(ISERROR(IF(MOD(IF(AND(B14&gt;='Energy margins'!$F$44,B14&lt;='Energy margins'!$G$44),B14-'Energy margins'!$F$44,""),'Energy margins'!$H$44)=0,'Energy margins'!$E$44,0)),0,IF(MOD(IF(AND(B14&gt;='Energy margins'!$F$44,B14&lt;='Energy margins'!$G$44),B14-'Energy margins'!$F$44,""),'Energy margins'!$H$44)=0,'Energy margins'!$E$44,0))</f>
        <v>0</v>
      </c>
      <c r="K14" s="918">
        <f>IF(ISERROR(IF(MOD(IF(AND(B14&gt;='Energy margins'!$F$45,B14&lt;='Energy margins'!$G$45),B14-'Energy margins'!$F$45,""),'Energy margins'!$H$45)=0,'Energy margins'!$E$45,0)),0,IF(MOD(IF(AND(B14&gt;='Energy margins'!$F$45,B14&lt;='Energy margins'!$G$45),B14-'Energy margins'!$F$45,""),'Energy margins'!$H$45)=0,'Energy margins'!$E$45,0))</f>
        <v>45.561599999999999</v>
      </c>
      <c r="L14" s="918">
        <f>IF(ISERROR(IF(MOD(IF(AND(B14&gt;='Energy margins'!$F$46,B14&lt;='Energy margins'!$G$46),B14-'Energy margins'!$F$46,""),'Energy margins'!$H$46)=0,'Energy margins'!$E$46,0)),0,IF(MOD(IF(AND(B14&gt;='Energy margins'!$F$46,B14&lt;='Energy margins'!$G$46),B14-'Energy margins'!$F$46,""),'Energy margins'!$H$46)=0,'Energy margins'!$E$46,0))</f>
        <v>112.99999999999999</v>
      </c>
      <c r="M14" s="918">
        <f>IF(ISERROR(IF(MOD(IF(AND(B14&gt;='Energy margins'!$F$47,B14&lt;='Energy margins'!$G$47),B14-'Energy margins'!$F$47,""),'Energy margins'!$H$47)=0,'Energy margins'!$E$47,0)),0,IF(MOD(IF(AND(B14&gt;='Energy margins'!$F$47,B14&lt;='Energy margins'!$G$47),B14-'Energy margins'!$F$47,""),'Energy margins'!$H$47)=0,'Energy margins'!$E$47,0))</f>
        <v>0</v>
      </c>
      <c r="N14" s="918">
        <f>IF(ISERROR(IF(MOD(IF(AND(B14&gt;='Energy margins'!$F$50,B14&lt;='Energy margins'!$G$50),B14-'Energy margins'!$F$50,""),'Energy margins'!$H$50)=0,'Energy margins'!$E$50,0)),0,IF(MOD(IF(AND(B14&gt;='Energy margins'!$F$50,B14&lt;='Energy margins'!$G$50),B14-'Energy margins'!$F$50,""),'Energy margins'!$H$50)=0,'Energy margins'!$E$50,0))</f>
        <v>0</v>
      </c>
      <c r="O14" s="918">
        <f>IF(ISERROR(IF(MOD(IF(AND(B14&gt;='Energy margins'!$F$53,B14&lt;='Energy margins'!$G$53),B14-'Energy margins'!$F$53,""),'Energy margins'!$H$53)=0,'Energy margins'!$E$53,0)),0,IF(MOD(IF(AND(B14&gt;='Energy margins'!$F$53,B14&lt;='Energy margins'!$G$53),B14-'Energy margins'!$F$53,""),'Energy margins'!$H$53)=0,'Energy margins'!$E$53,0))</f>
        <v>0</v>
      </c>
      <c r="P14" s="918">
        <f>IF(ISERROR(IF(MOD(IF(AND(B14&gt;='Energy margins'!$F$56,B14&lt;='Energy margins'!$G$56),B14-'Energy margins'!$F$56,""),'Energy margins'!$H$56)=0,'Energy margins'!$E$56,0)),0,IF(MOD(IF(AND(B14&gt;='Energy margins'!$F$56,B14&lt;='Energy margins'!$G$56),B14-'Energy margins'!$F$56,""),'Energy margins'!$H$56)=0,'Energy margins'!$E$56,0))</f>
        <v>0</v>
      </c>
      <c r="Q14" s="918">
        <f>IF(ISERROR(IF(MOD(IF(AND(B14&gt;='Energy margins'!$F$59,B14&lt;='Energy margins'!$G$59),B14-'Energy margins'!$F$59,""),'Energy margins'!$H$59)=0,'Energy margins'!$E$59,0)),0,IF(MOD(IF(AND(B14&gt;='Energy margins'!$F$59,B14&lt;='Energy margins'!$G$59),B14-'Energy margins'!$F$59,""),'Energy margins'!$H$59)=0,'Energy margins'!$E$59,0))</f>
        <v>0</v>
      </c>
      <c r="R14" s="918">
        <f>IF(ISERROR(IF(MOD(IF(AND(B14&gt;='Energy margins'!$F$60,B14&lt;='Energy margins'!$G$60),B14-'Energy margins'!$F$60,""),'Energy margins'!$H$60)=0,'Energy margins'!$E$60,0)),0,IF(MOD(IF(AND(B14&gt;='Energy margins'!$F$60,B14&lt;='Energy margins'!$G$60),B14-'Energy margins'!$F$60,""),'Energy margins'!$H$60)=0,'Energy margins'!$E$60,0))</f>
        <v>0</v>
      </c>
      <c r="S14" s="918">
        <f>IF(ISERROR(IF(MOD(IF(AND(B14&gt;='Energy margins'!$F$61,B14&lt;='Energy margins'!$G$61),B14-'Energy margins'!$F$61,""),'Energy margins'!$H$61)=0,'Energy margins'!$E$61,0)),0,IF(MOD(IF(AND(B14&gt;='Energy margins'!$F$61,B14&lt;='Energy margins'!$G$61),B14-'Energy margins'!$F$61,""),'Energy margins'!$H$61)=0,'Energy margins'!$E$61,0))</f>
        <v>0</v>
      </c>
      <c r="T14" s="918">
        <f>IF(ISERROR(IF(MOD(IF(AND(B14&gt;='Energy margins'!$F$62,B14&lt;='Energy margins'!$G$62),B14-'Energy margins'!$F$62,""),'Energy margins'!$H$62)=0,'Energy margins'!$E$62,0)),0,IF(MOD(IF(AND(B14&gt;='Energy margins'!$F$62,B14&lt;='Energy margins'!$G$62),B14-'Energy margins'!$F$62,""),'Energy margins'!$H$62)=0,'Energy margins'!$E$62,0))</f>
        <v>0</v>
      </c>
      <c r="U14" s="944">
        <f t="shared" ref="U14:U28" si="4">SUM(J14:T14)</f>
        <v>158.5616</v>
      </c>
      <c r="V14" s="197"/>
      <c r="W14" s="197">
        <f t="shared" ref="W14:W28" si="5">I14+U14+V14</f>
        <v>158.5616</v>
      </c>
      <c r="X14" s="197">
        <f t="shared" si="1"/>
        <v>-158.5616</v>
      </c>
      <c r="Y14" s="197">
        <f t="shared" si="2"/>
        <v>17.38839999999999</v>
      </c>
      <c r="Z14" s="973">
        <f t="shared" ref="Z14:Z28" si="6">F14/((1+$C$6)^($B14-1))</f>
        <v>0</v>
      </c>
      <c r="AA14" s="974">
        <f t="shared" ref="AA14:AA28" si="7">G14/(1+$C$6)^($B14-1)</f>
        <v>169.18269230769229</v>
      </c>
      <c r="AB14" s="974">
        <f t="shared" ref="AB14:AB28" si="8">W14/((1+$C$6)^($B14-1))</f>
        <v>152.46307692307693</v>
      </c>
      <c r="AC14" s="974">
        <f t="shared" ref="AC14:AC28" si="9">X14/((1+$C$6)^($B14-1))</f>
        <v>-152.46307692307693</v>
      </c>
      <c r="AD14" s="974">
        <f t="shared" ref="AD14:AD28" si="10">Y14/((1+$C$6)^($B14-1))</f>
        <v>16.719615384615373</v>
      </c>
      <c r="AE14" s="973">
        <f>AE13+Z14</f>
        <v>0</v>
      </c>
      <c r="AF14" s="974">
        <f t="shared" ref="AF14:AI28" si="11">AF13+AA14</f>
        <v>345.13269230769231</v>
      </c>
      <c r="AG14" s="974">
        <f t="shared" si="11"/>
        <v>2650.7598609230772</v>
      </c>
      <c r="AH14" s="974">
        <f t="shared" si="11"/>
        <v>-2650.7598609230772</v>
      </c>
      <c r="AI14" s="975">
        <f t="shared" si="11"/>
        <v>-2305.627168615385</v>
      </c>
    </row>
    <row r="15" spans="2:35" x14ac:dyDescent="0.3">
      <c r="B15" s="900">
        <v>3</v>
      </c>
      <c r="C15" s="918">
        <f>'Energy Inputs'!D32</f>
        <v>0</v>
      </c>
      <c r="D15" s="918">
        <f>C15*'Energy Inputs'!$D$24</f>
        <v>0</v>
      </c>
      <c r="E15" s="197">
        <f>'Energy margins'!$E$12</f>
        <v>72</v>
      </c>
      <c r="F15" s="918">
        <f t="shared" si="0"/>
        <v>0</v>
      </c>
      <c r="G15" s="918">
        <f>'Energy Inputs'!$D$10</f>
        <v>175.95</v>
      </c>
      <c r="H15" s="197">
        <f t="shared" si="3"/>
        <v>175.95</v>
      </c>
      <c r="I15" s="199"/>
      <c r="J15" s="920">
        <f>IF(ISERROR(IF(MOD(IF(AND(B15&gt;='Energy margins'!$F$44,B15&lt;='Energy margins'!$G$44),B15-'Energy margins'!$F$44,""),'Energy margins'!$H$44)=0,'Energy margins'!$E$44,0)),0,IF(MOD(IF(AND(B15&gt;='Energy margins'!$F$44,B15&lt;='Energy margins'!$G$44),B15-'Energy margins'!$F$44,""),'Energy margins'!$H$44)=0,'Energy margins'!$E$44,0))</f>
        <v>0</v>
      </c>
      <c r="K15" s="918">
        <f>IF(ISERROR(IF(MOD(IF(AND(B15&gt;='Energy margins'!$F$45,B15&lt;='Energy margins'!$G$45),B15-'Energy margins'!$F$45,""),'Energy margins'!$H$45)=0,'Energy margins'!$E$45,0)),0,IF(MOD(IF(AND(B15&gt;='Energy margins'!$F$45,B15&lt;='Energy margins'!$G$45),B15-'Energy margins'!$F$45,""),'Energy margins'!$H$45)=0,'Energy margins'!$E$45,0))</f>
        <v>45.561599999999999</v>
      </c>
      <c r="L15" s="918">
        <f>IF(ISERROR(IF(MOD(IF(AND(B15&gt;='Energy margins'!$F$46,B15&lt;='Energy margins'!$G$46),B15-'Energy margins'!$F$46,""),'Energy margins'!$H$46)=0,'Energy margins'!$E$46,0)),0,IF(MOD(IF(AND(B15&gt;='Energy margins'!$F$46,B15&lt;='Energy margins'!$G$46),B15-'Energy margins'!$F$46,""),'Energy margins'!$H$46)=0,'Energy margins'!$E$46,0))</f>
        <v>112.99999999999999</v>
      </c>
      <c r="M15" s="918">
        <f>IF(ISERROR(IF(MOD(IF(AND(B15&gt;='Energy margins'!$F$47,B15&lt;='Energy margins'!$G$47),B15-'Energy margins'!$F$47,""),'Energy margins'!$H$47)=0,'Energy margins'!$E$47,0)),0,IF(MOD(IF(AND(B15&gt;='Energy margins'!$F$47,B15&lt;='Energy margins'!$G$47),B15-'Energy margins'!$F$47,""),'Energy margins'!$H$47)=0,'Energy margins'!$E$47,0))</f>
        <v>0</v>
      </c>
      <c r="N15" s="918">
        <f>IF(ISERROR(IF(MOD(IF(AND(B15&gt;='Energy margins'!$F$50,B15&lt;='Energy margins'!$G$50),B15-'Energy margins'!$F$50,""),'Energy margins'!$H$50)=0,'Energy margins'!$E$50,0)),0,IF(MOD(IF(AND(B15&gt;='Energy margins'!$F$50,B15&lt;='Energy margins'!$G$50),B15-'Energy margins'!$F$50,""),'Energy margins'!$H$50)=0,'Energy margins'!$E$50,0))</f>
        <v>0</v>
      </c>
      <c r="O15" s="918">
        <f>IF(ISERROR(IF(MOD(IF(AND(B15&gt;='Energy margins'!$F$53,B15&lt;='Energy margins'!$G$53),B15-'Energy margins'!$F$53,""),'Energy margins'!$H$53)=0,'Energy margins'!$E$53,0)),0,IF(MOD(IF(AND(B15&gt;='Energy margins'!$F$53,B15&lt;='Energy margins'!$G$53),B15-'Energy margins'!$F$53,""),'Energy margins'!$H$53)=0,'Energy margins'!$E$53,0))</f>
        <v>0</v>
      </c>
      <c r="P15" s="918">
        <f>IF(ISERROR(IF(MOD(IF(AND(B15&gt;='Energy margins'!$F$56,B15&lt;='Energy margins'!$G$56),B15-'Energy margins'!$F$56,""),'Energy margins'!$H$56)=0,'Energy margins'!$E$56,0)),0,IF(MOD(IF(AND(B15&gt;='Energy margins'!$F$56,B15&lt;='Energy margins'!$G$56),B15-'Energy margins'!$F$56,""),'Energy margins'!$H$56)=0,'Energy margins'!$E$56,0))</f>
        <v>0</v>
      </c>
      <c r="Q15" s="918">
        <f>IF(ISERROR(IF(MOD(IF(AND(B15&gt;='Energy margins'!$F$59,B15&lt;='Energy margins'!$G$59),B15-'Energy margins'!$F$59,""),'Energy margins'!$H$59)=0,'Energy margins'!$E$59,0)),0,IF(MOD(IF(AND(B15&gt;='Energy margins'!$F$59,B15&lt;='Energy margins'!$G$59),B15-'Energy margins'!$F$59,""),'Energy margins'!$H$59)=0,'Energy margins'!$E$59,0))</f>
        <v>0</v>
      </c>
      <c r="R15" s="918">
        <f>IF(ISERROR(IF(MOD(IF(AND(B15&gt;='Energy margins'!$F$60,B15&lt;='Energy margins'!$G$60),B15-'Energy margins'!$F$60,""),'Energy margins'!$H$60)=0,'Energy margins'!$E$60,0)),0,IF(MOD(IF(AND(B15&gt;='Energy margins'!$F$60,B15&lt;='Energy margins'!$G$60),B15-'Energy margins'!$F$60,""),'Energy margins'!$H$60)=0,'Energy margins'!$E$60,0))</f>
        <v>0</v>
      </c>
      <c r="S15" s="918">
        <f>IF(ISERROR(IF(MOD(IF(AND(B15&gt;='Energy margins'!$F$61,B15&lt;='Energy margins'!$G$61),B15-'Energy margins'!$F$61,""),'Energy margins'!$H$61)=0,'Energy margins'!$E$61,0)),0,IF(MOD(IF(AND(B15&gt;='Energy margins'!$F$61,B15&lt;='Energy margins'!$G$61),B15-'Energy margins'!$F$61,""),'Energy margins'!$H$61)=0,'Energy margins'!$E$61,0))</f>
        <v>0</v>
      </c>
      <c r="T15" s="918">
        <f>IF(ISERROR(IF(MOD(IF(AND(B15&gt;='Energy margins'!$F$62,B15&lt;='Energy margins'!$G$62),B15-'Energy margins'!$F$62,""),'Energy margins'!$H$62)=0,'Energy margins'!$E$62,0)),0,IF(MOD(IF(AND(B15&gt;='Energy margins'!$F$62,B15&lt;='Energy margins'!$G$62),B15-'Energy margins'!$F$62,""),'Energy margins'!$H$62)=0,'Energy margins'!$E$62,0))</f>
        <v>0</v>
      </c>
      <c r="U15" s="944">
        <f t="shared" si="4"/>
        <v>158.5616</v>
      </c>
      <c r="V15" s="197"/>
      <c r="W15" s="197">
        <f t="shared" si="5"/>
        <v>158.5616</v>
      </c>
      <c r="X15" s="197">
        <f t="shared" si="1"/>
        <v>-158.5616</v>
      </c>
      <c r="Y15" s="197">
        <f t="shared" si="2"/>
        <v>17.38839999999999</v>
      </c>
      <c r="Z15" s="973">
        <f t="shared" si="6"/>
        <v>0</v>
      </c>
      <c r="AA15" s="974">
        <f t="shared" si="7"/>
        <v>162.67566568047334</v>
      </c>
      <c r="AB15" s="974">
        <f t="shared" si="8"/>
        <v>146.59911242603548</v>
      </c>
      <c r="AC15" s="974">
        <f t="shared" si="9"/>
        <v>-146.59911242603548</v>
      </c>
      <c r="AD15" s="974">
        <f t="shared" si="10"/>
        <v>16.076553254437858</v>
      </c>
      <c r="AE15" s="973">
        <f t="shared" ref="AE15:AE28" si="12">AE14+Z15</f>
        <v>0</v>
      </c>
      <c r="AF15" s="974">
        <f t="shared" si="11"/>
        <v>507.80835798816565</v>
      </c>
      <c r="AG15" s="974">
        <f t="shared" si="11"/>
        <v>2797.3589733491126</v>
      </c>
      <c r="AH15" s="974">
        <f t="shared" si="11"/>
        <v>-2797.3589733491126</v>
      </c>
      <c r="AI15" s="975">
        <f t="shared" si="11"/>
        <v>-2289.5506153609472</v>
      </c>
    </row>
    <row r="16" spans="2:35" x14ac:dyDescent="0.3">
      <c r="B16" s="900">
        <v>4</v>
      </c>
      <c r="C16" s="918">
        <f>'Energy Inputs'!D33</f>
        <v>1</v>
      </c>
      <c r="D16" s="918">
        <f>C16*'Energy Inputs'!$D$24</f>
        <v>30</v>
      </c>
      <c r="E16" s="197">
        <f>'Energy margins'!$E$12</f>
        <v>72</v>
      </c>
      <c r="F16" s="918">
        <f t="shared" si="0"/>
        <v>2160</v>
      </c>
      <c r="G16" s="918">
        <f>'Energy Inputs'!$D$10</f>
        <v>175.95</v>
      </c>
      <c r="H16" s="197">
        <f t="shared" si="3"/>
        <v>2335.9499999999998</v>
      </c>
      <c r="I16" s="199"/>
      <c r="J16" s="920">
        <f>IF(ISERROR(IF(MOD(IF(AND(B16&gt;='Energy margins'!$F$44,B16&lt;='Energy margins'!$G$44),B16-'Energy margins'!$F$44,""),'Energy margins'!$H$44)=0,'Energy margins'!$E$44,0)),0,IF(MOD(IF(AND(B16&gt;='Energy margins'!$F$44,B16&lt;='Energy margins'!$G$44),B16-'Energy margins'!$F$44,""),'Energy margins'!$H$44)=0,'Energy margins'!$E$44,0))</f>
        <v>0</v>
      </c>
      <c r="K16" s="918">
        <f>IF(ISERROR(IF(MOD(IF(AND(B16&gt;='Energy margins'!$F$45,B16&lt;='Energy margins'!$G$45),B16-'Energy margins'!$F$45,""),'Energy margins'!$H$45)=0,'Energy margins'!$E$45,0)),0,IF(MOD(IF(AND(B16&gt;='Energy margins'!$F$45,B16&lt;='Energy margins'!$G$45),B16-'Energy margins'!$F$45,""),'Energy margins'!$H$45)=0,'Energy margins'!$E$45,0))</f>
        <v>45.561599999999999</v>
      </c>
      <c r="L16" s="918">
        <f>IF(ISERROR(IF(MOD(IF(AND(B16&gt;='Energy margins'!$F$46,B16&lt;='Energy margins'!$G$46),B16-'Energy margins'!$F$46,""),'Energy margins'!$H$46)=0,'Energy margins'!$E$46,0)),0,IF(MOD(IF(AND(B16&gt;='Energy margins'!$F$46,B16&lt;='Energy margins'!$G$46),B16-'Energy margins'!$F$46,""),'Energy margins'!$H$46)=0,'Energy margins'!$E$46,0))</f>
        <v>0</v>
      </c>
      <c r="M16" s="918">
        <f>IF(ISERROR(IF(MOD(IF(AND(B16&gt;='Energy margins'!$F$47,B16&lt;='Energy margins'!$G$47),B16-'Energy margins'!$F$47,""),'Energy margins'!$H$47)=0,'Energy margins'!$E$47,0)),0,IF(MOD(IF(AND(B16&gt;='Energy margins'!$F$47,B16&lt;='Energy margins'!$G$47),B16-'Energy margins'!$F$47,""),'Energy margins'!$H$47)=0,'Energy margins'!$E$47,0))</f>
        <v>19.974783999999993</v>
      </c>
      <c r="N16" s="918">
        <f>IF(ISERROR(IF(MOD(IF(AND(B16&gt;='Energy margins'!$F$50,B16&lt;='Energy margins'!$G$50),B16-'Energy margins'!$F$50,""),'Energy margins'!$H$50)=0,'Energy margins'!$E$50,0)),0,IF(MOD(IF(AND(B16&gt;='Energy margins'!$F$50,B16&lt;='Energy margins'!$G$50),B16-'Energy margins'!$F$50,""),'Energy margins'!$H$50)=0,'Energy margins'!$E$50,0))</f>
        <v>54.36</v>
      </c>
      <c r="O16" s="918">
        <f>IF(ISERROR(IF(MOD(IF(AND(B16&gt;='Energy margins'!$F$53,B16&lt;='Energy margins'!$G$53),B16-'Energy margins'!$F$53,""),'Energy margins'!$H$53)=0,'Energy margins'!$E$53,0)),0,IF(MOD(IF(AND(B16&gt;='Energy margins'!$F$53,B16&lt;='Energy margins'!$G$53),B16-'Energy margins'!$F$53,""),'Energy margins'!$H$53)=0,'Energy margins'!$E$53,0))</f>
        <v>53.35</v>
      </c>
      <c r="P16" s="918">
        <f>IF(ISERROR(IF(MOD(IF(AND(B16&gt;='Energy margins'!$F$56,B16&lt;='Energy margins'!$G$56),B16-'Energy margins'!$F$56,""),'Energy margins'!$H$56)=0,'Energy margins'!$E$56,0)),0,IF(MOD(IF(AND(B16&gt;='Energy margins'!$F$56,B16&lt;='Energy margins'!$G$56),B16-'Energy margins'!$F$56,""),'Energy margins'!$H$56)=0,'Energy margins'!$E$56,0))</f>
        <v>23.112000000000002</v>
      </c>
      <c r="Q16" s="918">
        <f>IF(ISERROR(IF(MOD(IF(AND(B16&gt;='Energy margins'!$F$59,B16&lt;='Energy margins'!$G$59),B16-'Energy margins'!$F$59,""),'Energy margins'!$H$59)=0,'Energy margins'!$E$59,0)),0,IF(MOD(IF(AND(B16&gt;='Energy margins'!$F$59,B16&lt;='Energy margins'!$G$59),B16-'Energy margins'!$F$59,""),'Energy margins'!$H$59)=0,'Energy margins'!$E$59,0))</f>
        <v>508.49999999999994</v>
      </c>
      <c r="R16" s="918">
        <f>IF(ISERROR(IF(MOD(IF(AND(B16&gt;='Energy margins'!$F$60,B16&lt;='Energy margins'!$G$60),B16-'Energy margins'!$F$60,""),'Energy margins'!$H$60)=0,'Energy margins'!$E$60,0)),0,IF(MOD(IF(AND(B16&gt;='Energy margins'!$F$60,B16&lt;='Energy margins'!$G$60),B16-'Energy margins'!$F$60,""),'Energy margins'!$H$60)=0,'Energy margins'!$E$60,0))</f>
        <v>0</v>
      </c>
      <c r="S16" s="918">
        <f>IF(ISERROR(IF(MOD(IF(AND(B16&gt;='Energy margins'!$F$61,B16&lt;='Energy margins'!$G$61),B16-'Energy margins'!$F$61,""),'Energy margins'!$H$61)=0,'Energy margins'!$E$61,0)),0,IF(MOD(IF(AND(B16&gt;='Energy margins'!$F$61,B16&lt;='Energy margins'!$G$61),B16-'Energy margins'!$F$61,""),'Energy margins'!$H$61)=0,'Energy margins'!$E$61,0))</f>
        <v>0</v>
      </c>
      <c r="T16" s="918">
        <f>IF(ISERROR(IF(MOD(IF(AND(B16&gt;='Energy margins'!$F$62,B16&lt;='Energy margins'!$G$62),B16-'Energy margins'!$F$62,""),'Energy margins'!$H$62)=0,'Energy margins'!$E$62,0)),0,IF(MOD(IF(AND(B16&gt;='Energy margins'!$F$62,B16&lt;='Energy margins'!$G$62),B16-'Energy margins'!$F$62,""),'Energy margins'!$H$62)=0,'Energy margins'!$E$62,0))</f>
        <v>0</v>
      </c>
      <c r="U16" s="944">
        <f t="shared" si="4"/>
        <v>704.85838399999989</v>
      </c>
      <c r="V16" s="197"/>
      <c r="W16" s="197">
        <f t="shared" si="5"/>
        <v>704.85838399999989</v>
      </c>
      <c r="X16" s="197">
        <f t="shared" si="1"/>
        <v>1455.1416160000001</v>
      </c>
      <c r="Y16" s="197">
        <f t="shared" si="2"/>
        <v>1631.0916159999999</v>
      </c>
      <c r="Z16" s="973">
        <f t="shared" si="6"/>
        <v>1920.2321347291761</v>
      </c>
      <c r="AA16" s="974">
        <f t="shared" si="7"/>
        <v>156.41890930814745</v>
      </c>
      <c r="AB16" s="974">
        <f t="shared" si="8"/>
        <v>626.61653675466528</v>
      </c>
      <c r="AC16" s="974">
        <f t="shared" si="9"/>
        <v>1293.6155979745106</v>
      </c>
      <c r="AD16" s="974">
        <f t="shared" si="10"/>
        <v>1450.0345072826581</v>
      </c>
      <c r="AE16" s="973">
        <f t="shared" si="12"/>
        <v>1920.2321347291761</v>
      </c>
      <c r="AF16" s="974">
        <f t="shared" si="11"/>
        <v>664.22726729631313</v>
      </c>
      <c r="AG16" s="974">
        <f t="shared" si="11"/>
        <v>3423.9755101037781</v>
      </c>
      <c r="AH16" s="974">
        <f t="shared" si="11"/>
        <v>-1503.743375374602</v>
      </c>
      <c r="AI16" s="975">
        <f t="shared" si="11"/>
        <v>-839.51610807828911</v>
      </c>
    </row>
    <row r="17" spans="2:35" x14ac:dyDescent="0.3">
      <c r="B17" s="900">
        <v>5</v>
      </c>
      <c r="C17" s="918">
        <f>'Energy Inputs'!D34</f>
        <v>0</v>
      </c>
      <c r="D17" s="918">
        <f>C17*'Energy Inputs'!$D$24</f>
        <v>0</v>
      </c>
      <c r="E17" s="197">
        <f>'Energy margins'!$E$12</f>
        <v>72</v>
      </c>
      <c r="F17" s="918">
        <f t="shared" si="0"/>
        <v>0</v>
      </c>
      <c r="G17" s="918">
        <f>'Energy Inputs'!$D$10</f>
        <v>175.95</v>
      </c>
      <c r="H17" s="197">
        <f t="shared" si="3"/>
        <v>175.95</v>
      </c>
      <c r="I17" s="199"/>
      <c r="J17" s="920">
        <f>IF(ISERROR(IF(MOD(IF(AND(B17&gt;='Energy margins'!$F$44,B17&lt;='Energy margins'!$G$44),B17-'Energy margins'!$F$44,""),'Energy margins'!$H$44)=0,'Energy margins'!$E$44,0)),0,IF(MOD(IF(AND(B17&gt;='Energy margins'!$F$44,B17&lt;='Energy margins'!$G$44),B17-'Energy margins'!$F$44,""),'Energy margins'!$H$44)=0,'Energy margins'!$E$44,0))</f>
        <v>0</v>
      </c>
      <c r="K17" s="918">
        <f>IF(ISERROR(IF(MOD(IF(AND(B17&gt;='Energy margins'!$F$45,B17&lt;='Energy margins'!$G$45),B17-'Energy margins'!$F$45,""),'Energy margins'!$H$45)=0,'Energy margins'!$E$45,0)),0,IF(MOD(IF(AND(B17&gt;='Energy margins'!$F$45,B17&lt;='Energy margins'!$G$45),B17-'Energy margins'!$F$45,""),'Energy margins'!$H$45)=0,'Energy margins'!$E$45,0))</f>
        <v>45.561599999999999</v>
      </c>
      <c r="L17" s="918">
        <f>IF(ISERROR(IF(MOD(IF(AND(B17&gt;='Energy margins'!$F$46,B17&lt;='Energy margins'!$G$46),B17-'Energy margins'!$F$46,""),'Energy margins'!$H$46)=0,'Energy margins'!$E$46,0)),0,IF(MOD(IF(AND(B17&gt;='Energy margins'!$F$46,B17&lt;='Energy margins'!$G$46),B17-'Energy margins'!$F$46,""),'Energy margins'!$H$46)=0,'Energy margins'!$E$46,0))</f>
        <v>0</v>
      </c>
      <c r="M17" s="918">
        <f>IF(ISERROR(IF(MOD(IF(AND(B17&gt;='Energy margins'!$F$47,B17&lt;='Energy margins'!$G$47),B17-'Energy margins'!$F$47,""),'Energy margins'!$H$47)=0,'Energy margins'!$E$47,0)),0,IF(MOD(IF(AND(B17&gt;='Energy margins'!$F$47,B17&lt;='Energy margins'!$G$47),B17-'Energy margins'!$F$47,""),'Energy margins'!$H$47)=0,'Energy margins'!$E$47,0))</f>
        <v>0</v>
      </c>
      <c r="N17" s="918">
        <f>IF(ISERROR(IF(MOD(IF(AND(B17&gt;='Energy margins'!$F$50,B17&lt;='Energy margins'!$G$50),B17-'Energy margins'!$F$50,""),'Energy margins'!$H$50)=0,'Energy margins'!$E$50,0)),0,IF(MOD(IF(AND(B17&gt;='Energy margins'!$F$50,B17&lt;='Energy margins'!$G$50),B17-'Energy margins'!$F$50,""),'Energy margins'!$H$50)=0,'Energy margins'!$E$50,0))</f>
        <v>0</v>
      </c>
      <c r="O17" s="918">
        <f>IF(ISERROR(IF(MOD(IF(AND(B17&gt;='Energy margins'!$F$53,B17&lt;='Energy margins'!$G$53),B17-'Energy margins'!$F$53,""),'Energy margins'!$H$53)=0,'Energy margins'!$E$53,0)),0,IF(MOD(IF(AND(B17&gt;='Energy margins'!$F$53,B17&lt;='Energy margins'!$G$53),B17-'Energy margins'!$F$53,""),'Energy margins'!$H$53)=0,'Energy margins'!$E$53,0))</f>
        <v>0</v>
      </c>
      <c r="P17" s="918">
        <f>IF(ISERROR(IF(MOD(IF(AND(B17&gt;='Energy margins'!$F$56,B17&lt;='Energy margins'!$G$56),B17-'Energy margins'!$F$56,""),'Energy margins'!$H$56)=0,'Energy margins'!$E$56,0)),0,IF(MOD(IF(AND(B17&gt;='Energy margins'!$F$56,B17&lt;='Energy margins'!$G$56),B17-'Energy margins'!$F$56,""),'Energy margins'!$H$56)=0,'Energy margins'!$E$56,0))</f>
        <v>0</v>
      </c>
      <c r="Q17" s="918">
        <f>IF(ISERROR(IF(MOD(IF(AND(B17&gt;='Energy margins'!$F$59,B17&lt;='Energy margins'!$G$59),B17-'Energy margins'!$F$59,""),'Energy margins'!$H$59)=0,'Energy margins'!$E$59,0)),0,IF(MOD(IF(AND(B17&gt;='Energy margins'!$F$59,B17&lt;='Energy margins'!$G$59),B17-'Energy margins'!$F$59,""),'Energy margins'!$H$59)=0,'Energy margins'!$E$59,0))</f>
        <v>0</v>
      </c>
      <c r="R17" s="918">
        <f>IF(ISERROR(IF(MOD(IF(AND(B17&gt;='Energy margins'!$F$60,B17&lt;='Energy margins'!$G$60),B17-'Energy margins'!$F$60,""),'Energy margins'!$H$60)=0,'Energy margins'!$E$60,0)),0,IF(MOD(IF(AND(B17&gt;='Energy margins'!$F$60,B17&lt;='Energy margins'!$G$60),B17-'Energy margins'!$F$60,""),'Energy margins'!$H$60)=0,'Energy margins'!$E$60,0))</f>
        <v>0</v>
      </c>
      <c r="S17" s="918">
        <f>IF(ISERROR(IF(MOD(IF(AND(B17&gt;='Energy margins'!$F$61,B17&lt;='Energy margins'!$G$61),B17-'Energy margins'!$F$61,""),'Energy margins'!$H$61)=0,'Energy margins'!$E$61,0)),0,IF(MOD(IF(AND(B17&gt;='Energy margins'!$F$61,B17&lt;='Energy margins'!$G$61),B17-'Energy margins'!$F$61,""),'Energy margins'!$H$61)=0,'Energy margins'!$E$61,0))</f>
        <v>0</v>
      </c>
      <c r="T17" s="918">
        <f>IF(ISERROR(IF(MOD(IF(AND(B17&gt;='Energy margins'!$F$62,B17&lt;='Energy margins'!$G$62),B17-'Energy margins'!$F$62,""),'Energy margins'!$H$62)=0,'Energy margins'!$E$62,0)),0,IF(MOD(IF(AND(B17&gt;='Energy margins'!$F$62,B17&lt;='Energy margins'!$G$62),B17-'Energy margins'!$F$62,""),'Energy margins'!$H$62)=0,'Energy margins'!$E$62,0))</f>
        <v>0</v>
      </c>
      <c r="U17" s="944">
        <f t="shared" si="4"/>
        <v>45.561599999999999</v>
      </c>
      <c r="V17" s="197"/>
      <c r="W17" s="197">
        <f t="shared" si="5"/>
        <v>45.561599999999999</v>
      </c>
      <c r="X17" s="197">
        <f t="shared" si="1"/>
        <v>-45.561599999999999</v>
      </c>
      <c r="Y17" s="197">
        <f t="shared" si="2"/>
        <v>130.38839999999999</v>
      </c>
      <c r="Z17" s="973">
        <f t="shared" si="6"/>
        <v>0</v>
      </c>
      <c r="AA17" s="974">
        <f t="shared" si="7"/>
        <v>150.40279741168024</v>
      </c>
      <c r="AB17" s="974">
        <f t="shared" si="8"/>
        <v>38.946246630019949</v>
      </c>
      <c r="AC17" s="974">
        <f t="shared" si="9"/>
        <v>-38.946246630019949</v>
      </c>
      <c r="AD17" s="974">
        <f t="shared" si="10"/>
        <v>111.45655078166028</v>
      </c>
      <c r="AE17" s="973">
        <f t="shared" si="12"/>
        <v>1920.2321347291761</v>
      </c>
      <c r="AF17" s="974">
        <f t="shared" si="11"/>
        <v>814.63006470799337</v>
      </c>
      <c r="AG17" s="974">
        <f t="shared" si="11"/>
        <v>3462.9217567337982</v>
      </c>
      <c r="AH17" s="974">
        <f t="shared" si="11"/>
        <v>-1542.6896220046219</v>
      </c>
      <c r="AI17" s="975">
        <f t="shared" si="11"/>
        <v>-728.05955729662878</v>
      </c>
    </row>
    <row r="18" spans="2:35" x14ac:dyDescent="0.3">
      <c r="B18" s="900">
        <v>6</v>
      </c>
      <c r="C18" s="918">
        <f>'Energy Inputs'!D35</f>
        <v>0</v>
      </c>
      <c r="D18" s="918">
        <f>C18*'Energy Inputs'!$D$24</f>
        <v>0</v>
      </c>
      <c r="E18" s="197">
        <f>'Energy margins'!$E$12</f>
        <v>72</v>
      </c>
      <c r="F18" s="918">
        <f t="shared" si="0"/>
        <v>0</v>
      </c>
      <c r="G18" s="918">
        <f>'Energy Inputs'!$D$10</f>
        <v>175.95</v>
      </c>
      <c r="H18" s="197">
        <f t="shared" si="3"/>
        <v>175.95</v>
      </c>
      <c r="I18" s="199"/>
      <c r="J18" s="920">
        <f>IF(ISERROR(IF(MOD(IF(AND(B18&gt;='Energy margins'!$F$44,B18&lt;='Energy margins'!$G$44),B18-'Energy margins'!$F$44,""),'Energy margins'!$H$44)=0,'Energy margins'!$E$44,0)),0,IF(MOD(IF(AND(B18&gt;='Energy margins'!$F$44,B18&lt;='Energy margins'!$G$44),B18-'Energy margins'!$F$44,""),'Energy margins'!$H$44)=0,'Energy margins'!$E$44,0))</f>
        <v>0</v>
      </c>
      <c r="K18" s="918">
        <f>IF(ISERROR(IF(MOD(IF(AND(B18&gt;='Energy margins'!$F$45,B18&lt;='Energy margins'!$G$45),B18-'Energy margins'!$F$45,""),'Energy margins'!$H$45)=0,'Energy margins'!$E$45,0)),0,IF(MOD(IF(AND(B18&gt;='Energy margins'!$F$45,B18&lt;='Energy margins'!$G$45),B18-'Energy margins'!$F$45,""),'Energy margins'!$H$45)=0,'Energy margins'!$E$45,0))</f>
        <v>45.561599999999999</v>
      </c>
      <c r="L18" s="918">
        <f>IF(ISERROR(IF(MOD(IF(AND(B18&gt;='Energy margins'!$F$46,B18&lt;='Energy margins'!$G$46),B18-'Energy margins'!$F$46,""),'Energy margins'!$H$46)=0,'Energy margins'!$E$46,0)),0,IF(MOD(IF(AND(B18&gt;='Energy margins'!$F$46,B18&lt;='Energy margins'!$G$46),B18-'Energy margins'!$F$46,""),'Energy margins'!$H$46)=0,'Energy margins'!$E$46,0))</f>
        <v>0</v>
      </c>
      <c r="M18" s="918">
        <f>IF(ISERROR(IF(MOD(IF(AND(B18&gt;='Energy margins'!$F$47,B18&lt;='Energy margins'!$G$47),B18-'Energy margins'!$F$47,""),'Energy margins'!$H$47)=0,'Energy margins'!$E$47,0)),0,IF(MOD(IF(AND(B18&gt;='Energy margins'!$F$47,B18&lt;='Energy margins'!$G$47),B18-'Energy margins'!$F$47,""),'Energy margins'!$H$47)=0,'Energy margins'!$E$47,0))</f>
        <v>0</v>
      </c>
      <c r="N18" s="918">
        <f>IF(ISERROR(IF(MOD(IF(AND(B18&gt;='Energy margins'!$F$50,B18&lt;='Energy margins'!$G$50),B18-'Energy margins'!$F$50,""),'Energy margins'!$H$50)=0,'Energy margins'!$E$50,0)),0,IF(MOD(IF(AND(B18&gt;='Energy margins'!$F$50,B18&lt;='Energy margins'!$G$50),B18-'Energy margins'!$F$50,""),'Energy margins'!$H$50)=0,'Energy margins'!$E$50,0))</f>
        <v>0</v>
      </c>
      <c r="O18" s="918">
        <f>IF(ISERROR(IF(MOD(IF(AND(B18&gt;='Energy margins'!$F$53,B18&lt;='Energy margins'!$G$53),B18-'Energy margins'!$F$53,""),'Energy margins'!$H$53)=0,'Energy margins'!$E$53,0)),0,IF(MOD(IF(AND(B18&gt;='Energy margins'!$F$53,B18&lt;='Energy margins'!$G$53),B18-'Energy margins'!$F$53,""),'Energy margins'!$H$53)=0,'Energy margins'!$E$53,0))</f>
        <v>0</v>
      </c>
      <c r="P18" s="918">
        <f>IF(ISERROR(IF(MOD(IF(AND(B18&gt;='Energy margins'!$F$56,B18&lt;='Energy margins'!$G$56),B18-'Energy margins'!$F$56,""),'Energy margins'!$H$56)=0,'Energy margins'!$E$56,0)),0,IF(MOD(IF(AND(B18&gt;='Energy margins'!$F$56,B18&lt;='Energy margins'!$G$56),B18-'Energy margins'!$F$56,""),'Energy margins'!$H$56)=0,'Energy margins'!$E$56,0))</f>
        <v>0</v>
      </c>
      <c r="Q18" s="918">
        <f>IF(ISERROR(IF(MOD(IF(AND(B18&gt;='Energy margins'!$F$59,B18&lt;='Energy margins'!$G$59),B18-'Energy margins'!$F$59,""),'Energy margins'!$H$59)=0,'Energy margins'!$E$59,0)),0,IF(MOD(IF(AND(B18&gt;='Energy margins'!$F$59,B18&lt;='Energy margins'!$G$59),B18-'Energy margins'!$F$59,""),'Energy margins'!$H$59)=0,'Energy margins'!$E$59,0))</f>
        <v>0</v>
      </c>
      <c r="R18" s="918">
        <f>IF(ISERROR(IF(MOD(IF(AND(B18&gt;='Energy margins'!$F$60,B18&lt;='Energy margins'!$G$60),B18-'Energy margins'!$F$60,""),'Energy margins'!$H$60)=0,'Energy margins'!$E$60,0)),0,IF(MOD(IF(AND(B18&gt;='Energy margins'!$F$60,B18&lt;='Energy margins'!$G$60),B18-'Energy margins'!$F$60,""),'Energy margins'!$H$60)=0,'Energy margins'!$E$60,0))</f>
        <v>0</v>
      </c>
      <c r="S18" s="918">
        <f>IF(ISERROR(IF(MOD(IF(AND(B18&gt;='Energy margins'!$F$61,B18&lt;='Energy margins'!$G$61),B18-'Energy margins'!$F$61,""),'Energy margins'!$H$61)=0,'Energy margins'!$E$61,0)),0,IF(MOD(IF(AND(B18&gt;='Energy margins'!$F$61,B18&lt;='Energy margins'!$G$61),B18-'Energy margins'!$F$61,""),'Energy margins'!$H$61)=0,'Energy margins'!$E$61,0))</f>
        <v>0</v>
      </c>
      <c r="T18" s="918">
        <f>IF(ISERROR(IF(MOD(IF(AND(B18&gt;='Energy margins'!$F$62,B18&lt;='Energy margins'!$G$62),B18-'Energy margins'!$F$62,""),'Energy margins'!$H$62)=0,'Energy margins'!$E$62,0)),0,IF(MOD(IF(AND(B18&gt;='Energy margins'!$F$62,B18&lt;='Energy margins'!$G$62),B18-'Energy margins'!$F$62,""),'Energy margins'!$H$62)=0,'Energy margins'!$E$62,0))</f>
        <v>0</v>
      </c>
      <c r="U18" s="944">
        <f t="shared" si="4"/>
        <v>45.561599999999999</v>
      </c>
      <c r="V18" s="197"/>
      <c r="W18" s="197">
        <f t="shared" si="5"/>
        <v>45.561599999999999</v>
      </c>
      <c r="X18" s="197">
        <f t="shared" si="1"/>
        <v>-45.561599999999999</v>
      </c>
      <c r="Y18" s="197">
        <f t="shared" si="2"/>
        <v>130.38839999999999</v>
      </c>
      <c r="Z18" s="973">
        <f t="shared" si="6"/>
        <v>0</v>
      </c>
      <c r="AA18" s="974">
        <f t="shared" si="7"/>
        <v>144.61807443430789</v>
      </c>
      <c r="AB18" s="974">
        <f t="shared" si="8"/>
        <v>37.448314067326869</v>
      </c>
      <c r="AC18" s="974">
        <f t="shared" si="9"/>
        <v>-37.448314067326869</v>
      </c>
      <c r="AD18" s="974">
        <f t="shared" si="10"/>
        <v>107.16976036698102</v>
      </c>
      <c r="AE18" s="973">
        <f t="shared" si="12"/>
        <v>1920.2321347291761</v>
      </c>
      <c r="AF18" s="974">
        <f t="shared" si="11"/>
        <v>959.24813914230128</v>
      </c>
      <c r="AG18" s="974">
        <f t="shared" si="11"/>
        <v>3500.3700708011252</v>
      </c>
      <c r="AH18" s="974">
        <f t="shared" si="11"/>
        <v>-1580.1379360719488</v>
      </c>
      <c r="AI18" s="975">
        <f t="shared" si="11"/>
        <v>-620.88979692964779</v>
      </c>
    </row>
    <row r="19" spans="2:35" x14ac:dyDescent="0.3">
      <c r="B19" s="900">
        <v>7</v>
      </c>
      <c r="C19" s="918">
        <f>'Energy Inputs'!D36</f>
        <v>1</v>
      </c>
      <c r="D19" s="918">
        <f>C19*'Energy Inputs'!$D$24</f>
        <v>30</v>
      </c>
      <c r="E19" s="197">
        <f>'Energy margins'!$E$12</f>
        <v>72</v>
      </c>
      <c r="F19" s="918">
        <f t="shared" si="0"/>
        <v>2160</v>
      </c>
      <c r="G19" s="918">
        <f>'Energy Inputs'!$D$10</f>
        <v>175.95</v>
      </c>
      <c r="H19" s="197">
        <f t="shared" si="3"/>
        <v>2335.9499999999998</v>
      </c>
      <c r="I19" s="199"/>
      <c r="J19" s="920">
        <f>IF(ISERROR(IF(MOD(IF(AND(B19&gt;='Energy margins'!$F$44,B19&lt;='Energy margins'!$G$44),B19-'Energy margins'!$F$44,""),'Energy margins'!$H$44)=0,'Energy margins'!$E$44,0)),0,IF(MOD(IF(AND(B19&gt;='Energy margins'!$F$44,B19&lt;='Energy margins'!$G$44),B19-'Energy margins'!$F$44,""),'Energy margins'!$H$44)=0,'Energy margins'!$E$44,0))</f>
        <v>0</v>
      </c>
      <c r="K19" s="918">
        <f>IF(ISERROR(IF(MOD(IF(AND(B19&gt;='Energy margins'!$F$45,B19&lt;='Energy margins'!$G$45),B19-'Energy margins'!$F$45,""),'Energy margins'!$H$45)=0,'Energy margins'!$E$45,0)),0,IF(MOD(IF(AND(B19&gt;='Energy margins'!$F$45,B19&lt;='Energy margins'!$G$45),B19-'Energy margins'!$F$45,""),'Energy margins'!$H$45)=0,'Energy margins'!$E$45,0))</f>
        <v>45.561599999999999</v>
      </c>
      <c r="L19" s="918">
        <f>IF(ISERROR(IF(MOD(IF(AND(B19&gt;='Energy margins'!$F$46,B19&lt;='Energy margins'!$G$46),B19-'Energy margins'!$F$46,""),'Energy margins'!$H$46)=0,'Energy margins'!$E$46,0)),0,IF(MOD(IF(AND(B19&gt;='Energy margins'!$F$46,B19&lt;='Energy margins'!$G$46),B19-'Energy margins'!$F$46,""),'Energy margins'!$H$46)=0,'Energy margins'!$E$46,0))</f>
        <v>0</v>
      </c>
      <c r="M19" s="918">
        <f>IF(ISERROR(IF(MOD(IF(AND(B19&gt;='Energy margins'!$F$47,B19&lt;='Energy margins'!$G$47),B19-'Energy margins'!$F$47,""),'Energy margins'!$H$47)=0,'Energy margins'!$E$47,0)),0,IF(MOD(IF(AND(B19&gt;='Energy margins'!$F$47,B19&lt;='Energy margins'!$G$47),B19-'Energy margins'!$F$47,""),'Energy margins'!$H$47)=0,'Energy margins'!$E$47,0))</f>
        <v>19.974783999999993</v>
      </c>
      <c r="N19" s="918">
        <f>IF(ISERROR(IF(MOD(IF(AND(B19&gt;='Energy margins'!$F$50,B19&lt;='Energy margins'!$G$50),B19-'Energy margins'!$F$50,""),'Energy margins'!$H$50)=0,'Energy margins'!$E$50,0)),0,IF(MOD(IF(AND(B19&gt;='Energy margins'!$F$50,B19&lt;='Energy margins'!$G$50),B19-'Energy margins'!$F$50,""),'Energy margins'!$H$50)=0,'Energy margins'!$E$50,0))</f>
        <v>54.36</v>
      </c>
      <c r="O19" s="918">
        <f>IF(ISERROR(IF(MOD(IF(AND(B19&gt;='Energy margins'!$F$53,B19&lt;='Energy margins'!$G$53),B19-'Energy margins'!$F$53,""),'Energy margins'!$H$53)=0,'Energy margins'!$E$53,0)),0,IF(MOD(IF(AND(B19&gt;='Energy margins'!$F$53,B19&lt;='Energy margins'!$G$53),B19-'Energy margins'!$F$53,""),'Energy margins'!$H$53)=0,'Energy margins'!$E$53,0))</f>
        <v>53.35</v>
      </c>
      <c r="P19" s="918">
        <f>IF(ISERROR(IF(MOD(IF(AND(B19&gt;='Energy margins'!$F$56,B19&lt;='Energy margins'!$G$56),B19-'Energy margins'!$F$56,""),'Energy margins'!$H$56)=0,'Energy margins'!$E$56,0)),0,IF(MOD(IF(AND(B19&gt;='Energy margins'!$F$56,B19&lt;='Energy margins'!$G$56),B19-'Energy margins'!$F$56,""),'Energy margins'!$H$56)=0,'Energy margins'!$E$56,0))</f>
        <v>23.112000000000002</v>
      </c>
      <c r="Q19" s="918">
        <f>IF(ISERROR(IF(MOD(IF(AND(B19&gt;='Energy margins'!$F$59,B19&lt;='Energy margins'!$G$59),B19-'Energy margins'!$F$59,""),'Energy margins'!$H$59)=0,'Energy margins'!$E$59,0)),0,IF(MOD(IF(AND(B19&gt;='Energy margins'!$F$59,B19&lt;='Energy margins'!$G$59),B19-'Energy margins'!$F$59,""),'Energy margins'!$H$59)=0,'Energy margins'!$E$59,0))</f>
        <v>508.49999999999994</v>
      </c>
      <c r="R19" s="918">
        <f>IF(ISERROR(IF(MOD(IF(AND(B19&gt;='Energy margins'!$F$60,B19&lt;='Energy margins'!$G$60),B19-'Energy margins'!$F$60,""),'Energy margins'!$H$60)=0,'Energy margins'!$E$60,0)),0,IF(MOD(IF(AND(B19&gt;='Energy margins'!$F$60,B19&lt;='Energy margins'!$G$60),B19-'Energy margins'!$F$60,""),'Energy margins'!$H$60)=0,'Energy margins'!$E$60,0))</f>
        <v>0</v>
      </c>
      <c r="S19" s="918">
        <f>IF(ISERROR(IF(MOD(IF(AND(B19&gt;='Energy margins'!$F$61,B19&lt;='Energy margins'!$G$61),B19-'Energy margins'!$F$61,""),'Energy margins'!$H$61)=0,'Energy margins'!$E$61,0)),0,IF(MOD(IF(AND(B19&gt;='Energy margins'!$F$61,B19&lt;='Energy margins'!$G$61),B19-'Energy margins'!$F$61,""),'Energy margins'!$H$61)=0,'Energy margins'!$E$61,0))</f>
        <v>0</v>
      </c>
      <c r="T19" s="918">
        <f>IF(ISERROR(IF(MOD(IF(AND(B19&gt;='Energy margins'!$F$62,B19&lt;='Energy margins'!$G$62),B19-'Energy margins'!$F$62,""),'Energy margins'!$H$62)=0,'Energy margins'!$E$62,0)),0,IF(MOD(IF(AND(B19&gt;='Energy margins'!$F$62,B19&lt;='Energy margins'!$G$62),B19-'Energy margins'!$F$62,""),'Energy margins'!$H$62)=0,'Energy margins'!$E$62,0))</f>
        <v>0</v>
      </c>
      <c r="U19" s="944">
        <f t="shared" si="4"/>
        <v>704.85838399999989</v>
      </c>
      <c r="V19" s="197"/>
      <c r="W19" s="197">
        <f t="shared" si="5"/>
        <v>704.85838399999989</v>
      </c>
      <c r="X19" s="197">
        <f t="shared" si="1"/>
        <v>1455.1416160000001</v>
      </c>
      <c r="Y19" s="197">
        <f t="shared" si="2"/>
        <v>1631.0916159999999</v>
      </c>
      <c r="Z19" s="973">
        <f t="shared" si="6"/>
        <v>1707.0793755771147</v>
      </c>
      <c r="AA19" s="974">
        <f t="shared" si="7"/>
        <v>139.05584080221914</v>
      </c>
      <c r="AB19" s="974">
        <f t="shared" si="8"/>
        <v>557.05981945787687</v>
      </c>
      <c r="AC19" s="974">
        <f t="shared" si="9"/>
        <v>1150.0195561192379</v>
      </c>
      <c r="AD19" s="974">
        <f t="shared" si="10"/>
        <v>1289.0753969214568</v>
      </c>
      <c r="AE19" s="973">
        <f t="shared" si="12"/>
        <v>3627.311510306291</v>
      </c>
      <c r="AF19" s="974">
        <f t="shared" si="11"/>
        <v>1098.3039799445205</v>
      </c>
      <c r="AG19" s="974">
        <f t="shared" si="11"/>
        <v>4057.4298902590021</v>
      </c>
      <c r="AH19" s="974">
        <f t="shared" si="11"/>
        <v>-430.11837995271094</v>
      </c>
      <c r="AI19" s="975">
        <f t="shared" si="11"/>
        <v>668.185599991809</v>
      </c>
    </row>
    <row r="20" spans="2:35" x14ac:dyDescent="0.3">
      <c r="B20" s="900">
        <v>8</v>
      </c>
      <c r="C20" s="918">
        <f>'Energy Inputs'!D37</f>
        <v>0</v>
      </c>
      <c r="D20" s="918">
        <f>C20*'Energy Inputs'!$D$24</f>
        <v>0</v>
      </c>
      <c r="E20" s="197">
        <f>'Energy margins'!$E$12</f>
        <v>72</v>
      </c>
      <c r="F20" s="918">
        <f t="shared" si="0"/>
        <v>0</v>
      </c>
      <c r="G20" s="918">
        <f>'Energy Inputs'!$D$10</f>
        <v>175.95</v>
      </c>
      <c r="H20" s="197">
        <f t="shared" si="3"/>
        <v>175.95</v>
      </c>
      <c r="I20" s="199"/>
      <c r="J20" s="920">
        <f>IF(ISERROR(IF(MOD(IF(AND(B20&gt;='Energy margins'!$F$44,B20&lt;='Energy margins'!$G$44),B20-'Energy margins'!$F$44,""),'Energy margins'!$H$44)=0,'Energy margins'!$E$44,0)),0,IF(MOD(IF(AND(B20&gt;='Energy margins'!$F$44,B20&lt;='Energy margins'!$G$44),B20-'Energy margins'!$F$44,""),'Energy margins'!$H$44)=0,'Energy margins'!$E$44,0))</f>
        <v>0</v>
      </c>
      <c r="K20" s="918">
        <f>IF(ISERROR(IF(MOD(IF(AND(B20&gt;='Energy margins'!$F$45,B20&lt;='Energy margins'!$G$45),B20-'Energy margins'!$F$45,""),'Energy margins'!$H$45)=0,'Energy margins'!$E$45,0)),0,IF(MOD(IF(AND(B20&gt;='Energy margins'!$F$45,B20&lt;='Energy margins'!$G$45),B20-'Energy margins'!$F$45,""),'Energy margins'!$H$45)=0,'Energy margins'!$E$45,0))</f>
        <v>45.561599999999999</v>
      </c>
      <c r="L20" s="918">
        <f>IF(ISERROR(IF(MOD(IF(AND(B20&gt;='Energy margins'!$F$46,B20&lt;='Energy margins'!$G$46),B20-'Energy margins'!$F$46,""),'Energy margins'!$H$46)=0,'Energy margins'!$E$46,0)),0,IF(MOD(IF(AND(B20&gt;='Energy margins'!$F$46,B20&lt;='Energy margins'!$G$46),B20-'Energy margins'!$F$46,""),'Energy margins'!$H$46)=0,'Energy margins'!$E$46,0))</f>
        <v>0</v>
      </c>
      <c r="M20" s="918">
        <f>IF(ISERROR(IF(MOD(IF(AND(B20&gt;='Energy margins'!$F$47,B20&lt;='Energy margins'!$G$47),B20-'Energy margins'!$F$47,""),'Energy margins'!$H$47)=0,'Energy margins'!$E$47,0)),0,IF(MOD(IF(AND(B20&gt;='Energy margins'!$F$47,B20&lt;='Energy margins'!$G$47),B20-'Energy margins'!$F$47,""),'Energy margins'!$H$47)=0,'Energy margins'!$E$47,0))</f>
        <v>0</v>
      </c>
      <c r="N20" s="918">
        <f>IF(ISERROR(IF(MOD(IF(AND(B20&gt;='Energy margins'!$F$50,B20&lt;='Energy margins'!$G$50),B20-'Energy margins'!$F$50,""),'Energy margins'!$H$50)=0,'Energy margins'!$E$50,0)),0,IF(MOD(IF(AND(B20&gt;='Energy margins'!$F$50,B20&lt;='Energy margins'!$G$50),B20-'Energy margins'!$F$50,""),'Energy margins'!$H$50)=0,'Energy margins'!$E$50,0))</f>
        <v>0</v>
      </c>
      <c r="O20" s="918">
        <f>IF(ISERROR(IF(MOD(IF(AND(B20&gt;='Energy margins'!$F$53,B20&lt;='Energy margins'!$G$53),B20-'Energy margins'!$F$53,""),'Energy margins'!$H$53)=0,'Energy margins'!$E$53,0)),0,IF(MOD(IF(AND(B20&gt;='Energy margins'!$F$53,B20&lt;='Energy margins'!$G$53),B20-'Energy margins'!$F$53,""),'Energy margins'!$H$53)=0,'Energy margins'!$E$53,0))</f>
        <v>0</v>
      </c>
      <c r="P20" s="918">
        <f>IF(ISERROR(IF(MOD(IF(AND(B20&gt;='Energy margins'!$F$56,B20&lt;='Energy margins'!$G$56),B20-'Energy margins'!$F$56,""),'Energy margins'!$H$56)=0,'Energy margins'!$E$56,0)),0,IF(MOD(IF(AND(B20&gt;='Energy margins'!$F$56,B20&lt;='Energy margins'!$G$56),B20-'Energy margins'!$F$56,""),'Energy margins'!$H$56)=0,'Energy margins'!$E$56,0))</f>
        <v>0</v>
      </c>
      <c r="Q20" s="918">
        <f>IF(ISERROR(IF(MOD(IF(AND(B20&gt;='Energy margins'!$F$59,B20&lt;='Energy margins'!$G$59),B20-'Energy margins'!$F$59,""),'Energy margins'!$H$59)=0,'Energy margins'!$E$59,0)),0,IF(MOD(IF(AND(B20&gt;='Energy margins'!$F$59,B20&lt;='Energy margins'!$G$59),B20-'Energy margins'!$F$59,""),'Energy margins'!$H$59)=0,'Energy margins'!$E$59,0))</f>
        <v>0</v>
      </c>
      <c r="R20" s="918">
        <f>IF(ISERROR(IF(MOD(IF(AND(B20&gt;='Energy margins'!$F$60,B20&lt;='Energy margins'!$G$60),B20-'Energy margins'!$F$60,""),'Energy margins'!$H$60)=0,'Energy margins'!$E$60,0)),0,IF(MOD(IF(AND(B20&gt;='Energy margins'!$F$60,B20&lt;='Energy margins'!$G$60),B20-'Energy margins'!$F$60,""),'Energy margins'!$H$60)=0,'Energy margins'!$E$60,0))</f>
        <v>0</v>
      </c>
      <c r="S20" s="918">
        <f>IF(ISERROR(IF(MOD(IF(AND(B20&gt;='Energy margins'!$F$61,B20&lt;='Energy margins'!$G$61),B20-'Energy margins'!$F$61,""),'Energy margins'!$H$61)=0,'Energy margins'!$E$61,0)),0,IF(MOD(IF(AND(B20&gt;='Energy margins'!$F$61,B20&lt;='Energy margins'!$G$61),B20-'Energy margins'!$F$61,""),'Energy margins'!$H$61)=0,'Energy margins'!$E$61,0))</f>
        <v>0</v>
      </c>
      <c r="T20" s="918">
        <f>IF(ISERROR(IF(MOD(IF(AND(B20&gt;='Energy margins'!$F$62,B20&lt;='Energy margins'!$G$62),B20-'Energy margins'!$F$62,""),'Energy margins'!$H$62)=0,'Energy margins'!$E$62,0)),0,IF(MOD(IF(AND(B20&gt;='Energy margins'!$F$62,B20&lt;='Energy margins'!$G$62),B20-'Energy margins'!$F$62,""),'Energy margins'!$H$62)=0,'Energy margins'!$E$62,0))</f>
        <v>0</v>
      </c>
      <c r="U20" s="944">
        <f t="shared" si="4"/>
        <v>45.561599999999999</v>
      </c>
      <c r="V20" s="197"/>
      <c r="W20" s="197">
        <f t="shared" si="5"/>
        <v>45.561599999999999</v>
      </c>
      <c r="X20" s="197">
        <f t="shared" si="1"/>
        <v>-45.561599999999999</v>
      </c>
      <c r="Y20" s="197">
        <f t="shared" si="2"/>
        <v>130.38839999999999</v>
      </c>
      <c r="Z20" s="973">
        <f t="shared" si="6"/>
        <v>0</v>
      </c>
      <c r="AA20" s="974">
        <f t="shared" si="7"/>
        <v>133.70753923290303</v>
      </c>
      <c r="AB20" s="974">
        <f t="shared" si="8"/>
        <v>34.623071437987122</v>
      </c>
      <c r="AC20" s="974">
        <f t="shared" si="9"/>
        <v>-34.623071437987122</v>
      </c>
      <c r="AD20" s="974">
        <f t="shared" si="10"/>
        <v>99.084467794915895</v>
      </c>
      <c r="AE20" s="973">
        <f t="shared" si="12"/>
        <v>3627.311510306291</v>
      </c>
      <c r="AF20" s="974">
        <f t="shared" si="11"/>
        <v>1232.0115191774235</v>
      </c>
      <c r="AG20" s="974">
        <f t="shared" si="11"/>
        <v>4092.0529616969893</v>
      </c>
      <c r="AH20" s="974">
        <f t="shared" si="11"/>
        <v>-464.74145139069805</v>
      </c>
      <c r="AI20" s="975">
        <f t="shared" si="11"/>
        <v>767.27006778672489</v>
      </c>
    </row>
    <row r="21" spans="2:35" x14ac:dyDescent="0.3">
      <c r="B21" s="900">
        <v>9</v>
      </c>
      <c r="C21" s="918">
        <f>'Energy Inputs'!D38</f>
        <v>0</v>
      </c>
      <c r="D21" s="918">
        <f>C21*'Energy Inputs'!$D$24</f>
        <v>0</v>
      </c>
      <c r="E21" s="197">
        <f>'Energy margins'!$E$12</f>
        <v>72</v>
      </c>
      <c r="F21" s="918">
        <f t="shared" si="0"/>
        <v>0</v>
      </c>
      <c r="G21" s="918">
        <f>'Energy Inputs'!$D$10</f>
        <v>175.95</v>
      </c>
      <c r="H21" s="197">
        <f t="shared" si="3"/>
        <v>175.95</v>
      </c>
      <c r="I21" s="199"/>
      <c r="J21" s="920">
        <f>IF(ISERROR(IF(MOD(IF(AND(B21&gt;='Energy margins'!$F$44,B21&lt;='Energy margins'!$G$44),B21-'Energy margins'!$F$44,""),'Energy margins'!$H$44)=0,'Energy margins'!$E$44,0)),0,IF(MOD(IF(AND(B21&gt;='Energy margins'!$F$44,B21&lt;='Energy margins'!$G$44),B21-'Energy margins'!$F$44,""),'Energy margins'!$H$44)=0,'Energy margins'!$E$44,0))</f>
        <v>0</v>
      </c>
      <c r="K21" s="918">
        <f>IF(ISERROR(IF(MOD(IF(AND(B21&gt;='Energy margins'!$F$45,B21&lt;='Energy margins'!$G$45),B21-'Energy margins'!$F$45,""),'Energy margins'!$H$45)=0,'Energy margins'!$E$45,0)),0,IF(MOD(IF(AND(B21&gt;='Energy margins'!$F$45,B21&lt;='Energy margins'!$G$45),B21-'Energy margins'!$F$45,""),'Energy margins'!$H$45)=0,'Energy margins'!$E$45,0))</f>
        <v>45.561599999999999</v>
      </c>
      <c r="L21" s="918">
        <f>IF(ISERROR(IF(MOD(IF(AND(B21&gt;='Energy margins'!$F$46,B21&lt;='Energy margins'!$G$46),B21-'Energy margins'!$F$46,""),'Energy margins'!$H$46)=0,'Energy margins'!$E$46,0)),0,IF(MOD(IF(AND(B21&gt;='Energy margins'!$F$46,B21&lt;='Energy margins'!$G$46),B21-'Energy margins'!$F$46,""),'Energy margins'!$H$46)=0,'Energy margins'!$E$46,0))</f>
        <v>0</v>
      </c>
      <c r="M21" s="918">
        <f>IF(ISERROR(IF(MOD(IF(AND(B21&gt;='Energy margins'!$F$47,B21&lt;='Energy margins'!$G$47),B21-'Energy margins'!$F$47,""),'Energy margins'!$H$47)=0,'Energy margins'!$E$47,0)),0,IF(MOD(IF(AND(B21&gt;='Energy margins'!$F$47,B21&lt;='Energy margins'!$G$47),B21-'Energy margins'!$F$47,""),'Energy margins'!$H$47)=0,'Energy margins'!$E$47,0))</f>
        <v>0</v>
      </c>
      <c r="N21" s="918">
        <f>IF(ISERROR(IF(MOD(IF(AND(B21&gt;='Energy margins'!$F$50,B21&lt;='Energy margins'!$G$50),B21-'Energy margins'!$F$50,""),'Energy margins'!$H$50)=0,'Energy margins'!$E$50,0)),0,IF(MOD(IF(AND(B21&gt;='Energy margins'!$F$50,B21&lt;='Energy margins'!$G$50),B21-'Energy margins'!$F$50,""),'Energy margins'!$H$50)=0,'Energy margins'!$E$50,0))</f>
        <v>0</v>
      </c>
      <c r="O21" s="918">
        <f>IF(ISERROR(IF(MOD(IF(AND(B21&gt;='Energy margins'!$F$53,B21&lt;='Energy margins'!$G$53),B21-'Energy margins'!$F$53,""),'Energy margins'!$H$53)=0,'Energy margins'!$E$53,0)),0,IF(MOD(IF(AND(B21&gt;='Energy margins'!$F$53,B21&lt;='Energy margins'!$G$53),B21-'Energy margins'!$F$53,""),'Energy margins'!$H$53)=0,'Energy margins'!$E$53,0))</f>
        <v>0</v>
      </c>
      <c r="P21" s="918">
        <f>IF(ISERROR(IF(MOD(IF(AND(B21&gt;='Energy margins'!$F$56,B21&lt;='Energy margins'!$G$56),B21-'Energy margins'!$F$56,""),'Energy margins'!$H$56)=0,'Energy margins'!$E$56,0)),0,IF(MOD(IF(AND(B21&gt;='Energy margins'!$F$56,B21&lt;='Energy margins'!$G$56),B21-'Energy margins'!$F$56,""),'Energy margins'!$H$56)=0,'Energy margins'!$E$56,0))</f>
        <v>0</v>
      </c>
      <c r="Q21" s="918">
        <f>IF(ISERROR(IF(MOD(IF(AND(B21&gt;='Energy margins'!$F$59,B21&lt;='Energy margins'!$G$59),B21-'Energy margins'!$F$59,""),'Energy margins'!$H$59)=0,'Energy margins'!$E$59,0)),0,IF(MOD(IF(AND(B21&gt;='Energy margins'!$F$59,B21&lt;='Energy margins'!$G$59),B21-'Energy margins'!$F$59,""),'Energy margins'!$H$59)=0,'Energy margins'!$E$59,0))</f>
        <v>0</v>
      </c>
      <c r="R21" s="918">
        <f>IF(ISERROR(IF(MOD(IF(AND(B21&gt;='Energy margins'!$F$60,B21&lt;='Energy margins'!$G$60),B21-'Energy margins'!$F$60,""),'Energy margins'!$H$60)=0,'Energy margins'!$E$60,0)),0,IF(MOD(IF(AND(B21&gt;='Energy margins'!$F$60,B21&lt;='Energy margins'!$G$60),B21-'Energy margins'!$F$60,""),'Energy margins'!$H$60)=0,'Energy margins'!$E$60,0))</f>
        <v>0</v>
      </c>
      <c r="S21" s="918">
        <f>IF(ISERROR(IF(MOD(IF(AND(B21&gt;='Energy margins'!$F$61,B21&lt;='Energy margins'!$G$61),B21-'Energy margins'!$F$61,""),'Energy margins'!$H$61)=0,'Energy margins'!$E$61,0)),0,IF(MOD(IF(AND(B21&gt;='Energy margins'!$F$61,B21&lt;='Energy margins'!$G$61),B21-'Energy margins'!$F$61,""),'Energy margins'!$H$61)=0,'Energy margins'!$E$61,0))</f>
        <v>0</v>
      </c>
      <c r="T21" s="918">
        <f>IF(ISERROR(IF(MOD(IF(AND(B21&gt;='Energy margins'!$F$62,B21&lt;='Energy margins'!$G$62),B21-'Energy margins'!$F$62,""),'Energy margins'!$H$62)=0,'Energy margins'!$E$62,0)),0,IF(MOD(IF(AND(B21&gt;='Energy margins'!$F$62,B21&lt;='Energy margins'!$G$62),B21-'Energy margins'!$F$62,""),'Energy margins'!$H$62)=0,'Energy margins'!$E$62,0))</f>
        <v>0</v>
      </c>
      <c r="U21" s="944">
        <f t="shared" si="4"/>
        <v>45.561599999999999</v>
      </c>
      <c r="V21" s="197"/>
      <c r="W21" s="197">
        <f t="shared" si="5"/>
        <v>45.561599999999999</v>
      </c>
      <c r="X21" s="197">
        <f t="shared" si="1"/>
        <v>-45.561599999999999</v>
      </c>
      <c r="Y21" s="197">
        <f t="shared" si="2"/>
        <v>130.38839999999999</v>
      </c>
      <c r="Z21" s="973">
        <f t="shared" si="6"/>
        <v>0</v>
      </c>
      <c r="AA21" s="974">
        <f t="shared" si="7"/>
        <v>128.56494157009902</v>
      </c>
      <c r="AB21" s="974">
        <f t="shared" si="8"/>
        <v>33.29141484421838</v>
      </c>
      <c r="AC21" s="974">
        <f t="shared" si="9"/>
        <v>-33.29141484421838</v>
      </c>
      <c r="AD21" s="974">
        <f t="shared" si="10"/>
        <v>95.273526725880657</v>
      </c>
      <c r="AE21" s="973">
        <f t="shared" si="12"/>
        <v>3627.311510306291</v>
      </c>
      <c r="AF21" s="974">
        <f t="shared" si="11"/>
        <v>1360.5764607475226</v>
      </c>
      <c r="AG21" s="974">
        <f t="shared" si="11"/>
        <v>4125.3443765412076</v>
      </c>
      <c r="AH21" s="974">
        <f t="shared" si="11"/>
        <v>-498.03286623491641</v>
      </c>
      <c r="AI21" s="975">
        <f t="shared" si="11"/>
        <v>862.54359451260552</v>
      </c>
    </row>
    <row r="22" spans="2:35" x14ac:dyDescent="0.3">
      <c r="B22" s="900">
        <v>10</v>
      </c>
      <c r="C22" s="918">
        <f>'Energy Inputs'!D39</f>
        <v>1</v>
      </c>
      <c r="D22" s="918">
        <f>C22*'Energy Inputs'!$D$24</f>
        <v>30</v>
      </c>
      <c r="E22" s="197">
        <f>'Energy margins'!$E$12</f>
        <v>72</v>
      </c>
      <c r="F22" s="918">
        <f t="shared" si="0"/>
        <v>2160</v>
      </c>
      <c r="G22" s="918">
        <f>'Energy Inputs'!$D$10</f>
        <v>175.95</v>
      </c>
      <c r="H22" s="197">
        <f t="shared" si="3"/>
        <v>2335.9499999999998</v>
      </c>
      <c r="I22" s="199"/>
      <c r="J22" s="920">
        <f>IF(ISERROR(IF(MOD(IF(AND(B22&gt;='Energy margins'!$F$44,B22&lt;='Energy margins'!$G$44),B22-'Energy margins'!$F$44,""),'Energy margins'!$H$44)=0,'Energy margins'!$E$44,0)),0,IF(MOD(IF(AND(B22&gt;='Energy margins'!$F$44,B22&lt;='Energy margins'!$G$44),B22-'Energy margins'!$F$44,""),'Energy margins'!$H$44)=0,'Energy margins'!$E$44,0))</f>
        <v>0</v>
      </c>
      <c r="K22" s="918">
        <f>IF(ISERROR(IF(MOD(IF(AND(B22&gt;='Energy margins'!$F$45,B22&lt;='Energy margins'!$G$45),B22-'Energy margins'!$F$45,""),'Energy margins'!$H$45)=0,'Energy margins'!$E$45,0)),0,IF(MOD(IF(AND(B22&gt;='Energy margins'!$F$45,B22&lt;='Energy margins'!$G$45),B22-'Energy margins'!$F$45,""),'Energy margins'!$H$45)=0,'Energy margins'!$E$45,0))</f>
        <v>45.561599999999999</v>
      </c>
      <c r="L22" s="918">
        <f>IF(ISERROR(IF(MOD(IF(AND(B22&gt;='Energy margins'!$F$46,B22&lt;='Energy margins'!$G$46),B22-'Energy margins'!$F$46,""),'Energy margins'!$H$46)=0,'Energy margins'!$E$46,0)),0,IF(MOD(IF(AND(B22&gt;='Energy margins'!$F$46,B22&lt;='Energy margins'!$G$46),B22-'Energy margins'!$F$46,""),'Energy margins'!$H$46)=0,'Energy margins'!$E$46,0))</f>
        <v>0</v>
      </c>
      <c r="M22" s="918">
        <f>IF(ISERROR(IF(MOD(IF(AND(B22&gt;='Energy margins'!$F$47,B22&lt;='Energy margins'!$G$47),B22-'Energy margins'!$F$47,""),'Energy margins'!$H$47)=0,'Energy margins'!$E$47,0)),0,IF(MOD(IF(AND(B22&gt;='Energy margins'!$F$47,B22&lt;='Energy margins'!$G$47),B22-'Energy margins'!$F$47,""),'Energy margins'!$H$47)=0,'Energy margins'!$E$47,0))</f>
        <v>19.974783999999993</v>
      </c>
      <c r="N22" s="918">
        <f>IF(ISERROR(IF(MOD(IF(AND(B22&gt;='Energy margins'!$F$50,B22&lt;='Energy margins'!$G$50),B22-'Energy margins'!$F$50,""),'Energy margins'!$H$50)=0,'Energy margins'!$E$50,0)),0,IF(MOD(IF(AND(B22&gt;='Energy margins'!$F$50,B22&lt;='Energy margins'!$G$50),B22-'Energy margins'!$F$50,""),'Energy margins'!$H$50)=0,'Energy margins'!$E$50,0))</f>
        <v>54.36</v>
      </c>
      <c r="O22" s="918">
        <f>IF(ISERROR(IF(MOD(IF(AND(B22&gt;='Energy margins'!$F$53,B22&lt;='Energy margins'!$G$53),B22-'Energy margins'!$F$53,""),'Energy margins'!$H$53)=0,'Energy margins'!$E$53,0)),0,IF(MOD(IF(AND(B22&gt;='Energy margins'!$F$53,B22&lt;='Energy margins'!$G$53),B22-'Energy margins'!$F$53,""),'Energy margins'!$H$53)=0,'Energy margins'!$E$53,0))</f>
        <v>53.35</v>
      </c>
      <c r="P22" s="918">
        <f>IF(ISERROR(IF(MOD(IF(AND(B22&gt;='Energy margins'!$F$56,B22&lt;='Energy margins'!$G$56),B22-'Energy margins'!$F$56,""),'Energy margins'!$H$56)=0,'Energy margins'!$E$56,0)),0,IF(MOD(IF(AND(B22&gt;='Energy margins'!$F$56,B22&lt;='Energy margins'!$G$56),B22-'Energy margins'!$F$56,""),'Energy margins'!$H$56)=0,'Energy margins'!$E$56,0))</f>
        <v>23.112000000000002</v>
      </c>
      <c r="Q22" s="918">
        <f>IF(ISERROR(IF(MOD(IF(AND(B22&gt;='Energy margins'!$F$59,B22&lt;='Energy margins'!$G$59),B22-'Energy margins'!$F$59,""),'Energy margins'!$H$59)=0,'Energy margins'!$E$59,0)),0,IF(MOD(IF(AND(B22&gt;='Energy margins'!$F$59,B22&lt;='Energy margins'!$G$59),B22-'Energy margins'!$F$59,""),'Energy margins'!$H$59)=0,'Energy margins'!$E$59,0))</f>
        <v>508.49999999999994</v>
      </c>
      <c r="R22" s="918">
        <f>IF(ISERROR(IF(MOD(IF(AND(B22&gt;='Energy margins'!$F$60,B22&lt;='Energy margins'!$G$60),B22-'Energy margins'!$F$60,""),'Energy margins'!$H$60)=0,'Energy margins'!$E$60,0)),0,IF(MOD(IF(AND(B22&gt;='Energy margins'!$F$60,B22&lt;='Energy margins'!$G$60),B22-'Energy margins'!$F$60,""),'Energy margins'!$H$60)=0,'Energy margins'!$E$60,0))</f>
        <v>0</v>
      </c>
      <c r="S22" s="918">
        <f>IF(ISERROR(IF(MOD(IF(AND(B22&gt;='Energy margins'!$F$61,B22&lt;='Energy margins'!$G$61),B22-'Energy margins'!$F$61,""),'Energy margins'!$H$61)=0,'Energy margins'!$E$61,0)),0,IF(MOD(IF(AND(B22&gt;='Energy margins'!$F$61,B22&lt;='Energy margins'!$G$61),B22-'Energy margins'!$F$61,""),'Energy margins'!$H$61)=0,'Energy margins'!$E$61,0))</f>
        <v>0</v>
      </c>
      <c r="T22" s="918">
        <f>IF(ISERROR(IF(MOD(IF(AND(B22&gt;='Energy margins'!$F$62,B22&lt;='Energy margins'!$G$62),B22-'Energy margins'!$F$62,""),'Energy margins'!$H$62)=0,'Energy margins'!$E$62,0)),0,IF(MOD(IF(AND(B22&gt;='Energy margins'!$F$62,B22&lt;='Energy margins'!$G$62),B22-'Energy margins'!$F$62,""),'Energy margins'!$H$62)=0,'Energy margins'!$E$62,0))</f>
        <v>0</v>
      </c>
      <c r="U22" s="944">
        <f t="shared" si="4"/>
        <v>704.85838399999989</v>
      </c>
      <c r="V22" s="197"/>
      <c r="W22" s="197">
        <f t="shared" si="5"/>
        <v>704.85838399999989</v>
      </c>
      <c r="X22" s="197">
        <f t="shared" si="1"/>
        <v>1455.1416160000001</v>
      </c>
      <c r="Y22" s="197">
        <f t="shared" si="2"/>
        <v>1631.0916159999999</v>
      </c>
      <c r="Z22" s="973">
        <f t="shared" si="6"/>
        <v>1517.5873488502739</v>
      </c>
      <c r="AA22" s="974">
        <f t="shared" si="7"/>
        <v>123.62013612509521</v>
      </c>
      <c r="AB22" s="974">
        <f t="shared" si="8"/>
        <v>495.22415105992968</v>
      </c>
      <c r="AC22" s="974">
        <f t="shared" si="9"/>
        <v>1022.3631977903442</v>
      </c>
      <c r="AD22" s="974">
        <f t="shared" si="10"/>
        <v>1145.9833339154393</v>
      </c>
      <c r="AE22" s="973">
        <f t="shared" si="12"/>
        <v>5144.8988591565649</v>
      </c>
      <c r="AF22" s="974">
        <f t="shared" si="11"/>
        <v>1484.1965968726179</v>
      </c>
      <c r="AG22" s="974">
        <f t="shared" si="11"/>
        <v>4620.5685276011372</v>
      </c>
      <c r="AH22" s="974">
        <f t="shared" si="11"/>
        <v>524.33033155542785</v>
      </c>
      <c r="AI22" s="975">
        <f t="shared" si="11"/>
        <v>2008.5269284280448</v>
      </c>
    </row>
    <row r="23" spans="2:35" x14ac:dyDescent="0.3">
      <c r="B23" s="900">
        <v>11</v>
      </c>
      <c r="C23" s="918">
        <f>'Energy Inputs'!D40</f>
        <v>0</v>
      </c>
      <c r="D23" s="918">
        <f>C23*'Energy Inputs'!$D$24</f>
        <v>0</v>
      </c>
      <c r="E23" s="197">
        <f>'Energy margins'!$E$12</f>
        <v>72</v>
      </c>
      <c r="F23" s="918">
        <f t="shared" si="0"/>
        <v>0</v>
      </c>
      <c r="G23" s="918">
        <f>'Energy Inputs'!$D$10</f>
        <v>175.95</v>
      </c>
      <c r="H23" s="197">
        <f t="shared" si="3"/>
        <v>175.95</v>
      </c>
      <c r="I23" s="199"/>
      <c r="J23" s="920">
        <f>IF(ISERROR(IF(MOD(IF(AND(B23&gt;='Energy margins'!$F$44,B23&lt;='Energy margins'!$G$44),B23-'Energy margins'!$F$44,""),'Energy margins'!$H$44)=0,'Energy margins'!$E$44,0)),0,IF(MOD(IF(AND(B23&gt;='Energy margins'!$F$44,B23&lt;='Energy margins'!$G$44),B23-'Energy margins'!$F$44,""),'Energy margins'!$H$44)=0,'Energy margins'!$E$44,0))</f>
        <v>0</v>
      </c>
      <c r="K23" s="918">
        <f>IF(ISERROR(IF(MOD(IF(AND(B23&gt;='Energy margins'!$F$45,B23&lt;='Energy margins'!$G$45),B23-'Energy margins'!$F$45,""),'Energy margins'!$H$45)=0,'Energy margins'!$E$45,0)),0,IF(MOD(IF(AND(B23&gt;='Energy margins'!$F$45,B23&lt;='Energy margins'!$G$45),B23-'Energy margins'!$F$45,""),'Energy margins'!$H$45)=0,'Energy margins'!$E$45,0))</f>
        <v>0</v>
      </c>
      <c r="L23" s="918">
        <f>IF(ISERROR(IF(MOD(IF(AND(B23&gt;='Energy margins'!$F$46,B23&lt;='Energy margins'!$G$46),B23-'Energy margins'!$F$46,""),'Energy margins'!$H$46)=0,'Energy margins'!$E$46,0)),0,IF(MOD(IF(AND(B23&gt;='Energy margins'!$F$46,B23&lt;='Energy margins'!$G$46),B23-'Energy margins'!$F$46,""),'Energy margins'!$H$46)=0,'Energy margins'!$E$46,0))</f>
        <v>0</v>
      </c>
      <c r="M23" s="918">
        <f>IF(ISERROR(IF(MOD(IF(AND(B23&gt;='Energy margins'!$F$47,B23&lt;='Energy margins'!$G$47),B23-'Energy margins'!$F$47,""),'Energy margins'!$H$47)=0,'Energy margins'!$E$47,0)),0,IF(MOD(IF(AND(B23&gt;='Energy margins'!$F$47,B23&lt;='Energy margins'!$G$47),B23-'Energy margins'!$F$47,""),'Energy margins'!$H$47)=0,'Energy margins'!$E$47,0))</f>
        <v>0</v>
      </c>
      <c r="N23" s="918">
        <f>IF(ISERROR(IF(MOD(IF(AND(B23&gt;='Energy margins'!$F$50,B23&lt;='Energy margins'!$G$50),B23-'Energy margins'!$F$50,""),'Energy margins'!$H$50)=0,'Energy margins'!$E$50,0)),0,IF(MOD(IF(AND(B23&gt;='Energy margins'!$F$50,B23&lt;='Energy margins'!$G$50),B23-'Energy margins'!$F$50,""),'Energy margins'!$H$50)=0,'Energy margins'!$E$50,0))</f>
        <v>0</v>
      </c>
      <c r="O23" s="918">
        <f>IF(ISERROR(IF(MOD(IF(AND(B23&gt;='Energy margins'!$F$53,B23&lt;='Energy margins'!$G$53),B23-'Energy margins'!$F$53,""),'Energy margins'!$H$53)=0,'Energy margins'!$E$53,0)),0,IF(MOD(IF(AND(B23&gt;='Energy margins'!$F$53,B23&lt;='Energy margins'!$G$53),B23-'Energy margins'!$F$53,""),'Energy margins'!$H$53)=0,'Energy margins'!$E$53,0))</f>
        <v>0</v>
      </c>
      <c r="P23" s="918">
        <f>IF(ISERROR(IF(MOD(IF(AND(B23&gt;='Energy margins'!$F$56,B23&lt;='Energy margins'!$G$56),B23-'Energy margins'!$F$56,""),'Energy margins'!$H$56)=0,'Energy margins'!$E$56,0)),0,IF(MOD(IF(AND(B23&gt;='Energy margins'!$F$56,B23&lt;='Energy margins'!$G$56),B23-'Energy margins'!$F$56,""),'Energy margins'!$H$56)=0,'Energy margins'!$E$56,0))</f>
        <v>0</v>
      </c>
      <c r="Q23" s="918">
        <f>IF(ISERROR(IF(MOD(IF(AND(B23&gt;='Energy margins'!$F$59,B23&lt;='Energy margins'!$G$59),B23-'Energy margins'!$F$59,""),'Energy margins'!$H$59)=0,'Energy margins'!$E$59,0)),0,IF(MOD(IF(AND(B23&gt;='Energy margins'!$F$59,B23&lt;='Energy margins'!$G$59),B23-'Energy margins'!$F$59,""),'Energy margins'!$H$59)=0,'Energy margins'!$E$59,0))</f>
        <v>0</v>
      </c>
      <c r="R23" s="918">
        <f>IF(ISERROR(IF(MOD(IF(AND(B23&gt;='Energy margins'!$F$60,B23&lt;='Energy margins'!$G$60),B23-'Energy margins'!$F$60,""),'Energy margins'!$H$60)=0,'Energy margins'!$E$60,0)),0,IF(MOD(IF(AND(B23&gt;='Energy margins'!$F$60,B23&lt;='Energy margins'!$G$60),B23-'Energy margins'!$F$60,""),'Energy margins'!$H$60)=0,'Energy margins'!$E$60,0))</f>
        <v>0</v>
      </c>
      <c r="S23" s="918">
        <f>IF(ISERROR(IF(MOD(IF(AND(B23&gt;='Energy margins'!$F$61,B23&lt;='Energy margins'!$G$61),B23-'Energy margins'!$F$61,""),'Energy margins'!$H$61)=0,'Energy margins'!$E$61,0)),0,IF(MOD(IF(AND(B23&gt;='Energy margins'!$F$61,B23&lt;='Energy margins'!$G$61),B23-'Energy margins'!$F$61,""),'Energy margins'!$H$61)=0,'Energy margins'!$E$61,0))</f>
        <v>0</v>
      </c>
      <c r="T23" s="918">
        <f>IF(ISERROR(IF(MOD(IF(AND(B23&gt;='Energy margins'!$F$62,B23&lt;='Energy margins'!$G$62),B23-'Energy margins'!$F$62,""),'Energy margins'!$H$62)=0,'Energy margins'!$E$62,0)),0,IF(MOD(IF(AND(B23&gt;='Energy margins'!$F$62,B23&lt;='Energy margins'!$G$62),B23-'Energy margins'!$F$62,""),'Energy margins'!$H$62)=0,'Energy margins'!$E$62,0))</f>
        <v>0</v>
      </c>
      <c r="U23" s="944">
        <f t="shared" si="4"/>
        <v>0</v>
      </c>
      <c r="V23" s="197"/>
      <c r="W23" s="197">
        <f t="shared" si="5"/>
        <v>0</v>
      </c>
      <c r="X23" s="197">
        <f t="shared" si="1"/>
        <v>0</v>
      </c>
      <c r="Y23" s="197">
        <f t="shared" si="2"/>
        <v>175.95</v>
      </c>
      <c r="Z23" s="973">
        <f t="shared" si="6"/>
        <v>0</v>
      </c>
      <c r="AA23" s="974">
        <f t="shared" si="7"/>
        <v>118.86551550489925</v>
      </c>
      <c r="AB23" s="974">
        <f t="shared" si="8"/>
        <v>0</v>
      </c>
      <c r="AC23" s="974">
        <f t="shared" si="9"/>
        <v>0</v>
      </c>
      <c r="AD23" s="974">
        <f t="shared" si="10"/>
        <v>118.86551550489925</v>
      </c>
      <c r="AE23" s="973">
        <f t="shared" si="12"/>
        <v>5144.8988591565649</v>
      </c>
      <c r="AF23" s="974">
        <f t="shared" si="11"/>
        <v>1603.0621123775172</v>
      </c>
      <c r="AG23" s="974">
        <f t="shared" si="11"/>
        <v>4620.5685276011372</v>
      </c>
      <c r="AH23" s="974">
        <f t="shared" si="11"/>
        <v>524.33033155542785</v>
      </c>
      <c r="AI23" s="975">
        <f t="shared" si="11"/>
        <v>2127.3924439329439</v>
      </c>
    </row>
    <row r="24" spans="2:35" x14ac:dyDescent="0.3">
      <c r="B24" s="900">
        <v>12</v>
      </c>
      <c r="C24" s="918">
        <f>'Energy Inputs'!D41</f>
        <v>0</v>
      </c>
      <c r="D24" s="918">
        <f>C24*'Energy Inputs'!$D$24</f>
        <v>0</v>
      </c>
      <c r="E24" s="197">
        <f>'Energy margins'!$E$12</f>
        <v>72</v>
      </c>
      <c r="F24" s="918">
        <f t="shared" si="0"/>
        <v>0</v>
      </c>
      <c r="G24" s="918">
        <f>'Energy Inputs'!$D$10</f>
        <v>175.95</v>
      </c>
      <c r="H24" s="197">
        <f t="shared" si="3"/>
        <v>175.95</v>
      </c>
      <c r="I24" s="199"/>
      <c r="J24" s="920">
        <f>IF(ISERROR(IF(MOD(IF(AND(B24&gt;='Energy margins'!$F$44,B24&lt;='Energy margins'!$G$44),B24-'Energy margins'!$F$44,""),'Energy margins'!$H$44)=0,'Energy margins'!$E$44,0)),0,IF(MOD(IF(AND(B24&gt;='Energy margins'!$F$44,B24&lt;='Energy margins'!$G$44),B24-'Energy margins'!$F$44,""),'Energy margins'!$H$44)=0,'Energy margins'!$E$44,0))</f>
        <v>0</v>
      </c>
      <c r="K24" s="918">
        <f>IF(ISERROR(IF(MOD(IF(AND(B24&gt;='Energy margins'!$F$45,B24&lt;='Energy margins'!$G$45),B24-'Energy margins'!$F$45,""),'Energy margins'!$H$45)=0,'Energy margins'!$E$45,0)),0,IF(MOD(IF(AND(B24&gt;='Energy margins'!$F$45,B24&lt;='Energy margins'!$G$45),B24-'Energy margins'!$F$45,""),'Energy margins'!$H$45)=0,'Energy margins'!$E$45,0))</f>
        <v>0</v>
      </c>
      <c r="L24" s="918">
        <f>IF(ISERROR(IF(MOD(IF(AND(B24&gt;='Energy margins'!$F$46,B24&lt;='Energy margins'!$G$46),B24-'Energy margins'!$F$46,""),'Energy margins'!$H$46)=0,'Energy margins'!$E$46,0)),0,IF(MOD(IF(AND(B24&gt;='Energy margins'!$F$46,B24&lt;='Energy margins'!$G$46),B24-'Energy margins'!$F$46,""),'Energy margins'!$H$46)=0,'Energy margins'!$E$46,0))</f>
        <v>0</v>
      </c>
      <c r="M24" s="918">
        <f>IF(ISERROR(IF(MOD(IF(AND(B24&gt;='Energy margins'!$F$47,B24&lt;='Energy margins'!$G$47),B24-'Energy margins'!$F$47,""),'Energy margins'!$H$47)=0,'Energy margins'!$E$47,0)),0,IF(MOD(IF(AND(B24&gt;='Energy margins'!$F$47,B24&lt;='Energy margins'!$G$47),B24-'Energy margins'!$F$47,""),'Energy margins'!$H$47)=0,'Energy margins'!$E$47,0))</f>
        <v>0</v>
      </c>
      <c r="N24" s="918">
        <f>IF(ISERROR(IF(MOD(IF(AND(B24&gt;='Energy margins'!$F$50,B24&lt;='Energy margins'!$G$50),B24-'Energy margins'!$F$50,""),'Energy margins'!$H$50)=0,'Energy margins'!$E$50,0)),0,IF(MOD(IF(AND(B24&gt;='Energy margins'!$F$50,B24&lt;='Energy margins'!$G$50),B24-'Energy margins'!$F$50,""),'Energy margins'!$H$50)=0,'Energy margins'!$E$50,0))</f>
        <v>0</v>
      </c>
      <c r="O24" s="918">
        <f>IF(ISERROR(IF(MOD(IF(AND(B24&gt;='Energy margins'!$F$53,B24&lt;='Energy margins'!$G$53),B24-'Energy margins'!$F$53,""),'Energy margins'!$H$53)=0,'Energy margins'!$E$53,0)),0,IF(MOD(IF(AND(B24&gt;='Energy margins'!$F$53,B24&lt;='Energy margins'!$G$53),B24-'Energy margins'!$F$53,""),'Energy margins'!$H$53)=0,'Energy margins'!$E$53,0))</f>
        <v>0</v>
      </c>
      <c r="P24" s="918">
        <f>IF(ISERROR(IF(MOD(IF(AND(B24&gt;='Energy margins'!$F$56,B24&lt;='Energy margins'!$G$56),B24-'Energy margins'!$F$56,""),'Energy margins'!$H$56)=0,'Energy margins'!$E$56,0)),0,IF(MOD(IF(AND(B24&gt;='Energy margins'!$F$56,B24&lt;='Energy margins'!$G$56),B24-'Energy margins'!$F$56,""),'Energy margins'!$H$56)=0,'Energy margins'!$E$56,0))</f>
        <v>0</v>
      </c>
      <c r="Q24" s="918">
        <f>IF(ISERROR(IF(MOD(IF(AND(B24&gt;='Energy margins'!$F$59,B24&lt;='Energy margins'!$G$59),B24-'Energy margins'!$F$59,""),'Energy margins'!$H$59)=0,'Energy margins'!$E$59,0)),0,IF(MOD(IF(AND(B24&gt;='Energy margins'!$F$59,B24&lt;='Energy margins'!$G$59),B24-'Energy margins'!$F$59,""),'Energy margins'!$H$59)=0,'Energy margins'!$E$59,0))</f>
        <v>0</v>
      </c>
      <c r="R24" s="918">
        <f>IF(ISERROR(IF(MOD(IF(AND(B24&gt;='Energy margins'!$F$60,B24&lt;='Energy margins'!$G$60),B24-'Energy margins'!$F$60,""),'Energy margins'!$H$60)=0,'Energy margins'!$E$60,0)),0,IF(MOD(IF(AND(B24&gt;='Energy margins'!$F$60,B24&lt;='Energy margins'!$G$60),B24-'Energy margins'!$F$60,""),'Energy margins'!$H$60)=0,'Energy margins'!$E$60,0))</f>
        <v>0</v>
      </c>
      <c r="S24" s="918">
        <f>IF(ISERROR(IF(MOD(IF(AND(B24&gt;='Energy margins'!$F$61,B24&lt;='Energy margins'!$G$61),B24-'Energy margins'!$F$61,""),'Energy margins'!$H$61)=0,'Energy margins'!$E$61,0)),0,IF(MOD(IF(AND(B24&gt;='Energy margins'!$F$61,B24&lt;='Energy margins'!$G$61),B24-'Energy margins'!$F$61,""),'Energy margins'!$H$61)=0,'Energy margins'!$E$61,0))</f>
        <v>0</v>
      </c>
      <c r="T24" s="918">
        <f>IF(ISERROR(IF(MOD(IF(AND(B24&gt;='Energy margins'!$F$62,B24&lt;='Energy margins'!$G$62),B24-'Energy margins'!$F$62,""),'Energy margins'!$H$62)=0,'Energy margins'!$E$62,0)),0,IF(MOD(IF(AND(B24&gt;='Energy margins'!$F$62,B24&lt;='Energy margins'!$G$62),B24-'Energy margins'!$F$62,""),'Energy margins'!$H$62)=0,'Energy margins'!$E$62,0))</f>
        <v>0</v>
      </c>
      <c r="U24" s="944">
        <f t="shared" si="4"/>
        <v>0</v>
      </c>
      <c r="V24" s="197"/>
      <c r="W24" s="197">
        <f t="shared" si="5"/>
        <v>0</v>
      </c>
      <c r="X24" s="197">
        <f t="shared" si="1"/>
        <v>0</v>
      </c>
      <c r="Y24" s="197">
        <f t="shared" si="2"/>
        <v>175.95</v>
      </c>
      <c r="Z24" s="973">
        <f t="shared" si="6"/>
        <v>0</v>
      </c>
      <c r="AA24" s="974">
        <f t="shared" si="7"/>
        <v>114.29376490855698</v>
      </c>
      <c r="AB24" s="974">
        <f t="shared" si="8"/>
        <v>0</v>
      </c>
      <c r="AC24" s="974">
        <f t="shared" si="9"/>
        <v>0</v>
      </c>
      <c r="AD24" s="974">
        <f t="shared" si="10"/>
        <v>114.29376490855698</v>
      </c>
      <c r="AE24" s="973">
        <f t="shared" si="12"/>
        <v>5144.8988591565649</v>
      </c>
      <c r="AF24" s="974">
        <f t="shared" si="11"/>
        <v>1717.3558772860742</v>
      </c>
      <c r="AG24" s="974">
        <f t="shared" si="11"/>
        <v>4620.5685276011372</v>
      </c>
      <c r="AH24" s="974">
        <f t="shared" si="11"/>
        <v>524.33033155542785</v>
      </c>
      <c r="AI24" s="975">
        <f t="shared" si="11"/>
        <v>2241.686208841501</v>
      </c>
    </row>
    <row r="25" spans="2:35" x14ac:dyDescent="0.3">
      <c r="B25" s="900">
        <v>13</v>
      </c>
      <c r="C25" s="918">
        <f>'Energy Inputs'!D42</f>
        <v>1</v>
      </c>
      <c r="D25" s="918">
        <f>C25*'Energy Inputs'!$D$24</f>
        <v>30</v>
      </c>
      <c r="E25" s="197">
        <f>'Energy margins'!$E$12</f>
        <v>72</v>
      </c>
      <c r="F25" s="918">
        <f t="shared" si="0"/>
        <v>2160</v>
      </c>
      <c r="G25" s="918">
        <f>'Energy Inputs'!$D$10</f>
        <v>175.95</v>
      </c>
      <c r="H25" s="197">
        <f t="shared" si="3"/>
        <v>2335.9499999999998</v>
      </c>
      <c r="I25" s="199"/>
      <c r="J25" s="920">
        <f>IF(ISERROR(IF(MOD(IF(AND(B25&gt;='Energy margins'!$F$44,B25&lt;='Energy margins'!$G$44),B25-'Energy margins'!$F$44,""),'Energy margins'!$H$44)=0,'Energy margins'!$E$44,0)),0,IF(MOD(IF(AND(B25&gt;='Energy margins'!$F$44,B25&lt;='Energy margins'!$G$44),B25-'Energy margins'!$F$44,""),'Energy margins'!$H$44)=0,'Energy margins'!$E$44,0))</f>
        <v>0</v>
      </c>
      <c r="K25" s="918">
        <f>IF(ISERROR(IF(MOD(IF(AND(B25&gt;='Energy margins'!$F$45,B25&lt;='Energy margins'!$G$45),B25-'Energy margins'!$F$45,""),'Energy margins'!$H$45)=0,'Energy margins'!$E$45,0)),0,IF(MOD(IF(AND(B25&gt;='Energy margins'!$F$45,B25&lt;='Energy margins'!$G$45),B25-'Energy margins'!$F$45,""),'Energy margins'!$H$45)=0,'Energy margins'!$E$45,0))</f>
        <v>0</v>
      </c>
      <c r="L25" s="918">
        <f>IF(ISERROR(IF(MOD(IF(AND(B25&gt;='Energy margins'!$F$46,B25&lt;='Energy margins'!$G$46),B25-'Energy margins'!$F$46,""),'Energy margins'!$H$46)=0,'Energy margins'!$E$46,0)),0,IF(MOD(IF(AND(B25&gt;='Energy margins'!$F$46,B25&lt;='Energy margins'!$G$46),B25-'Energy margins'!$F$46,""),'Energy margins'!$H$46)=0,'Energy margins'!$E$46,0))</f>
        <v>0</v>
      </c>
      <c r="M25" s="918">
        <f>IF(ISERROR(IF(MOD(IF(AND(B25&gt;='Energy margins'!$F$47,B25&lt;='Energy margins'!$G$47),B25-'Energy margins'!$F$47,""),'Energy margins'!$H$47)=0,'Energy margins'!$E$47,0)),0,IF(MOD(IF(AND(B25&gt;='Energy margins'!$F$47,B25&lt;='Energy margins'!$G$47),B25-'Energy margins'!$F$47,""),'Energy margins'!$H$47)=0,'Energy margins'!$E$47,0))</f>
        <v>19.974783999999993</v>
      </c>
      <c r="N25" s="918">
        <f>IF(ISERROR(IF(MOD(IF(AND(B25&gt;='Energy margins'!$F$50,B25&lt;='Energy margins'!$G$50),B25-'Energy margins'!$F$50,""),'Energy margins'!$H$50)=0,'Energy margins'!$E$50,0)),0,IF(MOD(IF(AND(B25&gt;='Energy margins'!$F$50,B25&lt;='Energy margins'!$G$50),B25-'Energy margins'!$F$50,""),'Energy margins'!$H$50)=0,'Energy margins'!$E$50,0))</f>
        <v>54.36</v>
      </c>
      <c r="O25" s="918">
        <f>IF(ISERROR(IF(MOD(IF(AND(B25&gt;='Energy margins'!$F$53,B25&lt;='Energy margins'!$G$53),B25-'Energy margins'!$F$53,""),'Energy margins'!$H$53)=0,'Energy margins'!$E$53,0)),0,IF(MOD(IF(AND(B25&gt;='Energy margins'!$F$53,B25&lt;='Energy margins'!$G$53),B25-'Energy margins'!$F$53,""),'Energy margins'!$H$53)=0,'Energy margins'!$E$53,0))</f>
        <v>53.35</v>
      </c>
      <c r="P25" s="918">
        <f>IF(ISERROR(IF(MOD(IF(AND(B25&gt;='Energy margins'!$F$56,B25&lt;='Energy margins'!$G$56),B25-'Energy margins'!$F$56,""),'Energy margins'!$H$56)=0,'Energy margins'!$E$56,0)),0,IF(MOD(IF(AND(B25&gt;='Energy margins'!$F$56,B25&lt;='Energy margins'!$G$56),B25-'Energy margins'!$F$56,""),'Energy margins'!$H$56)=0,'Energy margins'!$E$56,0))</f>
        <v>23.112000000000002</v>
      </c>
      <c r="Q25" s="918">
        <f>IF(ISERROR(IF(MOD(IF(AND(B25&gt;='Energy margins'!$F$59,B25&lt;='Energy margins'!$G$59),B25-'Energy margins'!$F$59,""),'Energy margins'!$H$59)=0,'Energy margins'!$E$59,0)),0,IF(MOD(IF(AND(B25&gt;='Energy margins'!$F$59,B25&lt;='Energy margins'!$G$59),B25-'Energy margins'!$F$59,""),'Energy margins'!$H$59)=0,'Energy margins'!$E$59,0))</f>
        <v>508.49999999999994</v>
      </c>
      <c r="R25" s="918">
        <f>IF(ISERROR(IF(MOD(IF(AND(B25&gt;='Energy margins'!$F$60,B25&lt;='Energy margins'!$G$60),B25-'Energy margins'!$F$60,""),'Energy margins'!$H$60)=0,'Energy margins'!$E$60,0)),0,IF(MOD(IF(AND(B25&gt;='Energy margins'!$F$60,B25&lt;='Energy margins'!$G$60),B25-'Energy margins'!$F$60,""),'Energy margins'!$H$60)=0,'Energy margins'!$E$60,0))</f>
        <v>0</v>
      </c>
      <c r="S25" s="918">
        <f>IF(ISERROR(IF(MOD(IF(AND(B25&gt;='Energy margins'!$F$61,B25&lt;='Energy margins'!$G$61),B25-'Energy margins'!$F$61,""),'Energy margins'!$H$61)=0,'Energy margins'!$E$61,0)),0,IF(MOD(IF(AND(B25&gt;='Energy margins'!$F$61,B25&lt;='Energy margins'!$G$61),B25-'Energy margins'!$F$61,""),'Energy margins'!$H$61)=0,'Energy margins'!$E$61,0))</f>
        <v>0</v>
      </c>
      <c r="T25" s="918">
        <f>IF(ISERROR(IF(MOD(IF(AND(B25&gt;='Energy margins'!$F$62,B25&lt;='Energy margins'!$G$62),B25-'Energy margins'!$F$62,""),'Energy margins'!$H$62)=0,'Energy margins'!$E$62,0)),0,IF(MOD(IF(AND(B25&gt;='Energy margins'!$F$62,B25&lt;='Energy margins'!$G$62),B25-'Energy margins'!$F$62,""),'Energy margins'!$H$62)=0,'Energy margins'!$E$62,0))</f>
        <v>0</v>
      </c>
      <c r="U25" s="944">
        <f t="shared" si="4"/>
        <v>659.29678399999989</v>
      </c>
      <c r="V25" s="197"/>
      <c r="W25" s="197">
        <f t="shared" si="5"/>
        <v>659.29678399999989</v>
      </c>
      <c r="X25" s="197">
        <f t="shared" si="1"/>
        <v>1500.7032160000001</v>
      </c>
      <c r="Y25" s="197">
        <f t="shared" si="2"/>
        <v>1676.6532159999999</v>
      </c>
      <c r="Z25" s="973">
        <f t="shared" si="6"/>
        <v>1349.1296270929406</v>
      </c>
      <c r="AA25" s="974">
        <f t="shared" si="7"/>
        <v>109.89785087361246</v>
      </c>
      <c r="AB25" s="974">
        <f t="shared" si="8"/>
        <v>411.79482608402543</v>
      </c>
      <c r="AC25" s="974">
        <f t="shared" si="9"/>
        <v>937.33480100891529</v>
      </c>
      <c r="AD25" s="974">
        <f t="shared" si="10"/>
        <v>1047.2326518825275</v>
      </c>
      <c r="AE25" s="973">
        <f t="shared" si="12"/>
        <v>6494.0284862495055</v>
      </c>
      <c r="AF25" s="974">
        <f t="shared" si="11"/>
        <v>1827.2537281596867</v>
      </c>
      <c r="AG25" s="974">
        <f t="shared" si="11"/>
        <v>5032.363353685163</v>
      </c>
      <c r="AH25" s="974">
        <f t="shared" si="11"/>
        <v>1461.6651325643431</v>
      </c>
      <c r="AI25" s="975">
        <f t="shared" si="11"/>
        <v>3288.9188607240285</v>
      </c>
    </row>
    <row r="26" spans="2:35" x14ac:dyDescent="0.3">
      <c r="B26" s="900">
        <v>14</v>
      </c>
      <c r="C26" s="918">
        <f>'Energy Inputs'!D43</f>
        <v>0</v>
      </c>
      <c r="D26" s="918">
        <f>C26*'Energy Inputs'!$D$24</f>
        <v>0</v>
      </c>
      <c r="E26" s="197">
        <f>'Energy margins'!$E$12</f>
        <v>72</v>
      </c>
      <c r="F26" s="918">
        <f>D26*E26</f>
        <v>0</v>
      </c>
      <c r="G26" s="918">
        <f>'Energy Inputs'!$D$10</f>
        <v>175.95</v>
      </c>
      <c r="H26" s="197">
        <f t="shared" si="3"/>
        <v>175.95</v>
      </c>
      <c r="I26" s="199"/>
      <c r="J26" s="920">
        <f>IF(ISERROR(IF(MOD(IF(AND(B26&gt;='Energy margins'!$F$44,B26&lt;='Energy margins'!$G$44),B26-'Energy margins'!$F$44,""),'Energy margins'!$H$44)=0,'Energy margins'!$E$44,0)),0,IF(MOD(IF(AND(B26&gt;='Energy margins'!$F$44,B26&lt;='Energy margins'!$G$44),B26-'Energy margins'!$F$44,""),'Energy margins'!$H$44)=0,'Energy margins'!$E$44,0))</f>
        <v>0</v>
      </c>
      <c r="K26" s="918">
        <f>IF(ISERROR(IF(MOD(IF(AND(B26&gt;='Energy margins'!$F$45,B26&lt;='Energy margins'!$G$45),B26-'Energy margins'!$F$45,""),'Energy margins'!$H$45)=0,'Energy margins'!$E$45,0)),0,IF(MOD(IF(AND(B26&gt;='Energy margins'!$F$45,B26&lt;='Energy margins'!$G$45),B26-'Energy margins'!$F$45,""),'Energy margins'!$H$45)=0,'Energy margins'!$E$45,0))</f>
        <v>0</v>
      </c>
      <c r="L26" s="918">
        <f>IF(ISERROR(IF(MOD(IF(AND(B26&gt;='Energy margins'!$F$46,B26&lt;='Energy margins'!$G$46),B26-'Energy margins'!$F$46,""),'Energy margins'!$H$46)=0,'Energy margins'!$E$46,0)),0,IF(MOD(IF(AND(B26&gt;='Energy margins'!$F$46,B26&lt;='Energy margins'!$G$46),B26-'Energy margins'!$F$46,""),'Energy margins'!$H$46)=0,'Energy margins'!$E$46,0))</f>
        <v>0</v>
      </c>
      <c r="M26" s="918">
        <f>IF(ISERROR(IF(MOD(IF(AND(B26&gt;='Energy margins'!$F$47,B26&lt;='Energy margins'!$G$47),B26-'Energy margins'!$F$47,""),'Energy margins'!$H$47)=0,'Energy margins'!$E$47,0)),0,IF(MOD(IF(AND(B26&gt;='Energy margins'!$F$47,B26&lt;='Energy margins'!$G$47),B26-'Energy margins'!$F$47,""),'Energy margins'!$H$47)=0,'Energy margins'!$E$47,0))</f>
        <v>0</v>
      </c>
      <c r="N26" s="918">
        <f>IF(ISERROR(IF(MOD(IF(AND(B26&gt;='Energy margins'!$F$50,B26&lt;='Energy margins'!$G$50),B26-'Energy margins'!$F$50,""),'Energy margins'!$H$50)=0,'Energy margins'!$E$50,0)),0,IF(MOD(IF(AND(B26&gt;='Energy margins'!$F$50,B26&lt;='Energy margins'!$G$50),B26-'Energy margins'!$F$50,""),'Energy margins'!$H$50)=0,'Energy margins'!$E$50,0))</f>
        <v>0</v>
      </c>
      <c r="O26" s="918">
        <f>IF(ISERROR(IF(MOD(IF(AND(B26&gt;='Energy margins'!$F$53,B26&lt;='Energy margins'!$G$53),B26-'Energy margins'!$F$53,""),'Energy margins'!$H$53)=0,'Energy margins'!$E$53,0)),0,IF(MOD(IF(AND(B26&gt;='Energy margins'!$F$53,B26&lt;='Energy margins'!$G$53),B26-'Energy margins'!$F$53,""),'Energy margins'!$H$53)=0,'Energy margins'!$E$53,0))</f>
        <v>0</v>
      </c>
      <c r="P26" s="918">
        <f>IF(ISERROR(IF(MOD(IF(AND(B26&gt;='Energy margins'!$F$56,B26&lt;='Energy margins'!$G$56),B26-'Energy margins'!$F$56,""),'Energy margins'!$H$56)=0,'Energy margins'!$E$56,0)),0,IF(MOD(IF(AND(B26&gt;='Energy margins'!$F$56,B26&lt;='Energy margins'!$G$56),B26-'Energy margins'!$F$56,""),'Energy margins'!$H$56)=0,'Energy margins'!$E$56,0))</f>
        <v>0</v>
      </c>
      <c r="Q26" s="918">
        <f>IF(ISERROR(IF(MOD(IF(AND(B26&gt;='Energy margins'!$F$59,B26&lt;='Energy margins'!$G$59),B26-'Energy margins'!$F$59,""),'Energy margins'!$H$59)=0,'Energy margins'!$E$59,0)),0,IF(MOD(IF(AND(B26&gt;='Energy margins'!$F$59,B26&lt;='Energy margins'!$G$59),B26-'Energy margins'!$F$59,""),'Energy margins'!$H$59)=0,'Energy margins'!$E$59,0))</f>
        <v>0</v>
      </c>
      <c r="R26" s="918">
        <f>IF(ISERROR(IF(MOD(IF(AND(B26&gt;='Energy margins'!$F$60,B26&lt;='Energy margins'!$G$60),B26-'Energy margins'!$F$60,""),'Energy margins'!$H$60)=0,'Energy margins'!$E$60,0)),0,IF(MOD(IF(AND(B26&gt;='Energy margins'!$F$60,B26&lt;='Energy margins'!$G$60),B26-'Energy margins'!$F$60,""),'Energy margins'!$H$60)=0,'Energy margins'!$E$60,0))</f>
        <v>0</v>
      </c>
      <c r="S26" s="918">
        <f>IF(ISERROR(IF(MOD(IF(AND(B26&gt;='Energy margins'!$F$61,B26&lt;='Energy margins'!$G$61),B26-'Energy margins'!$F$61,""),'Energy margins'!$H$61)=0,'Energy margins'!$E$61,0)),0,IF(MOD(IF(AND(B26&gt;='Energy margins'!$F$61,B26&lt;='Energy margins'!$G$61),B26-'Energy margins'!$F$61,""),'Energy margins'!$H$61)=0,'Energy margins'!$E$61,0))</f>
        <v>0</v>
      </c>
      <c r="T26" s="918">
        <f>IF(ISERROR(IF(MOD(IF(AND(B26&gt;='Energy margins'!$F$62,B26&lt;='Energy margins'!$G$62),B26-'Energy margins'!$F$62,""),'Energy margins'!$H$62)=0,'Energy margins'!$E$62,0)),0,IF(MOD(IF(AND(B26&gt;='Energy margins'!$F$62,B26&lt;='Energy margins'!$G$62),B26-'Energy margins'!$F$62,""),'Energy margins'!$H$62)=0,'Energy margins'!$E$62,0))</f>
        <v>0</v>
      </c>
      <c r="U26" s="944">
        <f t="shared" si="4"/>
        <v>0</v>
      </c>
      <c r="V26" s="197"/>
      <c r="W26" s="197">
        <f t="shared" si="5"/>
        <v>0</v>
      </c>
      <c r="X26" s="197">
        <f t="shared" si="1"/>
        <v>0</v>
      </c>
      <c r="Y26" s="197">
        <f t="shared" si="2"/>
        <v>175.95</v>
      </c>
      <c r="Z26" s="973">
        <f t="shared" si="6"/>
        <v>0</v>
      </c>
      <c r="AA26" s="974">
        <f t="shared" si="7"/>
        <v>105.67101045539658</v>
      </c>
      <c r="AB26" s="974">
        <f t="shared" si="8"/>
        <v>0</v>
      </c>
      <c r="AC26" s="974">
        <f t="shared" si="9"/>
        <v>0</v>
      </c>
      <c r="AD26" s="974">
        <f t="shared" si="10"/>
        <v>105.67101045539658</v>
      </c>
      <c r="AE26" s="973">
        <f t="shared" si="12"/>
        <v>6494.0284862495055</v>
      </c>
      <c r="AF26" s="974">
        <f t="shared" si="11"/>
        <v>1932.9247386150832</v>
      </c>
      <c r="AG26" s="974">
        <f t="shared" si="11"/>
        <v>5032.363353685163</v>
      </c>
      <c r="AH26" s="974">
        <f t="shared" si="11"/>
        <v>1461.6651325643431</v>
      </c>
      <c r="AI26" s="975">
        <f t="shared" si="11"/>
        <v>3394.5898711794252</v>
      </c>
    </row>
    <row r="27" spans="2:35" x14ac:dyDescent="0.3">
      <c r="B27" s="900">
        <v>15</v>
      </c>
      <c r="C27" s="918">
        <f>'Energy Inputs'!D44</f>
        <v>0</v>
      </c>
      <c r="D27" s="918">
        <f>C27*'Energy Inputs'!$D$24</f>
        <v>0</v>
      </c>
      <c r="E27" s="197">
        <f>'Energy margins'!$E$12</f>
        <v>72</v>
      </c>
      <c r="F27" s="918">
        <f t="shared" si="0"/>
        <v>0</v>
      </c>
      <c r="G27" s="918">
        <f>'Energy Inputs'!$D$10</f>
        <v>175.95</v>
      </c>
      <c r="H27" s="197">
        <f t="shared" si="3"/>
        <v>175.95</v>
      </c>
      <c r="I27" s="199"/>
      <c r="J27" s="920">
        <f>IF(ISERROR(IF(MOD(IF(AND(B27&gt;='Energy margins'!$F$44,B27&lt;='Energy margins'!$G$44),B27-'Energy margins'!$F$44,""),'Energy margins'!$H$44)=0,'Energy margins'!$E$44,0)),0,IF(MOD(IF(AND(B27&gt;='Energy margins'!$F$44,B27&lt;='Energy margins'!$G$44),B27-'Energy margins'!$F$44,""),'Energy margins'!$H$44)=0,'Energy margins'!$E$44,0))</f>
        <v>0</v>
      </c>
      <c r="K27" s="918">
        <f>IF(ISERROR(IF(MOD(IF(AND(B27&gt;='Energy margins'!$F$45,B27&lt;='Energy margins'!$G$45),B27-'Energy margins'!$F$45,""),'Energy margins'!$H$45)=0,'Energy margins'!$E$45,0)),0,IF(MOD(IF(AND(B27&gt;='Energy margins'!$F$45,B27&lt;='Energy margins'!$G$45),B27-'Energy margins'!$F$45,""),'Energy margins'!$H$45)=0,'Energy margins'!$E$45,0))</f>
        <v>0</v>
      </c>
      <c r="L27" s="918">
        <f>IF(ISERROR(IF(MOD(IF(AND(B27&gt;='Energy margins'!$F$46,B27&lt;='Energy margins'!$G$46),B27-'Energy margins'!$F$46,""),'Energy margins'!$H$46)=0,'Energy margins'!$E$46,0)),0,IF(MOD(IF(AND(B27&gt;='Energy margins'!$F$46,B27&lt;='Energy margins'!$G$46),B27-'Energy margins'!$F$46,""),'Energy margins'!$H$46)=0,'Energy margins'!$E$46,0))</f>
        <v>0</v>
      </c>
      <c r="M27" s="918">
        <f>IF(ISERROR(IF(MOD(IF(AND(B27&gt;='Energy margins'!$F$47,B27&lt;='Energy margins'!$G$47),B27-'Energy margins'!$F$47,""),'Energy margins'!$H$47)=0,'Energy margins'!$E$47,0)),0,IF(MOD(IF(AND(B27&gt;='Energy margins'!$F$47,B27&lt;='Energy margins'!$G$47),B27-'Energy margins'!$F$47,""),'Energy margins'!$H$47)=0,'Energy margins'!$E$47,0))</f>
        <v>0</v>
      </c>
      <c r="N27" s="918">
        <f>IF(ISERROR(IF(MOD(IF(AND(B27&gt;='Energy margins'!$F$50,B27&lt;='Energy margins'!$G$50),B27-'Energy margins'!$F$50,""),'Energy margins'!$H$50)=0,'Energy margins'!$E$50,0)),0,IF(MOD(IF(AND(B27&gt;='Energy margins'!$F$50,B27&lt;='Energy margins'!$G$50),B27-'Energy margins'!$F$50,""),'Energy margins'!$H$50)=0,'Energy margins'!$E$50,0))</f>
        <v>0</v>
      </c>
      <c r="O27" s="918">
        <f>IF(ISERROR(IF(MOD(IF(AND(B27&gt;='Energy margins'!$F$53,B27&lt;='Energy margins'!$G$53),B27-'Energy margins'!$F$53,""),'Energy margins'!$H$53)=0,'Energy margins'!$E$53,0)),0,IF(MOD(IF(AND(B27&gt;='Energy margins'!$F$53,B27&lt;='Energy margins'!$G$53),B27-'Energy margins'!$F$53,""),'Energy margins'!$H$53)=0,'Energy margins'!$E$53,0))</f>
        <v>0</v>
      </c>
      <c r="P27" s="918">
        <f>IF(ISERROR(IF(MOD(IF(AND(B27&gt;='Energy margins'!$F$56,B27&lt;='Energy margins'!$G$56),B27-'Energy margins'!$F$56,""),'Energy margins'!$H$56)=0,'Energy margins'!$E$56,0)),0,IF(MOD(IF(AND(B27&gt;='Energy margins'!$F$56,B27&lt;='Energy margins'!$G$56),B27-'Energy margins'!$F$56,""),'Energy margins'!$H$56)=0,'Energy margins'!$E$56,0))</f>
        <v>0</v>
      </c>
      <c r="Q27" s="918">
        <f>IF(ISERROR(IF(MOD(IF(AND(B27&gt;='Energy margins'!$F$59,B27&lt;='Energy margins'!$G$59),B27-'Energy margins'!$F$59,""),'Energy margins'!$H$59)=0,'Energy margins'!$E$59,0)),0,IF(MOD(IF(AND(B27&gt;='Energy margins'!$F$59,B27&lt;='Energy margins'!$G$59),B27-'Energy margins'!$F$59,""),'Energy margins'!$H$59)=0,'Energy margins'!$E$59,0))</f>
        <v>0</v>
      </c>
      <c r="R27" s="918">
        <f>IF(ISERROR(IF(MOD(IF(AND(B27&gt;='Energy margins'!$F$60,B27&lt;='Energy margins'!$G$60),B27-'Energy margins'!$F$60,""),'Energy margins'!$H$60)=0,'Energy margins'!$E$60,0)),0,IF(MOD(IF(AND(B27&gt;='Energy margins'!$F$60,B27&lt;='Energy margins'!$G$60),B27-'Energy margins'!$F$60,""),'Energy margins'!$H$60)=0,'Energy margins'!$E$60,0))</f>
        <v>0</v>
      </c>
      <c r="S27" s="918">
        <f>IF(ISERROR(IF(MOD(IF(AND(B27&gt;='Energy margins'!$F$61,B27&lt;='Energy margins'!$G$61),B27-'Energy margins'!$F$61,""),'Energy margins'!$H$61)=0,'Energy margins'!$E$61,0)),0,IF(MOD(IF(AND(B27&gt;='Energy margins'!$F$61,B27&lt;='Energy margins'!$G$61),B27-'Energy margins'!$F$61,""),'Energy margins'!$H$61)=0,'Energy margins'!$E$61,0))</f>
        <v>0</v>
      </c>
      <c r="T27" s="918">
        <f>IF(ISERROR(IF(MOD(IF(AND(B27&gt;='Energy margins'!$F$62,B27&lt;='Energy margins'!$G$62),B27-'Energy margins'!$F$62,""),'Energy margins'!$H$62)=0,'Energy margins'!$E$62,0)),0,IF(MOD(IF(AND(B27&gt;='Energy margins'!$F$62,B27&lt;='Energy margins'!$G$62),B27-'Energy margins'!$F$62,""),'Energy margins'!$H$62)=0,'Energy margins'!$E$62,0))</f>
        <v>0</v>
      </c>
      <c r="U27" s="944">
        <f t="shared" si="4"/>
        <v>0</v>
      </c>
      <c r="V27" s="197"/>
      <c r="W27" s="197">
        <f t="shared" si="5"/>
        <v>0</v>
      </c>
      <c r="X27" s="197">
        <f t="shared" si="1"/>
        <v>0</v>
      </c>
      <c r="Y27" s="197">
        <f t="shared" si="2"/>
        <v>175.95</v>
      </c>
      <c r="Z27" s="973">
        <f t="shared" si="6"/>
        <v>0</v>
      </c>
      <c r="AA27" s="974">
        <f t="shared" si="7"/>
        <v>101.60674082249672</v>
      </c>
      <c r="AB27" s="974">
        <f t="shared" si="8"/>
        <v>0</v>
      </c>
      <c r="AC27" s="974">
        <f t="shared" si="9"/>
        <v>0</v>
      </c>
      <c r="AD27" s="974">
        <f t="shared" si="10"/>
        <v>101.60674082249672</v>
      </c>
      <c r="AE27" s="973">
        <f t="shared" si="12"/>
        <v>6494.0284862495055</v>
      </c>
      <c r="AF27" s="974">
        <f t="shared" si="11"/>
        <v>2034.5314794375799</v>
      </c>
      <c r="AG27" s="974">
        <f t="shared" si="11"/>
        <v>5032.363353685163</v>
      </c>
      <c r="AH27" s="974">
        <f t="shared" si="11"/>
        <v>1461.6651325643431</v>
      </c>
      <c r="AI27" s="975">
        <f t="shared" si="11"/>
        <v>3496.1966120019219</v>
      </c>
    </row>
    <row r="28" spans="2:35" x14ac:dyDescent="0.3">
      <c r="B28" s="901">
        <v>16</v>
      </c>
      <c r="C28" s="919">
        <f>'Energy Inputs'!D45</f>
        <v>1</v>
      </c>
      <c r="D28" s="919">
        <f>C28*'Energy Inputs'!$D$24</f>
        <v>30</v>
      </c>
      <c r="E28" s="207">
        <f>'Energy margins'!$E$12</f>
        <v>72</v>
      </c>
      <c r="F28" s="919">
        <f t="shared" si="0"/>
        <v>2160</v>
      </c>
      <c r="G28" s="919">
        <f>'Energy Inputs'!$D$10</f>
        <v>175.95</v>
      </c>
      <c r="H28" s="207">
        <f t="shared" si="3"/>
        <v>2335.9499999999998</v>
      </c>
      <c r="I28" s="209"/>
      <c r="J28" s="921">
        <f>IF(ISERROR(IF(MOD(IF(AND(B28&gt;='Energy margins'!$F$44,B28&lt;='Energy margins'!$G$44),B28-'Energy margins'!$F$44,""),'Energy margins'!$H$44)=0,'Energy margins'!$E$44,0)),0,IF(MOD(IF(AND(B28&gt;='Energy margins'!$F$44,B28&lt;='Energy margins'!$G$44),B28-'Energy margins'!$F$44,""),'Energy margins'!$H$44)=0,'Energy margins'!$E$44,0))</f>
        <v>0</v>
      </c>
      <c r="K28" s="919">
        <f>IF(ISERROR(IF(MOD(IF(AND(B28&gt;='Energy margins'!$F$45,B28&lt;='Energy margins'!$G$45),B28-'Energy margins'!$F$45,""),'Energy margins'!$H$45)=0,'Energy margins'!$E$45,0)),0,IF(MOD(IF(AND(B28&gt;='Energy margins'!$F$45,B28&lt;='Energy margins'!$G$45),B28-'Energy margins'!$F$45,""),'Energy margins'!$H$45)=0,'Energy margins'!$E$45,0))</f>
        <v>0</v>
      </c>
      <c r="L28" s="919">
        <f>IF(ISERROR(IF(MOD(IF(AND(B28&gt;='Energy margins'!$F$46,B28&lt;='Energy margins'!$G$46),B28-'Energy margins'!$F$46,""),'Energy margins'!$H$46)=0,'Energy margins'!$E$46,0)),0,IF(MOD(IF(AND(B28&gt;='Energy margins'!$F$46,B28&lt;='Energy margins'!$G$46),B28-'Energy margins'!$F$46,""),'Energy margins'!$H$46)=0,'Energy margins'!$E$46,0))</f>
        <v>0</v>
      </c>
      <c r="M28" s="919">
        <f>IF(ISERROR(IF(MOD(IF(AND(B28&gt;='Energy margins'!$F$47,B28&lt;='Energy margins'!$G$47),B28-'Energy margins'!$F$47,""),'Energy margins'!$H$47)=0,'Energy margins'!$E$47,0)),0,IF(MOD(IF(AND(B28&gt;='Energy margins'!$F$47,B28&lt;='Energy margins'!$G$47),B28-'Energy margins'!$F$47,""),'Energy margins'!$H$47)=0,'Energy margins'!$E$47,0))</f>
        <v>19.974783999999993</v>
      </c>
      <c r="N28" s="919">
        <f>IF(ISERROR(IF(MOD(IF(AND(B28&gt;='Energy margins'!$F$50,B28&lt;='Energy margins'!$G$50),B28-'Energy margins'!$F$50,""),'Energy margins'!$H$50)=0,'Energy margins'!$E$50,0)),0,IF(MOD(IF(AND(B28&gt;='Energy margins'!$F$50,B28&lt;='Energy margins'!$G$50),B28-'Energy margins'!$F$50,""),'Energy margins'!$H$50)=0,'Energy margins'!$E$50,0))</f>
        <v>54.36</v>
      </c>
      <c r="O28" s="919">
        <f>IF(ISERROR(IF(MOD(IF(AND(B28&gt;='Energy margins'!$F$53,B28&lt;='Energy margins'!$G$53),B28-'Energy margins'!$F$53,""),'Energy margins'!$H$53)=0,'Energy margins'!$E$53,0)),0,IF(MOD(IF(AND(B28&gt;='Energy margins'!$F$53,B28&lt;='Energy margins'!$G$53),B28-'Energy margins'!$F$53,""),'Energy margins'!$H$53)=0,'Energy margins'!$E$53,0))</f>
        <v>53.35</v>
      </c>
      <c r="P28" s="919">
        <f>IF(ISERROR(IF(MOD(IF(AND(B28&gt;='Energy margins'!$F$56,B28&lt;='Energy margins'!$G$56),B28-'Energy margins'!$F$56,""),'Energy margins'!$H$56)=0,'Energy margins'!$E$56,0)),0,IF(MOD(IF(AND(B28&gt;='Energy margins'!$F$56,B28&lt;='Energy margins'!$G$56),B28-'Energy margins'!$F$56,""),'Energy margins'!$H$56)=0,'Energy margins'!$E$56,0))</f>
        <v>23.112000000000002</v>
      </c>
      <c r="Q28" s="919">
        <f>IF(ISERROR(IF(MOD(IF(AND(B28&gt;='Energy margins'!$F$59,B28&lt;='Energy margins'!$G$59),B28-'Energy margins'!$F$59,""),'Energy margins'!$H$59)=0,'Energy margins'!$E$59,0)),0,IF(MOD(IF(AND(B28&gt;='Energy margins'!$F$59,B28&lt;='Energy margins'!$G$59),B28-'Energy margins'!$F$59,""),'Energy margins'!$H$59)=0,'Energy margins'!$E$59,0))</f>
        <v>508.49999999999994</v>
      </c>
      <c r="R28" s="919">
        <f>IF(ISERROR(IF(MOD(IF(AND(B28&gt;='Energy margins'!$F$60,B28&lt;='Energy margins'!$G$60),B28-'Energy margins'!$F$60,""),'Energy margins'!$H$60)=0,'Energy margins'!$E$60,0)),0,IF(MOD(IF(AND(B28&gt;='Energy margins'!$F$60,B28&lt;='Energy margins'!$G$60),B28-'Energy margins'!$F$60,""),'Energy margins'!$H$60)=0,'Energy margins'!$E$60,0))</f>
        <v>0</v>
      </c>
      <c r="S28" s="919">
        <f>IF(ISERROR(IF(MOD(IF(AND(B28&gt;='Energy margins'!$F$61,B28&lt;='Energy margins'!$G$61),B28-'Energy margins'!$F$61,""),'Energy margins'!$H$61)=0,'Energy margins'!$E$61,0)),0,IF(MOD(IF(AND(B28&gt;='Energy margins'!$F$61,B28&lt;='Energy margins'!$G$61),B28-'Energy margins'!$F$61,""),'Energy margins'!$H$61)=0,'Energy margins'!$E$61,0))</f>
        <v>0</v>
      </c>
      <c r="T28" s="919">
        <f>IF(ISERROR(IF(MOD(IF(AND(B28&gt;='Energy margins'!$F$62,B28&lt;='Energy margins'!$G$62),B28-'Energy margins'!$F$62,""),'Energy margins'!$H$62)=0,'Energy margins'!$E$62,0)),0,IF(MOD(IF(AND(B28&gt;='Energy margins'!$F$62,B28&lt;='Energy margins'!$G$62),B28-'Energy margins'!$F$62,""),'Energy margins'!$H$62)=0,'Energy margins'!$E$62,0))</f>
        <v>0</v>
      </c>
      <c r="U28" s="946">
        <f t="shared" si="4"/>
        <v>659.29678399999989</v>
      </c>
      <c r="V28" s="207">
        <f>'Energy margins'!J67</f>
        <v>192.1</v>
      </c>
      <c r="W28" s="207">
        <f t="shared" si="5"/>
        <v>851.39678399999991</v>
      </c>
      <c r="X28" s="207">
        <f t="shared" si="1"/>
        <v>1308.603216</v>
      </c>
      <c r="Y28" s="207">
        <f t="shared" si="2"/>
        <v>1484.5532159999998</v>
      </c>
      <c r="Z28" s="976">
        <f t="shared" si="6"/>
        <v>1199.3713258606736</v>
      </c>
      <c r="AA28" s="977">
        <f t="shared" si="7"/>
        <v>97.698789252400701</v>
      </c>
      <c r="AB28" s="977">
        <f t="shared" si="8"/>
        <v>472.7504118794414</v>
      </c>
      <c r="AC28" s="977">
        <f t="shared" si="9"/>
        <v>726.62091398123209</v>
      </c>
      <c r="AD28" s="978">
        <f t="shared" si="10"/>
        <v>824.31970323363271</v>
      </c>
      <c r="AE28" s="976">
        <f t="shared" si="12"/>
        <v>7693.3998121101795</v>
      </c>
      <c r="AF28" s="977">
        <f t="shared" si="11"/>
        <v>2132.2302686899807</v>
      </c>
      <c r="AG28" s="977">
        <f t="shared" si="11"/>
        <v>5505.1137655646044</v>
      </c>
      <c r="AH28" s="977">
        <f t="shared" si="11"/>
        <v>2188.2860465455751</v>
      </c>
      <c r="AI28" s="978">
        <f t="shared" si="11"/>
        <v>4320.5163152355544</v>
      </c>
    </row>
    <row r="31" spans="2:35" x14ac:dyDescent="0.3">
      <c r="J31" t="s">
        <v>574</v>
      </c>
    </row>
    <row r="32" spans="2:35" x14ac:dyDescent="0.3">
      <c r="J32" t="s">
        <v>575</v>
      </c>
    </row>
    <row r="33" spans="2:35" x14ac:dyDescent="0.3">
      <c r="J33" t="s">
        <v>576</v>
      </c>
    </row>
    <row r="34" spans="2:35" x14ac:dyDescent="0.3">
      <c r="J34" t="s">
        <v>577</v>
      </c>
    </row>
    <row r="35" spans="2:35" x14ac:dyDescent="0.3">
      <c r="B35" s="211" t="s">
        <v>95</v>
      </c>
      <c r="C35" s="230"/>
      <c r="D35" s="230"/>
      <c r="E35" s="230"/>
      <c r="F35" s="194"/>
      <c r="G35" s="193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</row>
    <row r="36" spans="2:35" x14ac:dyDescent="0.3">
      <c r="B36" s="203"/>
      <c r="C36" s="148"/>
      <c r="D36" s="148"/>
      <c r="E36" s="148"/>
      <c r="F36" s="1086"/>
      <c r="G36" s="1086"/>
      <c r="H36" s="1086"/>
      <c r="I36" s="148"/>
      <c r="J36" s="961" t="s">
        <v>88</v>
      </c>
      <c r="K36" s="962"/>
      <c r="L36" s="962"/>
      <c r="M36" s="962"/>
      <c r="N36" s="962"/>
      <c r="O36" s="962"/>
      <c r="P36" s="962"/>
      <c r="Q36" s="962"/>
      <c r="R36" s="962"/>
      <c r="S36" s="962"/>
      <c r="T36" s="962"/>
      <c r="U36" s="963"/>
      <c r="V36" s="1086"/>
      <c r="W36" s="1086"/>
      <c r="X36" s="148"/>
      <c r="Y36" s="148"/>
      <c r="Z36" s="1087" t="s">
        <v>275</v>
      </c>
      <c r="AA36" s="1088"/>
      <c r="AB36" s="1088"/>
      <c r="AC36" s="1088"/>
      <c r="AD36" s="1089"/>
      <c r="AE36" s="1087" t="s">
        <v>276</v>
      </c>
      <c r="AF36" s="1088"/>
      <c r="AG36" s="1088"/>
      <c r="AH36" s="1088"/>
      <c r="AI36" s="1089"/>
    </row>
    <row r="37" spans="2:35" ht="51" x14ac:dyDescent="0.3">
      <c r="B37" s="204" t="s">
        <v>277</v>
      </c>
      <c r="C37" s="205" t="s">
        <v>565</v>
      </c>
      <c r="D37" s="205" t="s">
        <v>303</v>
      </c>
      <c r="E37" s="205" t="s">
        <v>304</v>
      </c>
      <c r="F37" s="171" t="s">
        <v>675</v>
      </c>
      <c r="G37" s="171" t="s">
        <v>666</v>
      </c>
      <c r="H37" s="171" t="s">
        <v>676</v>
      </c>
      <c r="I37" s="205" t="s">
        <v>301</v>
      </c>
      <c r="J37" s="933" t="s">
        <v>255</v>
      </c>
      <c r="K37" s="934" t="s">
        <v>35</v>
      </c>
      <c r="L37" s="934" t="s">
        <v>548</v>
      </c>
      <c r="M37" s="934" t="s">
        <v>147</v>
      </c>
      <c r="N37" s="935" t="s">
        <v>571</v>
      </c>
      <c r="O37" s="935" t="s">
        <v>572</v>
      </c>
      <c r="P37" s="935" t="s">
        <v>573</v>
      </c>
      <c r="Q37" s="949" t="s">
        <v>182</v>
      </c>
      <c r="R37" s="949" t="s">
        <v>478</v>
      </c>
      <c r="S37" s="950" t="s">
        <v>479</v>
      </c>
      <c r="T37" s="949" t="s">
        <v>480</v>
      </c>
      <c r="U37" s="936" t="s">
        <v>302</v>
      </c>
      <c r="V37" s="205" t="s">
        <v>305</v>
      </c>
      <c r="W37" s="171" t="s">
        <v>283</v>
      </c>
      <c r="X37" s="171" t="s">
        <v>677</v>
      </c>
      <c r="Y37" s="171" t="s">
        <v>678</v>
      </c>
      <c r="Z37" s="195" t="s">
        <v>286</v>
      </c>
      <c r="AA37" s="171" t="s">
        <v>679</v>
      </c>
      <c r="AB37" s="171" t="s">
        <v>288</v>
      </c>
      <c r="AC37" s="171" t="s">
        <v>680</v>
      </c>
      <c r="AD37" s="198" t="s">
        <v>290</v>
      </c>
      <c r="AE37" s="195" t="s">
        <v>291</v>
      </c>
      <c r="AF37" s="171" t="s">
        <v>681</v>
      </c>
      <c r="AG37" s="171" t="s">
        <v>293</v>
      </c>
      <c r="AH37" s="171" t="s">
        <v>682</v>
      </c>
      <c r="AI37" s="198" t="s">
        <v>295</v>
      </c>
    </row>
    <row r="38" spans="2:35" x14ac:dyDescent="0.3">
      <c r="B38" s="173"/>
      <c r="C38" s="226" t="s">
        <v>566</v>
      </c>
      <c r="D38" s="226" t="s">
        <v>341</v>
      </c>
      <c r="E38" s="226" t="s">
        <v>601</v>
      </c>
      <c r="F38" s="226" t="s">
        <v>599</v>
      </c>
      <c r="G38" s="226" t="s">
        <v>599</v>
      </c>
      <c r="H38" s="226" t="s">
        <v>599</v>
      </c>
      <c r="I38" s="226" t="s">
        <v>599</v>
      </c>
      <c r="J38" s="951" t="s">
        <v>599</v>
      </c>
      <c r="K38" s="952" t="s">
        <v>599</v>
      </c>
      <c r="L38" s="952" t="s">
        <v>599</v>
      </c>
      <c r="M38" s="952" t="s">
        <v>599</v>
      </c>
      <c r="N38" s="952" t="s">
        <v>599</v>
      </c>
      <c r="O38" s="952" t="s">
        <v>599</v>
      </c>
      <c r="P38" s="952" t="s">
        <v>599</v>
      </c>
      <c r="Q38" s="953" t="s">
        <v>599</v>
      </c>
      <c r="R38" s="953" t="s">
        <v>599</v>
      </c>
      <c r="S38" s="953" t="s">
        <v>599</v>
      </c>
      <c r="T38" s="953" t="s">
        <v>601</v>
      </c>
      <c r="U38" s="954" t="s">
        <v>599</v>
      </c>
      <c r="V38" s="226" t="s">
        <v>599</v>
      </c>
      <c r="W38" s="226" t="s">
        <v>599</v>
      </c>
      <c r="X38" s="226" t="s">
        <v>599</v>
      </c>
      <c r="Y38" s="730" t="s">
        <v>599</v>
      </c>
      <c r="Z38" s="226" t="s">
        <v>599</v>
      </c>
      <c r="AA38" s="226" t="s">
        <v>599</v>
      </c>
      <c r="AB38" s="226" t="s">
        <v>599</v>
      </c>
      <c r="AC38" s="226" t="s">
        <v>599</v>
      </c>
      <c r="AD38" s="730" t="s">
        <v>599</v>
      </c>
      <c r="AE38" s="226" t="s">
        <v>599</v>
      </c>
      <c r="AF38" s="226" t="s">
        <v>599</v>
      </c>
      <c r="AG38" s="226" t="s">
        <v>599</v>
      </c>
      <c r="AH38" s="226" t="s">
        <v>599</v>
      </c>
      <c r="AI38" s="730" t="s">
        <v>599</v>
      </c>
    </row>
    <row r="39" spans="2:35" x14ac:dyDescent="0.3">
      <c r="B39" s="899">
        <v>1</v>
      </c>
      <c r="C39" s="922">
        <f>'Energy Inputs'!E30</f>
        <v>4.784688995215311E-2</v>
      </c>
      <c r="D39" s="918">
        <f>C39*'Energy Inputs'!$E$24</f>
        <v>0.6</v>
      </c>
      <c r="E39" s="197">
        <f>'Energy margins'!$L$12</f>
        <v>72</v>
      </c>
      <c r="F39" s="197">
        <f>D39*E39</f>
        <v>43.199999999999996</v>
      </c>
      <c r="G39" s="928">
        <f>'Energy Inputs'!$D$10</f>
        <v>175.95</v>
      </c>
      <c r="H39" s="197">
        <f>F39+G39</f>
        <v>219.14999999999998</v>
      </c>
      <c r="I39" s="197">
        <f>'Margins summary'!R20</f>
        <v>2224.610784</v>
      </c>
      <c r="J39" s="941">
        <f>IF(ISERROR(IF(MOD(IF(AND(B39&gt;='Energy margins'!$M$44,B39&lt;='Energy margins'!$N$44),B39-'Energy margins'!$M$44,""),'Energy margins'!$O$44)=0,'Energy margins'!$L$44,0)),0,IF(MOD(IF(AND(B39&gt;='Energy margins'!$M$44,B39&lt;='Energy margins'!$N$44),B39-'Energy margins'!$M$44,""),'Energy margins'!$O$44)=0,'Energy margins'!$L$44,0))</f>
        <v>0</v>
      </c>
      <c r="K39" s="928">
        <f>IF(ISERROR(IF(MOD(IF(AND(B39&gt;='Energy margins'!$M$45,B39&lt;='Energy margins'!$N$45),B39-'Energy margins'!$M$45,""),'Energy margins'!$O$45)=0,'Energy margins'!$L$45,0)),0,IF(MOD(IF(AND(B39&gt;='Energy margins'!$M$45,B39&lt;='Energy margins'!$N$45),B39-'Energy margins'!$M$45,""),'Energy margins'!$O$45)=0,'Energy margins'!$L$45,0))</f>
        <v>0</v>
      </c>
      <c r="L39" s="928">
        <f>IF(ISERROR(IF(MOD(IF(AND(B39&gt;='Energy margins'!$M$46,B39&lt;='Energy margins'!$N$46),B39-'Energy margins'!$M$46,""),'Energy margins'!$O$46)=0,'Energy margins'!$L$46,0)),0,IF(MOD(IF(AND(B39&gt;='Energy margins'!$M$46,B39&lt;='Energy margins'!$N$46),B39-'Energy margins'!$M$46,""),'Energy margins'!$O$46)=0,'Energy margins'!$L$46,0))</f>
        <v>0</v>
      </c>
      <c r="M39" s="928">
        <f>IF(ISERROR(IF(MOD(IF(AND(B39&gt;='Energy margins'!$M$47,B39&lt;='Energy margins'!$N$47),B39-'Energy margins'!$M$47,""),'Energy margins'!$O$47)=0,'Energy margins'!$L$47,0)),0,IF(MOD(IF(AND(B39&gt;='Energy margins'!$M$47,B39&lt;='Energy margins'!$N$47),B39-'Energy margins'!$M$47,""),'Energy margins'!$O$47)=0,'Energy margins'!$L$47,0))</f>
        <v>0</v>
      </c>
      <c r="N39" s="928">
        <f>IF(ISERROR(IF(MOD(IF(AND(B39&gt;='Energy margins'!$M$50,B39&lt;='Energy margins'!$N$50),B39-'Energy margins'!$M$50,""),'Energy margins'!$O$50)=0,'Energy margins'!$L$50,0)),0,IF(MOD(IF(AND(B39&gt;='Energy margins'!$M$50,B39&lt;='Energy margins'!$N$50),B39-'Energy margins'!$M$50,""),'Energy margins'!$O$50)=0,'Energy margins'!$L$50,0))</f>
        <v>0</v>
      </c>
      <c r="O39" s="928">
        <f>IF(ISERROR(IF(MOD(IF(AND(B39&gt;='Energy margins'!$M$53,B39&lt;='Energy margins'!$N$53),B39-'Energy margins'!$M$53,""),'Energy margins'!$O$53)=0,'Energy margins'!$L$53,0)),0,IF(MOD(IF(AND(B39&gt;='Energy margins'!$M$53,B39&lt;='Energy margins'!$N$53),B39-'Energy margins'!$M$53,""),'Energy margins'!$O$53)=0,'Energy margins'!$L$53,0))</f>
        <v>0</v>
      </c>
      <c r="P39" s="928">
        <f>IF(ISERROR(IF(MOD(IF(AND(B39&gt;='Energy margins'!$M$56,B39&lt;='Energy margins'!$N$56),B39-'Energy margins'!$M$56,""),'Energy margins'!$O$56)=0,'Energy margins'!$L$56,0)),0,IF(MOD(IF(AND(B39&gt;='Energy margins'!$M$56,B39&lt;='Energy margins'!$N$56),B39-'Energy margins'!$M$56,""),'Energy margins'!$O$56)=0,'Energy margins'!$L$56,0))</f>
        <v>0</v>
      </c>
      <c r="Q39" s="928">
        <f>IF(ISERROR(IF(MOD(IF(AND(B39&gt;='Energy margins'!$M$59,B39&lt;='Energy margins'!$N$59),B39-'Energy margins'!$M$59,""),'Energy margins'!$O$59)=0,'Energy margins'!$L$59,0)),0,IF(MOD(IF(AND(B39&gt;='Energy margins'!$M$59,B39&lt;='Energy margins'!$N$59),B39-'Energy margins'!$M$59,""),'Energy margins'!$O$59)=0,'Energy margins'!$L$59,0))</f>
        <v>0</v>
      </c>
      <c r="R39" s="928">
        <f>IF(ISERROR(IF(MOD(IF(AND(B39&gt;='Energy margins'!$M$60,B39&lt;='Energy margins'!$N$60),B39-'Energy margins'!$M$60,""),'Energy margins'!$O$60)=0,'Energy margins'!$L$60,0)),0,IF(MOD(IF(AND(B39&gt;='Energy margins'!$M$60,B39&lt;='Energy margins'!$N$60),B39-'Energy margins'!$M$60,""),'Energy margins'!$O$60)=0,'Energy margins'!$L$60,0))</f>
        <v>0</v>
      </c>
      <c r="S39" s="928">
        <f>IF(ISERROR(IF(MOD(IF(AND(B39&gt;='Energy margins'!$M$61,B39&lt;='Energy margins'!$N$61),B39-'Energy margins'!$M$61,""),'Energy margins'!$O$61)=0,'Energy margins'!$L$61,0)),0,IF(MOD(IF(AND(B39&gt;='Energy margins'!$M$61,B39&lt;='Energy margins'!$N$61),B39-'Energy margins'!$M$61,""),'Energy margins'!$O$61)=0,'Energy margins'!$L$61,0))</f>
        <v>0</v>
      </c>
      <c r="T39" s="928">
        <f>IF(ISERROR(IF(MOD(IF(AND(B39&gt;='Energy margins'!$M$62,B39&lt;='Energy margins'!$N$62),B39-'Energy margins'!$M$62,""),'Energy margins'!$O$62)=0,'Energy margins'!$L$62,0)),0,IF(MOD(IF(AND(B39&gt;='Energy margins'!$M$62,B39&lt;='Energy margins'!$N$62),B39-'Energy margins'!$M$62,""),'Energy margins'!$O$62)=0,'Energy margins'!$L$62,0))</f>
        <v>0</v>
      </c>
      <c r="U39" s="942">
        <f>SUM(J39:T39)</f>
        <v>0</v>
      </c>
      <c r="V39" s="197"/>
      <c r="W39" s="197">
        <f>I39+U39+V39</f>
        <v>2224.610784</v>
      </c>
      <c r="X39" s="197">
        <f t="shared" ref="X39:X54" si="13">F39-W39</f>
        <v>-2181.4107840000001</v>
      </c>
      <c r="Y39" s="197">
        <f t="shared" ref="Y39:Y54" si="14">H39-W39</f>
        <v>-2005.4607839999999</v>
      </c>
      <c r="Z39" s="1019">
        <f>F39/((1+$C$6)^($B39-1))</f>
        <v>43.199999999999996</v>
      </c>
      <c r="AA39" s="979">
        <f>G39/((1+$C$6)^($B39-1))</f>
        <v>175.95</v>
      </c>
      <c r="AB39" s="979">
        <f>W39/((1+$C$6)^($B39-1))</f>
        <v>2224.610784</v>
      </c>
      <c r="AC39" s="979">
        <f t="shared" ref="AC39:AD39" si="15">X39/((1+$C$6)^($B39-1))</f>
        <v>-2181.4107840000001</v>
      </c>
      <c r="AD39" s="1020">
        <f t="shared" si="15"/>
        <v>-2005.4607839999999</v>
      </c>
      <c r="AE39" s="973">
        <f>Z39</f>
        <v>43.199999999999996</v>
      </c>
      <c r="AF39" s="974">
        <f>AA39</f>
        <v>175.95</v>
      </c>
      <c r="AG39" s="974">
        <f>AB39</f>
        <v>2224.610784</v>
      </c>
      <c r="AH39" s="974">
        <f>AC39</f>
        <v>-2181.4107840000001</v>
      </c>
      <c r="AI39" s="975">
        <f>AD39</f>
        <v>-2005.4607839999999</v>
      </c>
    </row>
    <row r="40" spans="2:35" x14ac:dyDescent="0.3">
      <c r="B40" s="900">
        <v>2</v>
      </c>
      <c r="C40" s="922">
        <f>'Energy Inputs'!E31</f>
        <v>0.31299840510366833</v>
      </c>
      <c r="D40" s="918">
        <f>C40*'Energy Inputs'!$E$24</f>
        <v>3.9250000000000007</v>
      </c>
      <c r="E40" s="197">
        <f>'Energy margins'!$L$12</f>
        <v>72</v>
      </c>
      <c r="F40" s="197">
        <f t="shared" ref="F40:F54" si="16">D40*E40</f>
        <v>282.60000000000002</v>
      </c>
      <c r="G40" s="918">
        <f>'Energy Inputs'!$D$10</f>
        <v>175.95</v>
      </c>
      <c r="H40" s="197">
        <f t="shared" ref="H40:H54" si="17">F40+G40</f>
        <v>458.55</v>
      </c>
      <c r="I40" s="197"/>
      <c r="J40" s="943">
        <f>IF(ISERROR(IF(MOD(IF(AND(B40&gt;='Energy margins'!$M$44,B40&lt;='Energy margins'!$N$44),B40-'Energy margins'!$M$44,""),'Energy margins'!$O$44)=0,'Energy margins'!$L$44,0)),0,IF(MOD(IF(AND(B40&gt;='Energy margins'!$M$44,B40&lt;='Energy margins'!$N$44),B40-'Energy margins'!$M$44,""),'Energy margins'!$O$44)=0,'Energy margins'!$L$44,0))</f>
        <v>0</v>
      </c>
      <c r="K40" s="918">
        <f>IF(ISERROR(IF(MOD(IF(AND(B40&gt;='Energy margins'!$M$45,B40&lt;='Energy margins'!$N$45),B40-'Energy margins'!$M$45,""),'Energy margins'!$O$45)=0,'Energy margins'!$L$45,0)),0,IF(MOD(IF(AND(B40&gt;='Energy margins'!$M$45,B40&lt;='Energy margins'!$N$45),B40-'Energy margins'!$M$45,""),'Energy margins'!$O$45)=0,'Energy margins'!$L$45,0))</f>
        <v>45.561599999999999</v>
      </c>
      <c r="L40" s="918">
        <f>IF(ISERROR(IF(MOD(IF(AND(B40&gt;='Energy margins'!$M$46,B40&lt;='Energy margins'!$N$46),B40-'Energy margins'!$M$46,""),'Energy margins'!$O$46)=0,'Energy margins'!$L$46,0)),0,IF(MOD(IF(AND(B40&gt;='Energy margins'!$M$46,B40&lt;='Energy margins'!$N$46),B40-'Energy margins'!$M$46,""),'Energy margins'!$O$46)=0,'Energy margins'!$L$46,0))</f>
        <v>67.8</v>
      </c>
      <c r="M40" s="918">
        <f>IF(ISERROR(IF(MOD(IF(AND(B40&gt;='Energy margins'!$M$47,B40&lt;='Energy margins'!$N$47),B40-'Energy margins'!$M$47,""),'Energy margins'!$O$47)=0,'Energy margins'!$L$47,0)),0,IF(MOD(IF(AND(B40&gt;='Energy margins'!$M$47,B40&lt;='Energy margins'!$N$47),B40-'Energy margins'!$M$47,""),'Energy margins'!$O$47)=0,'Energy margins'!$L$47,0))</f>
        <v>19.974783999999993</v>
      </c>
      <c r="N40" s="918">
        <f>IF(ISERROR(IF(MOD(IF(AND(B40&gt;='Energy margins'!$M$50,B40&lt;='Energy margins'!$N$50),B40-'Energy margins'!$M$50,""),'Energy margins'!$O$50)=0,'Energy margins'!$L$50,0)),0,IF(MOD(IF(AND(B40&gt;='Energy margins'!$M$50,B40&lt;='Energy margins'!$N$50),B40-'Energy margins'!$M$50,""),'Energy margins'!$O$50)=0,'Energy margins'!$L$50,0))</f>
        <v>50.735999999999997</v>
      </c>
      <c r="O40" s="918">
        <f>IF(ISERROR(IF(MOD(IF(AND(B40&gt;='Energy margins'!$M$53,B40&lt;='Energy margins'!$N$53),B40-'Energy margins'!$M$53,""),'Energy margins'!$O$53)=0,'Energy margins'!$L$53,0)),0,IF(MOD(IF(AND(B40&gt;='Energy margins'!$M$53,B40&lt;='Energy margins'!$N$53),B40-'Energy margins'!$M$53,""),'Energy margins'!$O$53)=0,'Energy margins'!$L$53,0))</f>
        <v>13.58</v>
      </c>
      <c r="P40" s="918">
        <f>IF(ISERROR(IF(MOD(IF(AND(B40&gt;='Energy margins'!$M$56,B40&lt;='Energy margins'!$N$56),B40-'Energy margins'!$M$56,""),'Energy margins'!$O$56)=0,'Energy margins'!$L$56,0)),0,IF(MOD(IF(AND(B40&gt;='Energy margins'!$M$56,B40&lt;='Energy margins'!$N$56),B40-'Energy margins'!$M$56,""),'Energy margins'!$O$56)=0,'Energy margins'!$L$56,0))</f>
        <v>38.520000000000003</v>
      </c>
      <c r="Q40" s="918">
        <f>IF(ISERROR(IF(MOD(IF(AND(B40&gt;='Energy margins'!$M$59,B40&lt;='Energy margins'!$N$59),B40-'Energy margins'!$M$59,""),'Energy margins'!$O$59)=0,'Energy margins'!$L$59,0)),0,IF(MOD(IF(AND(B40&gt;='Energy margins'!$M$59,B40&lt;='Energy margins'!$N$59),B40-'Energy margins'!$M$59,""),'Energy margins'!$O$59)=0,'Energy margins'!$L$59,0))</f>
        <v>0</v>
      </c>
      <c r="R40" s="918">
        <f>IF(ISERROR(IF(MOD(IF(AND(B40&gt;='Energy margins'!$M$60,B40&lt;='Energy margins'!$N$60),B40-'Energy margins'!$M$60,""),'Energy margins'!$O$60)=0,'Energy margins'!$L$60,0)),0,IF(MOD(IF(AND(B40&gt;='Energy margins'!$M$60,B40&lt;='Energy margins'!$N$60),B40-'Energy margins'!$M$60,""),'Energy margins'!$O$60)=0,'Energy margins'!$L$60,0))</f>
        <v>270.5</v>
      </c>
      <c r="S40" s="918">
        <f>IF(ISERROR(IF(MOD(IF(AND(B40&gt;='Energy margins'!$M$61,B40&lt;='Energy margins'!$N$61),B40-'Energy margins'!$M$61,""),'Energy margins'!$O$61)=0,'Energy margins'!$L$61,0)),0,IF(MOD(IF(AND(B40&gt;='Energy margins'!$M$61,B40&lt;='Energy margins'!$N$61),B40-'Energy margins'!$M$61,""),'Energy margins'!$O$61)=0,'Energy margins'!$L$61,0))</f>
        <v>0</v>
      </c>
      <c r="T40" s="918">
        <f>IF(ISERROR(IF(MOD(IF(AND(B40&gt;='Energy margins'!$M$62,B40&lt;='Energy margins'!$N$62),B40-'Energy margins'!$M$62,""),'Energy margins'!$O$62)=0,'Energy margins'!$L$62,0)),0,IF(MOD(IF(AND(B40&gt;='Energy margins'!$M$62,B40&lt;='Energy margins'!$N$62),B40-'Energy margins'!$M$62,""),'Energy margins'!$O$62)=0,'Energy margins'!$L$62,0))</f>
        <v>0</v>
      </c>
      <c r="U40" s="944">
        <f t="shared" ref="U40:U54" si="18">SUM(J40:T40)</f>
        <v>506.67238399999997</v>
      </c>
      <c r="V40" s="197"/>
      <c r="W40" s="197">
        <f t="shared" ref="W40:W54" si="19">I40+U40+V40</f>
        <v>506.67238399999997</v>
      </c>
      <c r="X40" s="197">
        <f t="shared" si="13"/>
        <v>-224.07238399999994</v>
      </c>
      <c r="Y40" s="197">
        <f t="shared" si="14"/>
        <v>-48.122383999999954</v>
      </c>
      <c r="Z40" s="973">
        <f t="shared" ref="Z40:Z54" si="20">F40/((1+$C$6)^($B40-1))</f>
        <v>271.73076923076923</v>
      </c>
      <c r="AA40" s="974">
        <f t="shared" ref="AA40:AA54" si="21">G40/((1+$C$6)^($B40-1))</f>
        <v>169.18269230769229</v>
      </c>
      <c r="AB40" s="974">
        <f t="shared" ref="AB40:AB54" si="22">W40/((1+$C$6)^($B40-1))</f>
        <v>487.18498461538456</v>
      </c>
      <c r="AC40" s="974">
        <f t="shared" ref="AC40:AC54" si="23">X40/((1+$C$6)^($B40-1))</f>
        <v>-215.45421538461531</v>
      </c>
      <c r="AD40" s="975">
        <f t="shared" ref="AD40:AD54" si="24">Y40/((1+$C$6)^($B40-1))</f>
        <v>-46.271523076923032</v>
      </c>
      <c r="AE40" s="973">
        <f>AE39+Z40</f>
        <v>314.93076923076922</v>
      </c>
      <c r="AF40" s="974">
        <f t="shared" ref="AF40:AF54" si="25">AF39+AA40</f>
        <v>345.13269230769231</v>
      </c>
      <c r="AG40" s="974">
        <f t="shared" ref="AG40:AG54" si="26">AG39+AB40</f>
        <v>2711.7957686153845</v>
      </c>
      <c r="AH40" s="974">
        <f t="shared" ref="AH40:AH54" si="27">AH39+AC40</f>
        <v>-2396.8649993846157</v>
      </c>
      <c r="AI40" s="975">
        <f t="shared" ref="AI40:AI54" si="28">AI39+AD40</f>
        <v>-2051.732307076923</v>
      </c>
    </row>
    <row r="41" spans="2:35" x14ac:dyDescent="0.3">
      <c r="B41" s="900">
        <v>3</v>
      </c>
      <c r="C41" s="922">
        <f>'Energy Inputs'!E32</f>
        <v>0.88516746411483238</v>
      </c>
      <c r="D41" s="918">
        <f>C41*'Energy Inputs'!$E$24</f>
        <v>11.099999999999998</v>
      </c>
      <c r="E41" s="197">
        <f>'Energy margins'!$L$12</f>
        <v>72</v>
      </c>
      <c r="F41" s="197">
        <f t="shared" si="16"/>
        <v>799.19999999999982</v>
      </c>
      <c r="G41" s="918">
        <f>'Energy Inputs'!$D$10</f>
        <v>175.95</v>
      </c>
      <c r="H41" s="197">
        <f t="shared" si="17"/>
        <v>975.14999999999986</v>
      </c>
      <c r="I41" s="197"/>
      <c r="J41" s="943">
        <f>IF(ISERROR(IF(MOD(IF(AND(B41&gt;='Energy margins'!$M$44,B41&lt;='Energy margins'!$N$44),B41-'Energy margins'!$M$44,""),'Energy margins'!$O$44)=0,'Energy margins'!$L$44,0)),0,IF(MOD(IF(AND(B41&gt;='Energy margins'!$M$44,B41&lt;='Energy margins'!$N$44),B41-'Energy margins'!$M$44,""),'Energy margins'!$O$44)=0,'Energy margins'!$L$44,0))</f>
        <v>0</v>
      </c>
      <c r="K41" s="918">
        <f>IF(ISERROR(IF(MOD(IF(AND(B41&gt;='Energy margins'!$M$45,B41&lt;='Energy margins'!$N$45),B41-'Energy margins'!$M$45,""),'Energy margins'!$O$45)=0,'Energy margins'!$L$45,0)),0,IF(MOD(IF(AND(B41&gt;='Energy margins'!$M$45,B41&lt;='Energy margins'!$N$45),B41-'Energy margins'!$M$45,""),'Energy margins'!$O$45)=0,'Energy margins'!$L$45,0))</f>
        <v>45.561599999999999</v>
      </c>
      <c r="L41" s="918">
        <f>IF(ISERROR(IF(MOD(IF(AND(B41&gt;='Energy margins'!$M$46,B41&lt;='Energy margins'!$N$46),B41-'Energy margins'!$M$46,""),'Energy margins'!$O$46)=0,'Energy margins'!$L$46,0)),0,IF(MOD(IF(AND(B41&gt;='Energy margins'!$M$46,B41&lt;='Energy margins'!$N$46),B41-'Energy margins'!$M$46,""),'Energy margins'!$O$46)=0,'Energy margins'!$L$46,0))</f>
        <v>67.8</v>
      </c>
      <c r="M41" s="918">
        <f>IF(ISERROR(IF(MOD(IF(AND(B41&gt;='Energy margins'!$M$47,B41&lt;='Energy margins'!$N$47),B41-'Energy margins'!$M$47,""),'Energy margins'!$O$47)=0,'Energy margins'!$L$47,0)),0,IF(MOD(IF(AND(B41&gt;='Energy margins'!$M$47,B41&lt;='Energy margins'!$N$47),B41-'Energy margins'!$M$47,""),'Energy margins'!$O$47)=0,'Energy margins'!$L$47,0))</f>
        <v>19.974783999999993</v>
      </c>
      <c r="N41" s="918">
        <f>IF(ISERROR(IF(MOD(IF(AND(B41&gt;='Energy margins'!$M$50,B41&lt;='Energy margins'!$N$50),B41-'Energy margins'!$M$50,""),'Energy margins'!$O$50)=0,'Energy margins'!$L$50,0)),0,IF(MOD(IF(AND(B41&gt;='Energy margins'!$M$50,B41&lt;='Energy margins'!$N$50),B41-'Energy margins'!$M$50,""),'Energy margins'!$O$50)=0,'Energy margins'!$L$50,0))</f>
        <v>50.735999999999997</v>
      </c>
      <c r="O41" s="918">
        <f>IF(ISERROR(IF(MOD(IF(AND(B41&gt;='Energy margins'!$M$53,B41&lt;='Energy margins'!$N$53),B41-'Energy margins'!$M$53,""),'Energy margins'!$O$53)=0,'Energy margins'!$L$53,0)),0,IF(MOD(IF(AND(B41&gt;='Energy margins'!$M$53,B41&lt;='Energy margins'!$N$53),B41-'Energy margins'!$M$53,""),'Energy margins'!$O$53)=0,'Energy margins'!$L$53,0))</f>
        <v>13.58</v>
      </c>
      <c r="P41" s="918">
        <f>IF(ISERROR(IF(MOD(IF(AND(B41&gt;='Energy margins'!$M$56,B41&lt;='Energy margins'!$N$56),B41-'Energy margins'!$M$56,""),'Energy margins'!$O$56)=0,'Energy margins'!$L$56,0)),0,IF(MOD(IF(AND(B41&gt;='Energy margins'!$M$56,B41&lt;='Energy margins'!$N$56),B41-'Energy margins'!$M$56,""),'Energy margins'!$O$56)=0,'Energy margins'!$L$56,0))</f>
        <v>38.520000000000003</v>
      </c>
      <c r="Q41" s="918">
        <f>IF(ISERROR(IF(MOD(IF(AND(B41&gt;='Energy margins'!$M$59,B41&lt;='Energy margins'!$N$59),B41-'Energy margins'!$M$59,""),'Energy margins'!$O$59)=0,'Energy margins'!$L$59,0)),0,IF(MOD(IF(AND(B41&gt;='Energy margins'!$M$59,B41&lt;='Energy margins'!$N$59),B41-'Energy margins'!$M$59,""),'Energy margins'!$O$59)=0,'Energy margins'!$L$59,0))</f>
        <v>0</v>
      </c>
      <c r="R41" s="918">
        <f>IF(ISERROR(IF(MOD(IF(AND(B41&gt;='Energy margins'!$M$60,B41&lt;='Energy margins'!$N$60),B41-'Energy margins'!$M$60,""),'Energy margins'!$O$60)=0,'Energy margins'!$L$60,0)),0,IF(MOD(IF(AND(B41&gt;='Energy margins'!$M$60,B41&lt;='Energy margins'!$N$60),B41-'Energy margins'!$M$60,""),'Energy margins'!$O$60)=0,'Energy margins'!$L$60,0))</f>
        <v>270.5</v>
      </c>
      <c r="S41" s="918">
        <f>IF(ISERROR(IF(MOD(IF(AND(B41&gt;='Energy margins'!$M$61,B41&lt;='Energy margins'!$N$61),B41-'Energy margins'!$M$61,""),'Energy margins'!$O$61)=0,'Energy margins'!$L$61,0)),0,IF(MOD(IF(AND(B41&gt;='Energy margins'!$M$61,B41&lt;='Energy margins'!$N$61),B41-'Energy margins'!$M$61,""),'Energy margins'!$O$61)=0,'Energy margins'!$L$61,0))</f>
        <v>0</v>
      </c>
      <c r="T41" s="918">
        <f>IF(ISERROR(IF(MOD(IF(AND(B41&gt;='Energy margins'!$M$62,B41&lt;='Energy margins'!$N$62),B41-'Energy margins'!$M$62,""),'Energy margins'!$O$62)=0,'Energy margins'!$L$62,0)),0,IF(MOD(IF(AND(B41&gt;='Energy margins'!$M$62,B41&lt;='Energy margins'!$N$62),B41-'Energy margins'!$M$62,""),'Energy margins'!$O$62)=0,'Energy margins'!$L$62,0))</f>
        <v>0</v>
      </c>
      <c r="U41" s="944">
        <f t="shared" si="18"/>
        <v>506.67238399999997</v>
      </c>
      <c r="V41" s="197"/>
      <c r="W41" s="197">
        <f t="shared" si="19"/>
        <v>506.67238399999997</v>
      </c>
      <c r="X41" s="197">
        <f t="shared" si="13"/>
        <v>292.52761599999985</v>
      </c>
      <c r="Y41" s="197">
        <f t="shared" si="14"/>
        <v>468.4776159999999</v>
      </c>
      <c r="Z41" s="973">
        <f t="shared" si="20"/>
        <v>738.90532544378675</v>
      </c>
      <c r="AA41" s="974">
        <f t="shared" si="21"/>
        <v>162.67566568047334</v>
      </c>
      <c r="AB41" s="974">
        <f t="shared" si="22"/>
        <v>468.44710059171587</v>
      </c>
      <c r="AC41" s="974">
        <f t="shared" si="23"/>
        <v>270.45822485207083</v>
      </c>
      <c r="AD41" s="975">
        <f t="shared" si="24"/>
        <v>433.13389053254423</v>
      </c>
      <c r="AE41" s="973">
        <f t="shared" ref="AE41:AE54" si="29">AE40+Z41</f>
        <v>1053.8360946745561</v>
      </c>
      <c r="AF41" s="974">
        <f t="shared" si="25"/>
        <v>507.80835798816565</v>
      </c>
      <c r="AG41" s="974">
        <f t="shared" si="26"/>
        <v>3180.2428692071003</v>
      </c>
      <c r="AH41" s="974">
        <f t="shared" si="27"/>
        <v>-2126.4067745325447</v>
      </c>
      <c r="AI41" s="975">
        <f t="shared" si="28"/>
        <v>-1618.5984165443788</v>
      </c>
    </row>
    <row r="42" spans="2:35" x14ac:dyDescent="0.3">
      <c r="B42" s="900">
        <v>4</v>
      </c>
      <c r="C42" s="922">
        <f>'Energy Inputs'!E33</f>
        <v>1</v>
      </c>
      <c r="D42" s="918">
        <f>C42*'Energy Inputs'!$E$24</f>
        <v>12.54</v>
      </c>
      <c r="E42" s="197">
        <f>'Energy margins'!$L$12</f>
        <v>72</v>
      </c>
      <c r="F42" s="197">
        <f t="shared" si="16"/>
        <v>902.87999999999988</v>
      </c>
      <c r="G42" s="918">
        <f>'Energy Inputs'!$D$10</f>
        <v>175.95</v>
      </c>
      <c r="H42" s="197">
        <f t="shared" si="17"/>
        <v>1078.83</v>
      </c>
      <c r="I42" s="197"/>
      <c r="J42" s="943">
        <f>IF(ISERROR(IF(MOD(IF(AND(B42&gt;='Energy margins'!$M$44,B42&lt;='Energy margins'!$N$44),B42-'Energy margins'!$M$44,""),'Energy margins'!$O$44)=0,'Energy margins'!$L$44,0)),0,IF(MOD(IF(AND(B42&gt;='Energy margins'!$M$44,B42&lt;='Energy margins'!$N$44),B42-'Energy margins'!$M$44,""),'Energy margins'!$O$44)=0,'Energy margins'!$L$44,0))</f>
        <v>0</v>
      </c>
      <c r="K42" s="918">
        <f>IF(ISERROR(IF(MOD(IF(AND(B42&gt;='Energy margins'!$M$45,B42&lt;='Energy margins'!$N$45),B42-'Energy margins'!$M$45,""),'Energy margins'!$O$45)=0,'Energy margins'!$L$45,0)),0,IF(MOD(IF(AND(B42&gt;='Energy margins'!$M$45,B42&lt;='Energy margins'!$N$45),B42-'Energy margins'!$M$45,""),'Energy margins'!$O$45)=0,'Energy margins'!$L$45,0))</f>
        <v>0</v>
      </c>
      <c r="L42" s="918">
        <f>IF(ISERROR(IF(MOD(IF(AND(B42&gt;='Energy margins'!$M$46,B42&lt;='Energy margins'!$N$46),B42-'Energy margins'!$M$46,""),'Energy margins'!$O$46)=0,'Energy margins'!$L$46,0)),0,IF(MOD(IF(AND(B42&gt;='Energy margins'!$M$46,B42&lt;='Energy margins'!$N$46),B42-'Energy margins'!$M$46,""),'Energy margins'!$O$46)=0,'Energy margins'!$L$46,0))</f>
        <v>0</v>
      </c>
      <c r="M42" s="918">
        <f>IF(ISERROR(IF(MOD(IF(AND(B42&gt;='Energy margins'!$M$47,B42&lt;='Energy margins'!$N$47),B42-'Energy margins'!$M$47,""),'Energy margins'!$O$47)=0,'Energy margins'!$L$47,0)),0,IF(MOD(IF(AND(B42&gt;='Energy margins'!$M$47,B42&lt;='Energy margins'!$N$47),B42-'Energy margins'!$M$47,""),'Energy margins'!$O$47)=0,'Energy margins'!$L$47,0))</f>
        <v>19.974783999999993</v>
      </c>
      <c r="N42" s="918">
        <f>IF(ISERROR(IF(MOD(IF(AND(B42&gt;='Energy margins'!$M$50,B42&lt;='Energy margins'!$N$50),B42-'Energy margins'!$M$50,""),'Energy margins'!$O$50)=0,'Energy margins'!$L$50,0)),0,IF(MOD(IF(AND(B42&gt;='Energy margins'!$M$50,B42&lt;='Energy margins'!$N$50),B42-'Energy margins'!$M$50,""),'Energy margins'!$O$50)=0,'Energy margins'!$L$50,0))</f>
        <v>50.735999999999997</v>
      </c>
      <c r="O42" s="918">
        <f>IF(ISERROR(IF(MOD(IF(AND(B42&gt;='Energy margins'!$M$53,B42&lt;='Energy margins'!$N$53),B42-'Energy margins'!$M$53,""),'Energy margins'!$O$53)=0,'Energy margins'!$L$53,0)),0,IF(MOD(IF(AND(B42&gt;='Energy margins'!$M$53,B42&lt;='Energy margins'!$N$53),B42-'Energy margins'!$M$53,""),'Energy margins'!$O$53)=0,'Energy margins'!$L$53,0))</f>
        <v>13.58</v>
      </c>
      <c r="P42" s="918">
        <f>IF(ISERROR(IF(MOD(IF(AND(B42&gt;='Energy margins'!$M$56,B42&lt;='Energy margins'!$N$56),B42-'Energy margins'!$M$56,""),'Energy margins'!$O$56)=0,'Energy margins'!$L$56,0)),0,IF(MOD(IF(AND(B42&gt;='Energy margins'!$M$56,B42&lt;='Energy margins'!$N$56),B42-'Energy margins'!$M$56,""),'Energy margins'!$O$56)=0,'Energy margins'!$L$56,0))</f>
        <v>38.520000000000003</v>
      </c>
      <c r="Q42" s="918">
        <f>IF(ISERROR(IF(MOD(IF(AND(B42&gt;='Energy margins'!$M$59,B42&lt;='Energy margins'!$N$59),B42-'Energy margins'!$M$59,""),'Energy margins'!$O$59)=0,'Energy margins'!$L$59,0)),0,IF(MOD(IF(AND(B42&gt;='Energy margins'!$M$59,B42&lt;='Energy margins'!$N$59),B42-'Energy margins'!$M$59,""),'Energy margins'!$O$59)=0,'Energy margins'!$L$59,0))</f>
        <v>0</v>
      </c>
      <c r="R42" s="918">
        <f>IF(ISERROR(IF(MOD(IF(AND(B42&gt;='Energy margins'!$M$60,B42&lt;='Energy margins'!$N$60),B42-'Energy margins'!$M$60,""),'Energy margins'!$O$60)=0,'Energy margins'!$L$60,0)),0,IF(MOD(IF(AND(B42&gt;='Energy margins'!$M$60,B42&lt;='Energy margins'!$N$60),B42-'Energy margins'!$M$60,""),'Energy margins'!$O$60)=0,'Energy margins'!$L$60,0))</f>
        <v>270.5</v>
      </c>
      <c r="S42" s="918">
        <f>IF(ISERROR(IF(MOD(IF(AND(B42&gt;='Energy margins'!$M$61,B42&lt;='Energy margins'!$N$61),B42-'Energy margins'!$M$61,""),'Energy margins'!$O$61)=0,'Energy margins'!$L$61,0)),0,IF(MOD(IF(AND(B42&gt;='Energy margins'!$M$61,B42&lt;='Energy margins'!$N$61),B42-'Energy margins'!$M$61,""),'Energy margins'!$O$61)=0,'Energy margins'!$L$61,0))</f>
        <v>0</v>
      </c>
      <c r="T42" s="918">
        <f>IF(ISERROR(IF(MOD(IF(AND(B42&gt;='Energy margins'!$M$62,B42&lt;='Energy margins'!$N$62),B42-'Energy margins'!$M$62,""),'Energy margins'!$O$62)=0,'Energy margins'!$L$62,0)),0,IF(MOD(IF(AND(B42&gt;='Energy margins'!$M$62,B42&lt;='Energy margins'!$N$62),B42-'Energy margins'!$M$62,""),'Energy margins'!$O$62)=0,'Energy margins'!$L$62,0))</f>
        <v>0</v>
      </c>
      <c r="U42" s="944">
        <f t="shared" si="18"/>
        <v>393.31078400000001</v>
      </c>
      <c r="V42" s="197"/>
      <c r="W42" s="197">
        <f t="shared" si="19"/>
        <v>393.31078400000001</v>
      </c>
      <c r="X42" s="197">
        <f t="shared" si="13"/>
        <v>509.56921599999987</v>
      </c>
      <c r="Y42" s="197">
        <f t="shared" si="14"/>
        <v>685.51921599999991</v>
      </c>
      <c r="Z42" s="973">
        <f t="shared" si="20"/>
        <v>802.65703231679549</v>
      </c>
      <c r="AA42" s="974">
        <f t="shared" si="21"/>
        <v>156.41890930814745</v>
      </c>
      <c r="AB42" s="974">
        <f t="shared" si="22"/>
        <v>349.65185480200273</v>
      </c>
      <c r="AC42" s="974">
        <f t="shared" si="23"/>
        <v>453.00517751479276</v>
      </c>
      <c r="AD42" s="975">
        <f t="shared" si="24"/>
        <v>609.42408682294024</v>
      </c>
      <c r="AE42" s="973">
        <f t="shared" si="29"/>
        <v>1856.4931269913516</v>
      </c>
      <c r="AF42" s="974">
        <f t="shared" si="25"/>
        <v>664.22726729631313</v>
      </c>
      <c r="AG42" s="974">
        <f t="shared" si="26"/>
        <v>3529.8947240091029</v>
      </c>
      <c r="AH42" s="974">
        <f t="shared" si="27"/>
        <v>-1673.401597017752</v>
      </c>
      <c r="AI42" s="975">
        <f t="shared" si="28"/>
        <v>-1009.1743297214385</v>
      </c>
    </row>
    <row r="43" spans="2:35" x14ac:dyDescent="0.3">
      <c r="B43" s="900">
        <v>5</v>
      </c>
      <c r="C43" s="922">
        <f>'Energy Inputs'!E34</f>
        <v>1</v>
      </c>
      <c r="D43" s="918">
        <f>C43*'Energy Inputs'!$E$24</f>
        <v>12.54</v>
      </c>
      <c r="E43" s="197">
        <f>'Energy margins'!$L$12</f>
        <v>72</v>
      </c>
      <c r="F43" s="197">
        <f t="shared" si="16"/>
        <v>902.87999999999988</v>
      </c>
      <c r="G43" s="918">
        <f>'Energy Inputs'!$D$10</f>
        <v>175.95</v>
      </c>
      <c r="H43" s="197">
        <f t="shared" si="17"/>
        <v>1078.83</v>
      </c>
      <c r="I43" s="197"/>
      <c r="J43" s="943">
        <f>IF(ISERROR(IF(MOD(IF(AND(B43&gt;='Energy margins'!$M$44,B43&lt;='Energy margins'!$N$44),B43-'Energy margins'!$M$44,""),'Energy margins'!$O$44)=0,'Energy margins'!$L$44,0)),0,IF(MOD(IF(AND(B43&gt;='Energy margins'!$M$44,B43&lt;='Energy margins'!$N$44),B43-'Energy margins'!$M$44,""),'Energy margins'!$O$44)=0,'Energy margins'!$L$44,0))</f>
        <v>0</v>
      </c>
      <c r="K43" s="918">
        <f>IF(ISERROR(IF(MOD(IF(AND(B43&gt;='Energy margins'!$M$45,B43&lt;='Energy margins'!$N$45),B43-'Energy margins'!$M$45,""),'Energy margins'!$O$45)=0,'Energy margins'!$L$45,0)),0,IF(MOD(IF(AND(B43&gt;='Energy margins'!$M$45,B43&lt;='Energy margins'!$N$45),B43-'Energy margins'!$M$45,""),'Energy margins'!$O$45)=0,'Energy margins'!$L$45,0))</f>
        <v>0</v>
      </c>
      <c r="L43" s="918">
        <f>IF(ISERROR(IF(MOD(IF(AND(B43&gt;='Energy margins'!$M$46,B43&lt;='Energy margins'!$N$46),B43-'Energy margins'!$M$46,""),'Energy margins'!$O$46)=0,'Energy margins'!$L$46,0)),0,IF(MOD(IF(AND(B43&gt;='Energy margins'!$M$46,B43&lt;='Energy margins'!$N$46),B43-'Energy margins'!$M$46,""),'Energy margins'!$O$46)=0,'Energy margins'!$L$46,0))</f>
        <v>0</v>
      </c>
      <c r="M43" s="918">
        <f>IF(ISERROR(IF(MOD(IF(AND(B43&gt;='Energy margins'!$M$47,B43&lt;='Energy margins'!$N$47),B43-'Energy margins'!$M$47,""),'Energy margins'!$O$47)=0,'Energy margins'!$L$47,0)),0,IF(MOD(IF(AND(B43&gt;='Energy margins'!$M$47,B43&lt;='Energy margins'!$N$47),B43-'Energy margins'!$M$47,""),'Energy margins'!$O$47)=0,'Energy margins'!$L$47,0))</f>
        <v>19.974783999999993</v>
      </c>
      <c r="N43" s="918">
        <f>IF(ISERROR(IF(MOD(IF(AND(B43&gt;='Energy margins'!$M$50,B43&lt;='Energy margins'!$N$50),B43-'Energy margins'!$M$50,""),'Energy margins'!$O$50)=0,'Energy margins'!$L$50,0)),0,IF(MOD(IF(AND(B43&gt;='Energy margins'!$M$50,B43&lt;='Energy margins'!$N$50),B43-'Energy margins'!$M$50,""),'Energy margins'!$O$50)=0,'Energy margins'!$L$50,0))</f>
        <v>50.735999999999997</v>
      </c>
      <c r="O43" s="918">
        <f>IF(ISERROR(IF(MOD(IF(AND(B43&gt;='Energy margins'!$M$53,B43&lt;='Energy margins'!$N$53),B43-'Energy margins'!$M$53,""),'Energy margins'!$O$53)=0,'Energy margins'!$L$53,0)),0,IF(MOD(IF(AND(B43&gt;='Energy margins'!$M$53,B43&lt;='Energy margins'!$N$53),B43-'Energy margins'!$M$53,""),'Energy margins'!$O$53)=0,'Energy margins'!$L$53,0))</f>
        <v>13.58</v>
      </c>
      <c r="P43" s="918">
        <f>IF(ISERROR(IF(MOD(IF(AND(B43&gt;='Energy margins'!$M$56,B43&lt;='Energy margins'!$N$56),B43-'Energy margins'!$M$56,""),'Energy margins'!$O$56)=0,'Energy margins'!$L$56,0)),0,IF(MOD(IF(AND(B43&gt;='Energy margins'!$M$56,B43&lt;='Energy margins'!$N$56),B43-'Energy margins'!$M$56,""),'Energy margins'!$O$56)=0,'Energy margins'!$L$56,0))</f>
        <v>38.520000000000003</v>
      </c>
      <c r="Q43" s="918">
        <f>IF(ISERROR(IF(MOD(IF(AND(B43&gt;='Energy margins'!$M$59,B43&lt;='Energy margins'!$N$59),B43-'Energy margins'!$M$59,""),'Energy margins'!$O$59)=0,'Energy margins'!$L$59,0)),0,IF(MOD(IF(AND(B43&gt;='Energy margins'!$M$59,B43&lt;='Energy margins'!$N$59),B43-'Energy margins'!$M$59,""),'Energy margins'!$O$59)=0,'Energy margins'!$L$59,0))</f>
        <v>0</v>
      </c>
      <c r="R43" s="918">
        <f>IF(ISERROR(IF(MOD(IF(AND(B43&gt;='Energy margins'!$M$60,B43&lt;='Energy margins'!$N$60),B43-'Energy margins'!$M$60,""),'Energy margins'!$O$60)=0,'Energy margins'!$L$60,0)),0,IF(MOD(IF(AND(B43&gt;='Energy margins'!$M$60,B43&lt;='Energy margins'!$N$60),B43-'Energy margins'!$M$60,""),'Energy margins'!$O$60)=0,'Energy margins'!$L$60,0))</f>
        <v>270.5</v>
      </c>
      <c r="S43" s="918">
        <f>IF(ISERROR(IF(MOD(IF(AND(B43&gt;='Energy margins'!$M$61,B43&lt;='Energy margins'!$N$61),B43-'Energy margins'!$M$61,""),'Energy margins'!$O$61)=0,'Energy margins'!$L$61,0)),0,IF(MOD(IF(AND(B43&gt;='Energy margins'!$M$61,B43&lt;='Energy margins'!$N$61),B43-'Energy margins'!$M$61,""),'Energy margins'!$O$61)=0,'Energy margins'!$L$61,0))</f>
        <v>0</v>
      </c>
      <c r="T43" s="918">
        <f>IF(ISERROR(IF(MOD(IF(AND(B43&gt;='Energy margins'!$M$62,B43&lt;='Energy margins'!$N$62),B43-'Energy margins'!$M$62,""),'Energy margins'!$O$62)=0,'Energy margins'!$L$62,0)),0,IF(MOD(IF(AND(B43&gt;='Energy margins'!$M$62,B43&lt;='Energy margins'!$N$62),B43-'Energy margins'!$M$62,""),'Energy margins'!$O$62)=0,'Energy margins'!$L$62,0))</f>
        <v>0</v>
      </c>
      <c r="U43" s="944">
        <f t="shared" si="18"/>
        <v>393.31078400000001</v>
      </c>
      <c r="V43" s="197"/>
      <c r="W43" s="197">
        <f t="shared" si="19"/>
        <v>393.31078400000001</v>
      </c>
      <c r="X43" s="197">
        <f t="shared" si="13"/>
        <v>509.56921599999987</v>
      </c>
      <c r="Y43" s="197">
        <f t="shared" si="14"/>
        <v>685.51921599999991</v>
      </c>
      <c r="Z43" s="973">
        <f t="shared" si="20"/>
        <v>771.78560799691866</v>
      </c>
      <c r="AA43" s="974">
        <f t="shared" si="21"/>
        <v>150.40279741168024</v>
      </c>
      <c r="AB43" s="974">
        <f t="shared" si="22"/>
        <v>336.2037065403872</v>
      </c>
      <c r="AC43" s="974">
        <f t="shared" si="23"/>
        <v>435.58190145653145</v>
      </c>
      <c r="AD43" s="975">
        <f t="shared" si="24"/>
        <v>585.98469886821169</v>
      </c>
      <c r="AE43" s="973">
        <f t="shared" si="29"/>
        <v>2628.2787349882701</v>
      </c>
      <c r="AF43" s="974">
        <f t="shared" si="25"/>
        <v>814.63006470799337</v>
      </c>
      <c r="AG43" s="974">
        <f t="shared" si="26"/>
        <v>3866.0984305494903</v>
      </c>
      <c r="AH43" s="974">
        <f t="shared" si="27"/>
        <v>-1237.8196955612207</v>
      </c>
      <c r="AI43" s="975">
        <f t="shared" si="28"/>
        <v>-423.18963085322684</v>
      </c>
    </row>
    <row r="44" spans="2:35" x14ac:dyDescent="0.3">
      <c r="B44" s="900">
        <v>6</v>
      </c>
      <c r="C44" s="922">
        <f>'Energy Inputs'!E35</f>
        <v>1</v>
      </c>
      <c r="D44" s="918">
        <f>C44*'Energy Inputs'!$E$24</f>
        <v>12.54</v>
      </c>
      <c r="E44" s="197">
        <f>'Energy margins'!$L$12</f>
        <v>72</v>
      </c>
      <c r="F44" s="197">
        <f t="shared" si="16"/>
        <v>902.87999999999988</v>
      </c>
      <c r="G44" s="918">
        <f>'Energy Inputs'!$D$10</f>
        <v>175.95</v>
      </c>
      <c r="H44" s="197">
        <f t="shared" si="17"/>
        <v>1078.83</v>
      </c>
      <c r="I44" s="197"/>
      <c r="J44" s="943">
        <f>IF(ISERROR(IF(MOD(IF(AND(B44&gt;='Energy margins'!$M$44,B44&lt;='Energy margins'!$N$44),B44-'Energy margins'!$M$44,""),'Energy margins'!$O$44)=0,'Energy margins'!$L$44,0)),0,IF(MOD(IF(AND(B44&gt;='Energy margins'!$M$44,B44&lt;='Energy margins'!$N$44),B44-'Energy margins'!$M$44,""),'Energy margins'!$O$44)=0,'Energy margins'!$L$44,0))</f>
        <v>0</v>
      </c>
      <c r="K44" s="918">
        <f>IF(ISERROR(IF(MOD(IF(AND(B44&gt;='Energy margins'!$M$45,B44&lt;='Energy margins'!$N$45),B44-'Energy margins'!$M$45,""),'Energy margins'!$O$45)=0,'Energy margins'!$L$45,0)),0,IF(MOD(IF(AND(B44&gt;='Energy margins'!$M$45,B44&lt;='Energy margins'!$N$45),B44-'Energy margins'!$M$45,""),'Energy margins'!$O$45)=0,'Energy margins'!$L$45,0))</f>
        <v>0</v>
      </c>
      <c r="L44" s="918">
        <f>IF(ISERROR(IF(MOD(IF(AND(B44&gt;='Energy margins'!$M$46,B44&lt;='Energy margins'!$N$46),B44-'Energy margins'!$M$46,""),'Energy margins'!$O$46)=0,'Energy margins'!$L$46,0)),0,IF(MOD(IF(AND(B44&gt;='Energy margins'!$M$46,B44&lt;='Energy margins'!$N$46),B44-'Energy margins'!$M$46,""),'Energy margins'!$O$46)=0,'Energy margins'!$L$46,0))</f>
        <v>0</v>
      </c>
      <c r="M44" s="918">
        <f>IF(ISERROR(IF(MOD(IF(AND(B44&gt;='Energy margins'!$M$47,B44&lt;='Energy margins'!$N$47),B44-'Energy margins'!$M$47,""),'Energy margins'!$O$47)=0,'Energy margins'!$L$47,0)),0,IF(MOD(IF(AND(B44&gt;='Energy margins'!$M$47,B44&lt;='Energy margins'!$N$47),B44-'Energy margins'!$M$47,""),'Energy margins'!$O$47)=0,'Energy margins'!$L$47,0))</f>
        <v>19.974783999999993</v>
      </c>
      <c r="N44" s="918">
        <f>IF(ISERROR(IF(MOD(IF(AND(B44&gt;='Energy margins'!$M$50,B44&lt;='Energy margins'!$N$50),B44-'Energy margins'!$M$50,""),'Energy margins'!$O$50)=0,'Energy margins'!$L$50,0)),0,IF(MOD(IF(AND(B44&gt;='Energy margins'!$M$50,B44&lt;='Energy margins'!$N$50),B44-'Energy margins'!$M$50,""),'Energy margins'!$O$50)=0,'Energy margins'!$L$50,0))</f>
        <v>50.735999999999997</v>
      </c>
      <c r="O44" s="918">
        <f>IF(ISERROR(IF(MOD(IF(AND(B44&gt;='Energy margins'!$M$53,B44&lt;='Energy margins'!$N$53),B44-'Energy margins'!$M$53,""),'Energy margins'!$O$53)=0,'Energy margins'!$L$53,0)),0,IF(MOD(IF(AND(B44&gt;='Energy margins'!$M$53,B44&lt;='Energy margins'!$N$53),B44-'Energy margins'!$M$53,""),'Energy margins'!$O$53)=0,'Energy margins'!$L$53,0))</f>
        <v>13.58</v>
      </c>
      <c r="P44" s="918">
        <f>IF(ISERROR(IF(MOD(IF(AND(B44&gt;='Energy margins'!$M$56,B44&lt;='Energy margins'!$N$56),B44-'Energy margins'!$M$56,""),'Energy margins'!$O$56)=0,'Energy margins'!$L$56,0)),0,IF(MOD(IF(AND(B44&gt;='Energy margins'!$M$56,B44&lt;='Energy margins'!$N$56),B44-'Energy margins'!$M$56,""),'Energy margins'!$O$56)=0,'Energy margins'!$L$56,0))</f>
        <v>38.520000000000003</v>
      </c>
      <c r="Q44" s="918">
        <f>IF(ISERROR(IF(MOD(IF(AND(B44&gt;='Energy margins'!$M$59,B44&lt;='Energy margins'!$N$59),B44-'Energy margins'!$M$59,""),'Energy margins'!$O$59)=0,'Energy margins'!$L$59,0)),0,IF(MOD(IF(AND(B44&gt;='Energy margins'!$M$59,B44&lt;='Energy margins'!$N$59),B44-'Energy margins'!$M$59,""),'Energy margins'!$O$59)=0,'Energy margins'!$L$59,0))</f>
        <v>0</v>
      </c>
      <c r="R44" s="918">
        <f>IF(ISERROR(IF(MOD(IF(AND(B44&gt;='Energy margins'!$M$60,B44&lt;='Energy margins'!$N$60),B44-'Energy margins'!$M$60,""),'Energy margins'!$O$60)=0,'Energy margins'!$L$60,0)),0,IF(MOD(IF(AND(B44&gt;='Energy margins'!$M$60,B44&lt;='Energy margins'!$N$60),B44-'Energy margins'!$M$60,""),'Energy margins'!$O$60)=0,'Energy margins'!$L$60,0))</f>
        <v>270.5</v>
      </c>
      <c r="S44" s="918">
        <f>IF(ISERROR(IF(MOD(IF(AND(B44&gt;='Energy margins'!$M$61,B44&lt;='Energy margins'!$N$61),B44-'Energy margins'!$M$61,""),'Energy margins'!$O$61)=0,'Energy margins'!$L$61,0)),0,IF(MOD(IF(AND(B44&gt;='Energy margins'!$M$61,B44&lt;='Energy margins'!$N$61),B44-'Energy margins'!$M$61,""),'Energy margins'!$O$61)=0,'Energy margins'!$L$61,0))</f>
        <v>0</v>
      </c>
      <c r="T44" s="918">
        <f>IF(ISERROR(IF(MOD(IF(AND(B44&gt;='Energy margins'!$M$62,B44&lt;='Energy margins'!$N$62),B44-'Energy margins'!$M$62,""),'Energy margins'!$O$62)=0,'Energy margins'!$L$62,0)),0,IF(MOD(IF(AND(B44&gt;='Energy margins'!$M$62,B44&lt;='Energy margins'!$N$62),B44-'Energy margins'!$M$62,""),'Energy margins'!$O$62)=0,'Energy margins'!$L$62,0))</f>
        <v>0</v>
      </c>
      <c r="U44" s="944">
        <f t="shared" si="18"/>
        <v>393.31078400000001</v>
      </c>
      <c r="V44" s="197"/>
      <c r="W44" s="197">
        <f t="shared" si="19"/>
        <v>393.31078400000001</v>
      </c>
      <c r="X44" s="197">
        <f t="shared" si="13"/>
        <v>509.56921599999987</v>
      </c>
      <c r="Y44" s="197">
        <f t="shared" si="14"/>
        <v>685.51921599999991</v>
      </c>
      <c r="Z44" s="973">
        <f t="shared" si="20"/>
        <v>742.10154615088322</v>
      </c>
      <c r="AA44" s="974">
        <f t="shared" si="21"/>
        <v>144.61807443430789</v>
      </c>
      <c r="AB44" s="974">
        <f t="shared" si="22"/>
        <v>323.27279475037227</v>
      </c>
      <c r="AC44" s="974">
        <f t="shared" si="23"/>
        <v>418.82875140051095</v>
      </c>
      <c r="AD44" s="975">
        <f t="shared" si="24"/>
        <v>563.44682583481892</v>
      </c>
      <c r="AE44" s="973">
        <f t="shared" si="29"/>
        <v>3370.3802811391533</v>
      </c>
      <c r="AF44" s="974">
        <f t="shared" si="25"/>
        <v>959.24813914230128</v>
      </c>
      <c r="AG44" s="974">
        <f t="shared" si="26"/>
        <v>4189.371225299863</v>
      </c>
      <c r="AH44" s="974">
        <f t="shared" si="27"/>
        <v>-818.99094416070966</v>
      </c>
      <c r="AI44" s="975">
        <f t="shared" si="28"/>
        <v>140.25719498159208</v>
      </c>
    </row>
    <row r="45" spans="2:35" x14ac:dyDescent="0.3">
      <c r="B45" s="900">
        <v>7</v>
      </c>
      <c r="C45" s="922">
        <f>'Energy Inputs'!E36</f>
        <v>1</v>
      </c>
      <c r="D45" s="918">
        <f>C45*'Energy Inputs'!$E$24</f>
        <v>12.54</v>
      </c>
      <c r="E45" s="197">
        <f>'Energy margins'!$L$12</f>
        <v>72</v>
      </c>
      <c r="F45" s="197">
        <f t="shared" si="16"/>
        <v>902.87999999999988</v>
      </c>
      <c r="G45" s="918">
        <f>'Energy Inputs'!$D$10</f>
        <v>175.95</v>
      </c>
      <c r="H45" s="197">
        <f t="shared" si="17"/>
        <v>1078.83</v>
      </c>
      <c r="I45" s="197"/>
      <c r="J45" s="943">
        <f>IF(ISERROR(IF(MOD(IF(AND(B45&gt;='Energy margins'!$M$44,B45&lt;='Energy margins'!$N$44),B45-'Energy margins'!$M$44,""),'Energy margins'!$O$44)=0,'Energy margins'!$L$44,0)),0,IF(MOD(IF(AND(B45&gt;='Energy margins'!$M$44,B45&lt;='Energy margins'!$N$44),B45-'Energy margins'!$M$44,""),'Energy margins'!$O$44)=0,'Energy margins'!$L$44,0))</f>
        <v>0</v>
      </c>
      <c r="K45" s="918">
        <f>IF(ISERROR(IF(MOD(IF(AND(B45&gt;='Energy margins'!$M$45,B45&lt;='Energy margins'!$N$45),B45-'Energy margins'!$M$45,""),'Energy margins'!$O$45)=0,'Energy margins'!$L$45,0)),0,IF(MOD(IF(AND(B45&gt;='Energy margins'!$M$45,B45&lt;='Energy margins'!$N$45),B45-'Energy margins'!$M$45,""),'Energy margins'!$O$45)=0,'Energy margins'!$L$45,0))</f>
        <v>0</v>
      </c>
      <c r="L45" s="918">
        <f>IF(ISERROR(IF(MOD(IF(AND(B45&gt;='Energy margins'!$M$46,B45&lt;='Energy margins'!$N$46),B45-'Energy margins'!$M$46,""),'Energy margins'!$O$46)=0,'Energy margins'!$L$46,0)),0,IF(MOD(IF(AND(B45&gt;='Energy margins'!$M$46,B45&lt;='Energy margins'!$N$46),B45-'Energy margins'!$M$46,""),'Energy margins'!$O$46)=0,'Energy margins'!$L$46,0))</f>
        <v>0</v>
      </c>
      <c r="M45" s="918">
        <f>IF(ISERROR(IF(MOD(IF(AND(B45&gt;='Energy margins'!$M$47,B45&lt;='Energy margins'!$N$47),B45-'Energy margins'!$M$47,""),'Energy margins'!$O$47)=0,'Energy margins'!$L$47,0)),0,IF(MOD(IF(AND(B45&gt;='Energy margins'!$M$47,B45&lt;='Energy margins'!$N$47),B45-'Energy margins'!$M$47,""),'Energy margins'!$O$47)=0,'Energy margins'!$L$47,0))</f>
        <v>19.974783999999993</v>
      </c>
      <c r="N45" s="918">
        <f>IF(ISERROR(IF(MOD(IF(AND(B45&gt;='Energy margins'!$M$50,B45&lt;='Energy margins'!$N$50),B45-'Energy margins'!$M$50,""),'Energy margins'!$O$50)=0,'Energy margins'!$L$50,0)),0,IF(MOD(IF(AND(B45&gt;='Energy margins'!$M$50,B45&lt;='Energy margins'!$N$50),B45-'Energy margins'!$M$50,""),'Energy margins'!$O$50)=0,'Energy margins'!$L$50,0))</f>
        <v>50.735999999999997</v>
      </c>
      <c r="O45" s="918">
        <f>IF(ISERROR(IF(MOD(IF(AND(B45&gt;='Energy margins'!$M$53,B45&lt;='Energy margins'!$N$53),B45-'Energy margins'!$M$53,""),'Energy margins'!$O$53)=0,'Energy margins'!$L$53,0)),0,IF(MOD(IF(AND(B45&gt;='Energy margins'!$M$53,B45&lt;='Energy margins'!$N$53),B45-'Energy margins'!$M$53,""),'Energy margins'!$O$53)=0,'Energy margins'!$L$53,0))</f>
        <v>13.58</v>
      </c>
      <c r="P45" s="918">
        <f>IF(ISERROR(IF(MOD(IF(AND(B45&gt;='Energy margins'!$M$56,B45&lt;='Energy margins'!$N$56),B45-'Energy margins'!$M$56,""),'Energy margins'!$O$56)=0,'Energy margins'!$L$56,0)),0,IF(MOD(IF(AND(B45&gt;='Energy margins'!$M$56,B45&lt;='Energy margins'!$N$56),B45-'Energy margins'!$M$56,""),'Energy margins'!$O$56)=0,'Energy margins'!$L$56,0))</f>
        <v>38.520000000000003</v>
      </c>
      <c r="Q45" s="918">
        <f>IF(ISERROR(IF(MOD(IF(AND(B45&gt;='Energy margins'!$M$59,B45&lt;='Energy margins'!$N$59),B45-'Energy margins'!$M$59,""),'Energy margins'!$O$59)=0,'Energy margins'!$L$59,0)),0,IF(MOD(IF(AND(B45&gt;='Energy margins'!$M$59,B45&lt;='Energy margins'!$N$59),B45-'Energy margins'!$M$59,""),'Energy margins'!$O$59)=0,'Energy margins'!$L$59,0))</f>
        <v>0</v>
      </c>
      <c r="R45" s="918">
        <f>IF(ISERROR(IF(MOD(IF(AND(B45&gt;='Energy margins'!$M$60,B45&lt;='Energy margins'!$N$60),B45-'Energy margins'!$M$60,""),'Energy margins'!$O$60)=0,'Energy margins'!$L$60,0)),0,IF(MOD(IF(AND(B45&gt;='Energy margins'!$M$60,B45&lt;='Energy margins'!$N$60),B45-'Energy margins'!$M$60,""),'Energy margins'!$O$60)=0,'Energy margins'!$L$60,0))</f>
        <v>270.5</v>
      </c>
      <c r="S45" s="918">
        <f>IF(ISERROR(IF(MOD(IF(AND(B45&gt;='Energy margins'!$M$61,B45&lt;='Energy margins'!$N$61),B45-'Energy margins'!$M$61,""),'Energy margins'!$O$61)=0,'Energy margins'!$L$61,0)),0,IF(MOD(IF(AND(B45&gt;='Energy margins'!$M$61,B45&lt;='Energy margins'!$N$61),B45-'Energy margins'!$M$61,""),'Energy margins'!$O$61)=0,'Energy margins'!$L$61,0))</f>
        <v>0</v>
      </c>
      <c r="T45" s="918">
        <f>IF(ISERROR(IF(MOD(IF(AND(B45&gt;='Energy margins'!$M$62,B45&lt;='Energy margins'!$N$62),B45-'Energy margins'!$M$62,""),'Energy margins'!$O$62)=0,'Energy margins'!$L$62,0)),0,IF(MOD(IF(AND(B45&gt;='Energy margins'!$M$62,B45&lt;='Energy margins'!$N$62),B45-'Energy margins'!$M$62,""),'Energy margins'!$O$62)=0,'Energy margins'!$L$62,0))</f>
        <v>0</v>
      </c>
      <c r="U45" s="944">
        <f t="shared" si="18"/>
        <v>393.31078400000001</v>
      </c>
      <c r="V45" s="197"/>
      <c r="W45" s="197">
        <f t="shared" si="19"/>
        <v>393.31078400000001</v>
      </c>
      <c r="X45" s="197">
        <f t="shared" si="13"/>
        <v>509.56921599999987</v>
      </c>
      <c r="Y45" s="197">
        <f t="shared" si="14"/>
        <v>685.51921599999991</v>
      </c>
      <c r="Z45" s="973">
        <f t="shared" si="20"/>
        <v>713.55917899123392</v>
      </c>
      <c r="AA45" s="974">
        <f t="shared" si="21"/>
        <v>139.05584080221914</v>
      </c>
      <c r="AB45" s="974">
        <f t="shared" si="22"/>
        <v>310.83922572151181</v>
      </c>
      <c r="AC45" s="974">
        <f t="shared" si="23"/>
        <v>402.71995326972205</v>
      </c>
      <c r="AD45" s="975">
        <f t="shared" si="24"/>
        <v>541.77579407194128</v>
      </c>
      <c r="AE45" s="973">
        <f t="shared" si="29"/>
        <v>4083.9394601303875</v>
      </c>
      <c r="AF45" s="974">
        <f t="shared" si="25"/>
        <v>1098.3039799445205</v>
      </c>
      <c r="AG45" s="974">
        <f t="shared" si="26"/>
        <v>4500.2104510213749</v>
      </c>
      <c r="AH45" s="974">
        <f t="shared" si="27"/>
        <v>-416.2709908909876</v>
      </c>
      <c r="AI45" s="975">
        <f t="shared" si="28"/>
        <v>682.03298905353336</v>
      </c>
    </row>
    <row r="46" spans="2:35" x14ac:dyDescent="0.3">
      <c r="B46" s="900">
        <v>8</v>
      </c>
      <c r="C46" s="922">
        <f>'Energy Inputs'!E37</f>
        <v>1</v>
      </c>
      <c r="D46" s="918">
        <f>C46*'Energy Inputs'!$E$24</f>
        <v>12.54</v>
      </c>
      <c r="E46" s="197">
        <f>'Energy margins'!$L$12</f>
        <v>72</v>
      </c>
      <c r="F46" s="197">
        <f t="shared" si="16"/>
        <v>902.87999999999988</v>
      </c>
      <c r="G46" s="918">
        <f>'Energy Inputs'!$D$10</f>
        <v>175.95</v>
      </c>
      <c r="H46" s="197">
        <f t="shared" si="17"/>
        <v>1078.83</v>
      </c>
      <c r="I46" s="197"/>
      <c r="J46" s="943">
        <f>IF(ISERROR(IF(MOD(IF(AND(B46&gt;='Energy margins'!$M$44,B46&lt;='Energy margins'!$N$44),B46-'Energy margins'!$M$44,""),'Energy margins'!$O$44)=0,'Energy margins'!$L$44,0)),0,IF(MOD(IF(AND(B46&gt;='Energy margins'!$M$44,B46&lt;='Energy margins'!$N$44),B46-'Energy margins'!$M$44,""),'Energy margins'!$O$44)=0,'Energy margins'!$L$44,0))</f>
        <v>0</v>
      </c>
      <c r="K46" s="918">
        <f>IF(ISERROR(IF(MOD(IF(AND(B46&gt;='Energy margins'!$M$45,B46&lt;='Energy margins'!$N$45),B46-'Energy margins'!$M$45,""),'Energy margins'!$O$45)=0,'Energy margins'!$L$45,0)),0,IF(MOD(IF(AND(B46&gt;='Energy margins'!$M$45,B46&lt;='Energy margins'!$N$45),B46-'Energy margins'!$M$45,""),'Energy margins'!$O$45)=0,'Energy margins'!$L$45,0))</f>
        <v>0</v>
      </c>
      <c r="L46" s="918">
        <f>IF(ISERROR(IF(MOD(IF(AND(B46&gt;='Energy margins'!$M$46,B46&lt;='Energy margins'!$N$46),B46-'Energy margins'!$M$46,""),'Energy margins'!$O$46)=0,'Energy margins'!$L$46,0)),0,IF(MOD(IF(AND(B46&gt;='Energy margins'!$M$46,B46&lt;='Energy margins'!$N$46),B46-'Energy margins'!$M$46,""),'Energy margins'!$O$46)=0,'Energy margins'!$L$46,0))</f>
        <v>0</v>
      </c>
      <c r="M46" s="918">
        <f>IF(ISERROR(IF(MOD(IF(AND(B46&gt;='Energy margins'!$M$47,B46&lt;='Energy margins'!$N$47),B46-'Energy margins'!$M$47,""),'Energy margins'!$O$47)=0,'Energy margins'!$L$47,0)),0,IF(MOD(IF(AND(B46&gt;='Energy margins'!$M$47,B46&lt;='Energy margins'!$N$47),B46-'Energy margins'!$M$47,""),'Energy margins'!$O$47)=0,'Energy margins'!$L$47,0))</f>
        <v>19.974783999999993</v>
      </c>
      <c r="N46" s="918">
        <f>IF(ISERROR(IF(MOD(IF(AND(B46&gt;='Energy margins'!$M$50,B46&lt;='Energy margins'!$N$50),B46-'Energy margins'!$M$50,""),'Energy margins'!$O$50)=0,'Energy margins'!$L$50,0)),0,IF(MOD(IF(AND(B46&gt;='Energy margins'!$M$50,B46&lt;='Energy margins'!$N$50),B46-'Energy margins'!$M$50,""),'Energy margins'!$O$50)=0,'Energy margins'!$L$50,0))</f>
        <v>50.735999999999997</v>
      </c>
      <c r="O46" s="918">
        <f>IF(ISERROR(IF(MOD(IF(AND(B46&gt;='Energy margins'!$M$53,B46&lt;='Energy margins'!$N$53),B46-'Energy margins'!$M$53,""),'Energy margins'!$O$53)=0,'Energy margins'!$L$53,0)),0,IF(MOD(IF(AND(B46&gt;='Energy margins'!$M$53,B46&lt;='Energy margins'!$N$53),B46-'Energy margins'!$M$53,""),'Energy margins'!$O$53)=0,'Energy margins'!$L$53,0))</f>
        <v>13.58</v>
      </c>
      <c r="P46" s="918">
        <f>IF(ISERROR(IF(MOD(IF(AND(B46&gt;='Energy margins'!$M$56,B46&lt;='Energy margins'!$N$56),B46-'Energy margins'!$M$56,""),'Energy margins'!$O$56)=0,'Energy margins'!$L$56,0)),0,IF(MOD(IF(AND(B46&gt;='Energy margins'!$M$56,B46&lt;='Energy margins'!$N$56),B46-'Energy margins'!$M$56,""),'Energy margins'!$O$56)=0,'Energy margins'!$L$56,0))</f>
        <v>38.520000000000003</v>
      </c>
      <c r="Q46" s="918">
        <f>IF(ISERROR(IF(MOD(IF(AND(B46&gt;='Energy margins'!$M$59,B46&lt;='Energy margins'!$N$59),B46-'Energy margins'!$M$59,""),'Energy margins'!$O$59)=0,'Energy margins'!$L$59,0)),0,IF(MOD(IF(AND(B46&gt;='Energy margins'!$M$59,B46&lt;='Energy margins'!$N$59),B46-'Energy margins'!$M$59,""),'Energy margins'!$O$59)=0,'Energy margins'!$L$59,0))</f>
        <v>0</v>
      </c>
      <c r="R46" s="918">
        <f>IF(ISERROR(IF(MOD(IF(AND(B46&gt;='Energy margins'!$M$60,B46&lt;='Energy margins'!$N$60),B46-'Energy margins'!$M$60,""),'Energy margins'!$O$60)=0,'Energy margins'!$L$60,0)),0,IF(MOD(IF(AND(B46&gt;='Energy margins'!$M$60,B46&lt;='Energy margins'!$N$60),B46-'Energy margins'!$M$60,""),'Energy margins'!$O$60)=0,'Energy margins'!$L$60,0))</f>
        <v>270.5</v>
      </c>
      <c r="S46" s="918">
        <f>IF(ISERROR(IF(MOD(IF(AND(B46&gt;='Energy margins'!$M$61,B46&lt;='Energy margins'!$N$61),B46-'Energy margins'!$M$61,""),'Energy margins'!$O$61)=0,'Energy margins'!$L$61,0)),0,IF(MOD(IF(AND(B46&gt;='Energy margins'!$M$61,B46&lt;='Energy margins'!$N$61),B46-'Energy margins'!$M$61,""),'Energy margins'!$O$61)=0,'Energy margins'!$L$61,0))</f>
        <v>0</v>
      </c>
      <c r="T46" s="918">
        <f>IF(ISERROR(IF(MOD(IF(AND(B46&gt;='Energy margins'!$M$62,B46&lt;='Energy margins'!$N$62),B46-'Energy margins'!$M$62,""),'Energy margins'!$O$62)=0,'Energy margins'!$L$62,0)),0,IF(MOD(IF(AND(B46&gt;='Energy margins'!$M$62,B46&lt;='Energy margins'!$N$62),B46-'Energy margins'!$M$62,""),'Energy margins'!$O$62)=0,'Energy margins'!$L$62,0))</f>
        <v>0</v>
      </c>
      <c r="U46" s="944">
        <f t="shared" si="18"/>
        <v>393.31078400000001</v>
      </c>
      <c r="V46" s="197"/>
      <c r="W46" s="197">
        <f t="shared" si="19"/>
        <v>393.31078400000001</v>
      </c>
      <c r="X46" s="197">
        <f t="shared" si="13"/>
        <v>509.56921599999987</v>
      </c>
      <c r="Y46" s="197">
        <f t="shared" si="14"/>
        <v>685.51921599999991</v>
      </c>
      <c r="Z46" s="973">
        <f t="shared" si="20"/>
        <v>686.11459518387881</v>
      </c>
      <c r="AA46" s="974">
        <f t="shared" si="21"/>
        <v>133.70753923290303</v>
      </c>
      <c r="AB46" s="974">
        <f t="shared" si="22"/>
        <v>298.88387088606908</v>
      </c>
      <c r="AC46" s="974">
        <f t="shared" si="23"/>
        <v>387.23072429780973</v>
      </c>
      <c r="AD46" s="975">
        <f t="shared" si="24"/>
        <v>520.93826353071279</v>
      </c>
      <c r="AE46" s="973">
        <f t="shared" si="29"/>
        <v>4770.0540553142664</v>
      </c>
      <c r="AF46" s="974">
        <f t="shared" si="25"/>
        <v>1232.0115191774235</v>
      </c>
      <c r="AG46" s="974">
        <f t="shared" si="26"/>
        <v>4799.0943219074443</v>
      </c>
      <c r="AH46" s="974">
        <f t="shared" si="27"/>
        <v>-29.040266593177876</v>
      </c>
      <c r="AI46" s="975">
        <f t="shared" si="28"/>
        <v>1202.971252584246</v>
      </c>
    </row>
    <row r="47" spans="2:35" x14ac:dyDescent="0.3">
      <c r="B47" s="900">
        <v>9</v>
      </c>
      <c r="C47" s="922">
        <f>'Energy Inputs'!E38</f>
        <v>1</v>
      </c>
      <c r="D47" s="918">
        <f>C47*'Energy Inputs'!$E$24</f>
        <v>12.54</v>
      </c>
      <c r="E47" s="197">
        <f>'Energy margins'!$L$12</f>
        <v>72</v>
      </c>
      <c r="F47" s="197">
        <f t="shared" si="16"/>
        <v>902.87999999999988</v>
      </c>
      <c r="G47" s="918">
        <f>'Energy Inputs'!$D$10</f>
        <v>175.95</v>
      </c>
      <c r="H47" s="197">
        <f t="shared" si="17"/>
        <v>1078.83</v>
      </c>
      <c r="I47" s="197"/>
      <c r="J47" s="943">
        <f>IF(ISERROR(IF(MOD(IF(AND(B47&gt;='Energy margins'!$M$44,B47&lt;='Energy margins'!$N$44),B47-'Energy margins'!$M$44,""),'Energy margins'!$O$44)=0,'Energy margins'!$L$44,0)),0,IF(MOD(IF(AND(B47&gt;='Energy margins'!$M$44,B47&lt;='Energy margins'!$N$44),B47-'Energy margins'!$M$44,""),'Energy margins'!$O$44)=0,'Energy margins'!$L$44,0))</f>
        <v>0</v>
      </c>
      <c r="K47" s="918">
        <f>IF(ISERROR(IF(MOD(IF(AND(B47&gt;='Energy margins'!$M$45,B47&lt;='Energy margins'!$N$45),B47-'Energy margins'!$M$45,""),'Energy margins'!$O$45)=0,'Energy margins'!$L$45,0)),0,IF(MOD(IF(AND(B47&gt;='Energy margins'!$M$45,B47&lt;='Energy margins'!$N$45),B47-'Energy margins'!$M$45,""),'Energy margins'!$O$45)=0,'Energy margins'!$L$45,0))</f>
        <v>0</v>
      </c>
      <c r="L47" s="918">
        <f>IF(ISERROR(IF(MOD(IF(AND(B47&gt;='Energy margins'!$M$46,B47&lt;='Energy margins'!$N$46),B47-'Energy margins'!$M$46,""),'Energy margins'!$O$46)=0,'Energy margins'!$L$46,0)),0,IF(MOD(IF(AND(B47&gt;='Energy margins'!$M$46,B47&lt;='Energy margins'!$N$46),B47-'Energy margins'!$M$46,""),'Energy margins'!$O$46)=0,'Energy margins'!$L$46,0))</f>
        <v>0</v>
      </c>
      <c r="M47" s="918">
        <f>IF(ISERROR(IF(MOD(IF(AND(B47&gt;='Energy margins'!$M$47,B47&lt;='Energy margins'!$N$47),B47-'Energy margins'!$M$47,""),'Energy margins'!$O$47)=0,'Energy margins'!$L$47,0)),0,IF(MOD(IF(AND(B47&gt;='Energy margins'!$M$47,B47&lt;='Energy margins'!$N$47),B47-'Energy margins'!$M$47,""),'Energy margins'!$O$47)=0,'Energy margins'!$L$47,0))</f>
        <v>19.974783999999993</v>
      </c>
      <c r="N47" s="918">
        <f>IF(ISERROR(IF(MOD(IF(AND(B47&gt;='Energy margins'!$M$50,B47&lt;='Energy margins'!$N$50),B47-'Energy margins'!$M$50,""),'Energy margins'!$O$50)=0,'Energy margins'!$L$50,0)),0,IF(MOD(IF(AND(B47&gt;='Energy margins'!$M$50,B47&lt;='Energy margins'!$N$50),B47-'Energy margins'!$M$50,""),'Energy margins'!$O$50)=0,'Energy margins'!$L$50,0))</f>
        <v>50.735999999999997</v>
      </c>
      <c r="O47" s="918">
        <f>IF(ISERROR(IF(MOD(IF(AND(B47&gt;='Energy margins'!$M$53,B47&lt;='Energy margins'!$N$53),B47-'Energy margins'!$M$53,""),'Energy margins'!$O$53)=0,'Energy margins'!$L$53,0)),0,IF(MOD(IF(AND(B47&gt;='Energy margins'!$M$53,B47&lt;='Energy margins'!$N$53),B47-'Energy margins'!$M$53,""),'Energy margins'!$O$53)=0,'Energy margins'!$L$53,0))</f>
        <v>13.58</v>
      </c>
      <c r="P47" s="918">
        <f>IF(ISERROR(IF(MOD(IF(AND(B47&gt;='Energy margins'!$M$56,B47&lt;='Energy margins'!$N$56),B47-'Energy margins'!$M$56,""),'Energy margins'!$O$56)=0,'Energy margins'!$L$56,0)),0,IF(MOD(IF(AND(B47&gt;='Energy margins'!$M$56,B47&lt;='Energy margins'!$N$56),B47-'Energy margins'!$M$56,""),'Energy margins'!$O$56)=0,'Energy margins'!$L$56,0))</f>
        <v>38.520000000000003</v>
      </c>
      <c r="Q47" s="918">
        <f>IF(ISERROR(IF(MOD(IF(AND(B47&gt;='Energy margins'!$M$59,B47&lt;='Energy margins'!$N$59),B47-'Energy margins'!$M$59,""),'Energy margins'!$O$59)=0,'Energy margins'!$L$59,0)),0,IF(MOD(IF(AND(B47&gt;='Energy margins'!$M$59,B47&lt;='Energy margins'!$N$59),B47-'Energy margins'!$M$59,""),'Energy margins'!$O$59)=0,'Energy margins'!$L$59,0))</f>
        <v>0</v>
      </c>
      <c r="R47" s="918">
        <f>IF(ISERROR(IF(MOD(IF(AND(B47&gt;='Energy margins'!$M$60,B47&lt;='Energy margins'!$N$60),B47-'Energy margins'!$M$60,""),'Energy margins'!$O$60)=0,'Energy margins'!$L$60,0)),0,IF(MOD(IF(AND(B47&gt;='Energy margins'!$M$60,B47&lt;='Energy margins'!$N$60),B47-'Energy margins'!$M$60,""),'Energy margins'!$O$60)=0,'Energy margins'!$L$60,0))</f>
        <v>270.5</v>
      </c>
      <c r="S47" s="918">
        <f>IF(ISERROR(IF(MOD(IF(AND(B47&gt;='Energy margins'!$M$61,B47&lt;='Energy margins'!$N$61),B47-'Energy margins'!$M$61,""),'Energy margins'!$O$61)=0,'Energy margins'!$L$61,0)),0,IF(MOD(IF(AND(B47&gt;='Energy margins'!$M$61,B47&lt;='Energy margins'!$N$61),B47-'Energy margins'!$M$61,""),'Energy margins'!$O$61)=0,'Energy margins'!$L$61,0))</f>
        <v>0</v>
      </c>
      <c r="T47" s="918">
        <f>IF(ISERROR(IF(MOD(IF(AND(B47&gt;='Energy margins'!$M$62,B47&lt;='Energy margins'!$N$62),B47-'Energy margins'!$M$62,""),'Energy margins'!$O$62)=0,'Energy margins'!$L$62,0)),0,IF(MOD(IF(AND(B47&gt;='Energy margins'!$M$62,B47&lt;='Energy margins'!$N$62),B47-'Energy margins'!$M$62,""),'Energy margins'!$O$62)=0,'Energy margins'!$L$62,0))</f>
        <v>0</v>
      </c>
      <c r="U47" s="944">
        <f t="shared" si="18"/>
        <v>393.31078400000001</v>
      </c>
      <c r="V47" s="197"/>
      <c r="W47" s="197">
        <f t="shared" si="19"/>
        <v>393.31078400000001</v>
      </c>
      <c r="X47" s="197">
        <f t="shared" si="13"/>
        <v>509.56921599999987</v>
      </c>
      <c r="Y47" s="197">
        <f t="shared" si="14"/>
        <v>685.51921599999991</v>
      </c>
      <c r="Z47" s="973">
        <f t="shared" si="20"/>
        <v>659.72557229219103</v>
      </c>
      <c r="AA47" s="974">
        <f t="shared" si="21"/>
        <v>128.56494157009902</v>
      </c>
      <c r="AB47" s="974">
        <f t="shared" si="22"/>
        <v>287.38833739045094</v>
      </c>
      <c r="AC47" s="974">
        <f t="shared" si="23"/>
        <v>372.33723490174003</v>
      </c>
      <c r="AD47" s="975">
        <f t="shared" si="24"/>
        <v>500.90217647183914</v>
      </c>
      <c r="AE47" s="973">
        <f t="shared" si="29"/>
        <v>5429.7796276064573</v>
      </c>
      <c r="AF47" s="974">
        <f t="shared" si="25"/>
        <v>1360.5764607475226</v>
      </c>
      <c r="AG47" s="974">
        <f t="shared" si="26"/>
        <v>5086.4826592978952</v>
      </c>
      <c r="AH47" s="974">
        <f t="shared" si="27"/>
        <v>343.29696830856216</v>
      </c>
      <c r="AI47" s="975">
        <f t="shared" si="28"/>
        <v>1703.8734290560851</v>
      </c>
    </row>
    <row r="48" spans="2:35" x14ac:dyDescent="0.3">
      <c r="B48" s="900">
        <v>10</v>
      </c>
      <c r="C48" s="922">
        <f>'Energy Inputs'!E39</f>
        <v>1</v>
      </c>
      <c r="D48" s="918">
        <f>C48*'Energy Inputs'!$E$24</f>
        <v>12.54</v>
      </c>
      <c r="E48" s="197">
        <f>'Energy margins'!$L$12</f>
        <v>72</v>
      </c>
      <c r="F48" s="197">
        <f t="shared" si="16"/>
        <v>902.87999999999988</v>
      </c>
      <c r="G48" s="918">
        <f>'Energy Inputs'!$D$10</f>
        <v>175.95</v>
      </c>
      <c r="H48" s="197">
        <f t="shared" si="17"/>
        <v>1078.83</v>
      </c>
      <c r="I48" s="197"/>
      <c r="J48" s="943">
        <f>IF(ISERROR(IF(MOD(IF(AND(B48&gt;='Energy margins'!$M$44,B48&lt;='Energy margins'!$N$44),B48-'Energy margins'!$M$44,""),'Energy margins'!$O$44)=0,'Energy margins'!$L$44,0)),0,IF(MOD(IF(AND(B48&gt;='Energy margins'!$M$44,B48&lt;='Energy margins'!$N$44),B48-'Energy margins'!$M$44,""),'Energy margins'!$O$44)=0,'Energy margins'!$L$44,0))</f>
        <v>0</v>
      </c>
      <c r="K48" s="918">
        <f>IF(ISERROR(IF(MOD(IF(AND(B48&gt;='Energy margins'!$M$45,B48&lt;='Energy margins'!$N$45),B48-'Energy margins'!$M$45,""),'Energy margins'!$O$45)=0,'Energy margins'!$L$45,0)),0,IF(MOD(IF(AND(B48&gt;='Energy margins'!$M$45,B48&lt;='Energy margins'!$N$45),B48-'Energy margins'!$M$45,""),'Energy margins'!$O$45)=0,'Energy margins'!$L$45,0))</f>
        <v>0</v>
      </c>
      <c r="L48" s="918">
        <f>IF(ISERROR(IF(MOD(IF(AND(B48&gt;='Energy margins'!$M$46,B48&lt;='Energy margins'!$N$46),B48-'Energy margins'!$M$46,""),'Energy margins'!$O$46)=0,'Energy margins'!$L$46,0)),0,IF(MOD(IF(AND(B48&gt;='Energy margins'!$M$46,B48&lt;='Energy margins'!$N$46),B48-'Energy margins'!$M$46,""),'Energy margins'!$O$46)=0,'Energy margins'!$L$46,0))</f>
        <v>0</v>
      </c>
      <c r="M48" s="918">
        <f>IF(ISERROR(IF(MOD(IF(AND(B48&gt;='Energy margins'!$M$47,B48&lt;='Energy margins'!$N$47),B48-'Energy margins'!$M$47,""),'Energy margins'!$O$47)=0,'Energy margins'!$L$47,0)),0,IF(MOD(IF(AND(B48&gt;='Energy margins'!$M$47,B48&lt;='Energy margins'!$N$47),B48-'Energy margins'!$M$47,""),'Energy margins'!$O$47)=0,'Energy margins'!$L$47,0))</f>
        <v>19.974783999999993</v>
      </c>
      <c r="N48" s="918">
        <f>IF(ISERROR(IF(MOD(IF(AND(B48&gt;='Energy margins'!$M$50,B48&lt;='Energy margins'!$N$50),B48-'Energy margins'!$M$50,""),'Energy margins'!$O$50)=0,'Energy margins'!$L$50,0)),0,IF(MOD(IF(AND(B48&gt;='Energy margins'!$M$50,B48&lt;='Energy margins'!$N$50),B48-'Energy margins'!$M$50,""),'Energy margins'!$O$50)=0,'Energy margins'!$L$50,0))</f>
        <v>50.735999999999997</v>
      </c>
      <c r="O48" s="918">
        <f>IF(ISERROR(IF(MOD(IF(AND(B48&gt;='Energy margins'!$M$53,B48&lt;='Energy margins'!$N$53),B48-'Energy margins'!$M$53,""),'Energy margins'!$O$53)=0,'Energy margins'!$L$53,0)),0,IF(MOD(IF(AND(B48&gt;='Energy margins'!$M$53,B48&lt;='Energy margins'!$N$53),B48-'Energy margins'!$M$53,""),'Energy margins'!$O$53)=0,'Energy margins'!$L$53,0))</f>
        <v>13.58</v>
      </c>
      <c r="P48" s="918">
        <f>IF(ISERROR(IF(MOD(IF(AND(B48&gt;='Energy margins'!$M$56,B48&lt;='Energy margins'!$N$56),B48-'Energy margins'!$M$56,""),'Energy margins'!$O$56)=0,'Energy margins'!$L$56,0)),0,IF(MOD(IF(AND(B48&gt;='Energy margins'!$M$56,B48&lt;='Energy margins'!$N$56),B48-'Energy margins'!$M$56,""),'Energy margins'!$O$56)=0,'Energy margins'!$L$56,0))</f>
        <v>38.520000000000003</v>
      </c>
      <c r="Q48" s="918">
        <f>IF(ISERROR(IF(MOD(IF(AND(B48&gt;='Energy margins'!$M$59,B48&lt;='Energy margins'!$N$59),B48-'Energy margins'!$M$59,""),'Energy margins'!$O$59)=0,'Energy margins'!$L$59,0)),0,IF(MOD(IF(AND(B48&gt;='Energy margins'!$M$59,B48&lt;='Energy margins'!$N$59),B48-'Energy margins'!$M$59,""),'Energy margins'!$O$59)=0,'Energy margins'!$L$59,0))</f>
        <v>0</v>
      </c>
      <c r="R48" s="918">
        <f>IF(ISERROR(IF(MOD(IF(AND(B48&gt;='Energy margins'!$M$60,B48&lt;='Energy margins'!$N$60),B48-'Energy margins'!$M$60,""),'Energy margins'!$O$60)=0,'Energy margins'!$L$60,0)),0,IF(MOD(IF(AND(B48&gt;='Energy margins'!$M$60,B48&lt;='Energy margins'!$N$60),B48-'Energy margins'!$M$60,""),'Energy margins'!$O$60)=0,'Energy margins'!$L$60,0))</f>
        <v>270.5</v>
      </c>
      <c r="S48" s="918">
        <f>IF(ISERROR(IF(MOD(IF(AND(B48&gt;='Energy margins'!$M$61,B48&lt;='Energy margins'!$N$61),B48-'Energy margins'!$M$61,""),'Energy margins'!$O$61)=0,'Energy margins'!$L$61,0)),0,IF(MOD(IF(AND(B48&gt;='Energy margins'!$M$61,B48&lt;='Energy margins'!$N$61),B48-'Energy margins'!$M$61,""),'Energy margins'!$O$61)=0,'Energy margins'!$L$61,0))</f>
        <v>0</v>
      </c>
      <c r="T48" s="918">
        <f>IF(ISERROR(IF(MOD(IF(AND(B48&gt;='Energy margins'!$M$62,B48&lt;='Energy margins'!$N$62),B48-'Energy margins'!$M$62,""),'Energy margins'!$O$62)=0,'Energy margins'!$L$62,0)),0,IF(MOD(IF(AND(B48&gt;='Energy margins'!$M$62,B48&lt;='Energy margins'!$N$62),B48-'Energy margins'!$M$62,""),'Energy margins'!$O$62)=0,'Energy margins'!$L$62,0))</f>
        <v>0</v>
      </c>
      <c r="U48" s="944">
        <f t="shared" si="18"/>
        <v>393.31078400000001</v>
      </c>
      <c r="V48" s="197"/>
      <c r="W48" s="197">
        <f t="shared" si="19"/>
        <v>393.31078400000001</v>
      </c>
      <c r="X48" s="197">
        <f t="shared" si="13"/>
        <v>509.56921599999987</v>
      </c>
      <c r="Y48" s="197">
        <f t="shared" si="14"/>
        <v>685.51921599999991</v>
      </c>
      <c r="Z48" s="973">
        <f t="shared" si="20"/>
        <v>634.35151181941444</v>
      </c>
      <c r="AA48" s="974">
        <f t="shared" si="21"/>
        <v>123.62013612509521</v>
      </c>
      <c r="AB48" s="974">
        <f t="shared" si="22"/>
        <v>276.3349397985105</v>
      </c>
      <c r="AC48" s="974">
        <f t="shared" si="23"/>
        <v>358.01657202090388</v>
      </c>
      <c r="AD48" s="975">
        <f t="shared" si="24"/>
        <v>481.63670814599914</v>
      </c>
      <c r="AE48" s="973">
        <f t="shared" si="29"/>
        <v>6064.1311394258719</v>
      </c>
      <c r="AF48" s="974">
        <f t="shared" si="25"/>
        <v>1484.1965968726179</v>
      </c>
      <c r="AG48" s="974">
        <f t="shared" si="26"/>
        <v>5362.8175990964055</v>
      </c>
      <c r="AH48" s="974">
        <f t="shared" si="27"/>
        <v>701.31354032946604</v>
      </c>
      <c r="AI48" s="975">
        <f t="shared" si="28"/>
        <v>2185.5101372020845</v>
      </c>
    </row>
    <row r="49" spans="2:35" x14ac:dyDescent="0.3">
      <c r="B49" s="900">
        <v>11</v>
      </c>
      <c r="C49" s="922">
        <f>'Energy Inputs'!E40</f>
        <v>1</v>
      </c>
      <c r="D49" s="918">
        <f>C49*'Energy Inputs'!$E$24</f>
        <v>12.54</v>
      </c>
      <c r="E49" s="197">
        <f>'Energy margins'!$L$12</f>
        <v>72</v>
      </c>
      <c r="F49" s="197">
        <f t="shared" si="16"/>
        <v>902.87999999999988</v>
      </c>
      <c r="G49" s="918">
        <f>'Energy Inputs'!$D$10</f>
        <v>175.95</v>
      </c>
      <c r="H49" s="197">
        <f t="shared" si="17"/>
        <v>1078.83</v>
      </c>
      <c r="I49" s="197"/>
      <c r="J49" s="943">
        <f>IF(ISERROR(IF(MOD(IF(AND(B49&gt;='Energy margins'!$M$44,B49&lt;='Energy margins'!$N$44),B49-'Energy margins'!$M$44,""),'Energy margins'!$O$44)=0,'Energy margins'!$L$44,0)),0,IF(MOD(IF(AND(B49&gt;='Energy margins'!$M$44,B49&lt;='Energy margins'!$N$44),B49-'Energy margins'!$M$44,""),'Energy margins'!$O$44)=0,'Energy margins'!$L$44,0))</f>
        <v>0</v>
      </c>
      <c r="K49" s="918">
        <f>IF(ISERROR(IF(MOD(IF(AND(B49&gt;='Energy margins'!$M$45,B49&lt;='Energy margins'!$N$45),B49-'Energy margins'!$M$45,""),'Energy margins'!$O$45)=0,'Energy margins'!$L$45,0)),0,IF(MOD(IF(AND(B49&gt;='Energy margins'!$M$45,B49&lt;='Energy margins'!$N$45),B49-'Energy margins'!$M$45,""),'Energy margins'!$O$45)=0,'Energy margins'!$L$45,0))</f>
        <v>0</v>
      </c>
      <c r="L49" s="918">
        <f>IF(ISERROR(IF(MOD(IF(AND(B49&gt;='Energy margins'!$M$46,B49&lt;='Energy margins'!$N$46),B49-'Energy margins'!$M$46,""),'Energy margins'!$O$46)=0,'Energy margins'!$L$46,0)),0,IF(MOD(IF(AND(B49&gt;='Energy margins'!$M$46,B49&lt;='Energy margins'!$N$46),B49-'Energy margins'!$M$46,""),'Energy margins'!$O$46)=0,'Energy margins'!$L$46,0))</f>
        <v>0</v>
      </c>
      <c r="M49" s="918">
        <f>IF(ISERROR(IF(MOD(IF(AND(B49&gt;='Energy margins'!$M$47,B49&lt;='Energy margins'!$N$47),B49-'Energy margins'!$M$47,""),'Energy margins'!$O$47)=0,'Energy margins'!$L$47,0)),0,IF(MOD(IF(AND(B49&gt;='Energy margins'!$M$47,B49&lt;='Energy margins'!$N$47),B49-'Energy margins'!$M$47,""),'Energy margins'!$O$47)=0,'Energy margins'!$L$47,0))</f>
        <v>19.974783999999993</v>
      </c>
      <c r="N49" s="918">
        <f>IF(ISERROR(IF(MOD(IF(AND(B49&gt;='Energy margins'!$M$50,B49&lt;='Energy margins'!$N$50),B49-'Energy margins'!$M$50,""),'Energy margins'!$O$50)=0,'Energy margins'!$L$50,0)),0,IF(MOD(IF(AND(B49&gt;='Energy margins'!$M$50,B49&lt;='Energy margins'!$N$50),B49-'Energy margins'!$M$50,""),'Energy margins'!$O$50)=0,'Energy margins'!$L$50,0))</f>
        <v>50.735999999999997</v>
      </c>
      <c r="O49" s="918">
        <f>IF(ISERROR(IF(MOD(IF(AND(B49&gt;='Energy margins'!$M$53,B49&lt;='Energy margins'!$N$53),B49-'Energy margins'!$M$53,""),'Energy margins'!$O$53)=0,'Energy margins'!$L$53,0)),0,IF(MOD(IF(AND(B49&gt;='Energy margins'!$M$53,B49&lt;='Energy margins'!$N$53),B49-'Energy margins'!$M$53,""),'Energy margins'!$O$53)=0,'Energy margins'!$L$53,0))</f>
        <v>13.58</v>
      </c>
      <c r="P49" s="918">
        <f>IF(ISERROR(IF(MOD(IF(AND(B49&gt;='Energy margins'!$M$56,B49&lt;='Energy margins'!$N$56),B49-'Energy margins'!$M$56,""),'Energy margins'!$O$56)=0,'Energy margins'!$L$56,0)),0,IF(MOD(IF(AND(B49&gt;='Energy margins'!$M$56,B49&lt;='Energy margins'!$N$56),B49-'Energy margins'!$M$56,""),'Energy margins'!$O$56)=0,'Energy margins'!$L$56,0))</f>
        <v>38.520000000000003</v>
      </c>
      <c r="Q49" s="918">
        <f>IF(ISERROR(IF(MOD(IF(AND(B49&gt;='Energy margins'!$M$59,B49&lt;='Energy margins'!$N$59),B49-'Energy margins'!$M$59,""),'Energy margins'!$O$59)=0,'Energy margins'!$L$59,0)),0,IF(MOD(IF(AND(B49&gt;='Energy margins'!$M$59,B49&lt;='Energy margins'!$N$59),B49-'Energy margins'!$M$59,""),'Energy margins'!$O$59)=0,'Energy margins'!$L$59,0))</f>
        <v>0</v>
      </c>
      <c r="R49" s="918">
        <f>IF(ISERROR(IF(MOD(IF(AND(B49&gt;='Energy margins'!$M$60,B49&lt;='Energy margins'!$N$60),B49-'Energy margins'!$M$60,""),'Energy margins'!$O$60)=0,'Energy margins'!$L$60,0)),0,IF(MOD(IF(AND(B49&gt;='Energy margins'!$M$60,B49&lt;='Energy margins'!$N$60),B49-'Energy margins'!$M$60,""),'Energy margins'!$O$60)=0,'Energy margins'!$L$60,0))</f>
        <v>270.5</v>
      </c>
      <c r="S49" s="918">
        <f>IF(ISERROR(IF(MOD(IF(AND(B49&gt;='Energy margins'!$M$61,B49&lt;='Energy margins'!$N$61),B49-'Energy margins'!$M$61,""),'Energy margins'!$O$61)=0,'Energy margins'!$L$61,0)),0,IF(MOD(IF(AND(B49&gt;='Energy margins'!$M$61,B49&lt;='Energy margins'!$N$61),B49-'Energy margins'!$M$61,""),'Energy margins'!$O$61)=0,'Energy margins'!$L$61,0))</f>
        <v>0</v>
      </c>
      <c r="T49" s="918">
        <f>IF(ISERROR(IF(MOD(IF(AND(B49&gt;='Energy margins'!$M$62,B49&lt;='Energy margins'!$N$62),B49-'Energy margins'!$M$62,""),'Energy margins'!$O$62)=0,'Energy margins'!$L$62,0)),0,IF(MOD(IF(AND(B49&gt;='Energy margins'!$M$62,B49&lt;='Energy margins'!$N$62),B49-'Energy margins'!$M$62,""),'Energy margins'!$O$62)=0,'Energy margins'!$L$62,0))</f>
        <v>0</v>
      </c>
      <c r="U49" s="944">
        <f t="shared" si="18"/>
        <v>393.31078400000001</v>
      </c>
      <c r="V49" s="197"/>
      <c r="W49" s="197">
        <f t="shared" si="19"/>
        <v>393.31078400000001</v>
      </c>
      <c r="X49" s="197">
        <f t="shared" si="13"/>
        <v>509.56921599999987</v>
      </c>
      <c r="Y49" s="197">
        <f t="shared" si="14"/>
        <v>685.51921599999991</v>
      </c>
      <c r="Z49" s="973">
        <f t="shared" si="20"/>
        <v>609.95337674943687</v>
      </c>
      <c r="AA49" s="974">
        <f t="shared" si="21"/>
        <v>118.86551550489925</v>
      </c>
      <c r="AB49" s="974">
        <f t="shared" si="22"/>
        <v>265.70667288318322</v>
      </c>
      <c r="AC49" s="974">
        <f t="shared" si="23"/>
        <v>344.24670386625371</v>
      </c>
      <c r="AD49" s="975">
        <f t="shared" si="24"/>
        <v>463.112219371153</v>
      </c>
      <c r="AE49" s="973">
        <f t="shared" si="29"/>
        <v>6674.0845161753086</v>
      </c>
      <c r="AF49" s="974">
        <f t="shared" si="25"/>
        <v>1603.0621123775172</v>
      </c>
      <c r="AG49" s="974">
        <f t="shared" si="26"/>
        <v>5628.5242719795888</v>
      </c>
      <c r="AH49" s="974">
        <f t="shared" si="27"/>
        <v>1045.5602441957199</v>
      </c>
      <c r="AI49" s="975">
        <f t="shared" si="28"/>
        <v>2648.6223565732375</v>
      </c>
    </row>
    <row r="50" spans="2:35" x14ac:dyDescent="0.3">
      <c r="B50" s="900">
        <v>12</v>
      </c>
      <c r="C50" s="922">
        <f>'Energy Inputs'!E41</f>
        <v>1</v>
      </c>
      <c r="D50" s="918">
        <f>C50*'Energy Inputs'!$E$24</f>
        <v>12.54</v>
      </c>
      <c r="E50" s="197">
        <f>'Energy margins'!$L$12</f>
        <v>72</v>
      </c>
      <c r="F50" s="197">
        <f t="shared" si="16"/>
        <v>902.87999999999988</v>
      </c>
      <c r="G50" s="918">
        <f>'Energy Inputs'!$D$10</f>
        <v>175.95</v>
      </c>
      <c r="H50" s="197">
        <f t="shared" si="17"/>
        <v>1078.83</v>
      </c>
      <c r="I50" s="197"/>
      <c r="J50" s="943">
        <f>IF(ISERROR(IF(MOD(IF(AND(B50&gt;='Energy margins'!$M$44,B50&lt;='Energy margins'!$N$44),B50-'Energy margins'!$M$44,""),'Energy margins'!$O$44)=0,'Energy margins'!$L$44,0)),0,IF(MOD(IF(AND(B50&gt;='Energy margins'!$M$44,B50&lt;='Energy margins'!$N$44),B50-'Energy margins'!$M$44,""),'Energy margins'!$O$44)=0,'Energy margins'!$L$44,0))</f>
        <v>0</v>
      </c>
      <c r="K50" s="918">
        <f>IF(ISERROR(IF(MOD(IF(AND(B50&gt;='Energy margins'!$M$45,B50&lt;='Energy margins'!$N$45),B50-'Energy margins'!$M$45,""),'Energy margins'!$O$45)=0,'Energy margins'!$L$45,0)),0,IF(MOD(IF(AND(B50&gt;='Energy margins'!$M$45,B50&lt;='Energy margins'!$N$45),B50-'Energy margins'!$M$45,""),'Energy margins'!$O$45)=0,'Energy margins'!$L$45,0))</f>
        <v>0</v>
      </c>
      <c r="L50" s="918">
        <f>IF(ISERROR(IF(MOD(IF(AND(B50&gt;='Energy margins'!$M$46,B50&lt;='Energy margins'!$N$46),B50-'Energy margins'!$M$46,""),'Energy margins'!$O$46)=0,'Energy margins'!$L$46,0)),0,IF(MOD(IF(AND(B50&gt;='Energy margins'!$M$46,B50&lt;='Energy margins'!$N$46),B50-'Energy margins'!$M$46,""),'Energy margins'!$O$46)=0,'Energy margins'!$L$46,0))</f>
        <v>0</v>
      </c>
      <c r="M50" s="918">
        <f>IF(ISERROR(IF(MOD(IF(AND(B50&gt;='Energy margins'!$M$47,B50&lt;='Energy margins'!$N$47),B50-'Energy margins'!$M$47,""),'Energy margins'!$O$47)=0,'Energy margins'!$L$47,0)),0,IF(MOD(IF(AND(B50&gt;='Energy margins'!$M$47,B50&lt;='Energy margins'!$N$47),B50-'Energy margins'!$M$47,""),'Energy margins'!$O$47)=0,'Energy margins'!$L$47,0))</f>
        <v>19.974783999999993</v>
      </c>
      <c r="N50" s="918">
        <f>IF(ISERROR(IF(MOD(IF(AND(B50&gt;='Energy margins'!$M$50,B50&lt;='Energy margins'!$N$50),B50-'Energy margins'!$M$50,""),'Energy margins'!$O$50)=0,'Energy margins'!$L$50,0)),0,IF(MOD(IF(AND(B50&gt;='Energy margins'!$M$50,B50&lt;='Energy margins'!$N$50),B50-'Energy margins'!$M$50,""),'Energy margins'!$O$50)=0,'Energy margins'!$L$50,0))</f>
        <v>50.735999999999997</v>
      </c>
      <c r="O50" s="918">
        <f>IF(ISERROR(IF(MOD(IF(AND(B50&gt;='Energy margins'!$M$53,B50&lt;='Energy margins'!$N$53),B50-'Energy margins'!$M$53,""),'Energy margins'!$O$53)=0,'Energy margins'!$L$53,0)),0,IF(MOD(IF(AND(B50&gt;='Energy margins'!$M$53,B50&lt;='Energy margins'!$N$53),B50-'Energy margins'!$M$53,""),'Energy margins'!$O$53)=0,'Energy margins'!$L$53,0))</f>
        <v>13.58</v>
      </c>
      <c r="P50" s="918">
        <f>IF(ISERROR(IF(MOD(IF(AND(B50&gt;='Energy margins'!$M$56,B50&lt;='Energy margins'!$N$56),B50-'Energy margins'!$M$56,""),'Energy margins'!$O$56)=0,'Energy margins'!$L$56,0)),0,IF(MOD(IF(AND(B50&gt;='Energy margins'!$M$56,B50&lt;='Energy margins'!$N$56),B50-'Energy margins'!$M$56,""),'Energy margins'!$O$56)=0,'Energy margins'!$L$56,0))</f>
        <v>38.520000000000003</v>
      </c>
      <c r="Q50" s="918">
        <f>IF(ISERROR(IF(MOD(IF(AND(B50&gt;='Energy margins'!$M$59,B50&lt;='Energy margins'!$N$59),B50-'Energy margins'!$M$59,""),'Energy margins'!$O$59)=0,'Energy margins'!$L$59,0)),0,IF(MOD(IF(AND(B50&gt;='Energy margins'!$M$59,B50&lt;='Energy margins'!$N$59),B50-'Energy margins'!$M$59,""),'Energy margins'!$O$59)=0,'Energy margins'!$L$59,0))</f>
        <v>0</v>
      </c>
      <c r="R50" s="918">
        <f>IF(ISERROR(IF(MOD(IF(AND(B50&gt;='Energy margins'!$M$60,B50&lt;='Energy margins'!$N$60),B50-'Energy margins'!$M$60,""),'Energy margins'!$O$60)=0,'Energy margins'!$L$60,0)),0,IF(MOD(IF(AND(B50&gt;='Energy margins'!$M$60,B50&lt;='Energy margins'!$N$60),B50-'Energy margins'!$M$60,""),'Energy margins'!$O$60)=0,'Energy margins'!$L$60,0))</f>
        <v>270.5</v>
      </c>
      <c r="S50" s="918">
        <f>IF(ISERROR(IF(MOD(IF(AND(B50&gt;='Energy margins'!$M$61,B50&lt;='Energy margins'!$N$61),B50-'Energy margins'!$M$61,""),'Energy margins'!$O$61)=0,'Energy margins'!$L$61,0)),0,IF(MOD(IF(AND(B50&gt;='Energy margins'!$M$61,B50&lt;='Energy margins'!$N$61),B50-'Energy margins'!$M$61,""),'Energy margins'!$O$61)=0,'Energy margins'!$L$61,0))</f>
        <v>0</v>
      </c>
      <c r="T50" s="918">
        <f>IF(ISERROR(IF(MOD(IF(AND(B50&gt;='Energy margins'!$M$62,B50&lt;='Energy margins'!$N$62),B50-'Energy margins'!$M$62,""),'Energy margins'!$O$62)=0,'Energy margins'!$L$62,0)),0,IF(MOD(IF(AND(B50&gt;='Energy margins'!$M$62,B50&lt;='Energy margins'!$N$62),B50-'Energy margins'!$M$62,""),'Energy margins'!$O$62)=0,'Energy margins'!$L$62,0))</f>
        <v>0</v>
      </c>
      <c r="U50" s="944">
        <f t="shared" si="18"/>
        <v>393.31078400000001</v>
      </c>
      <c r="V50" s="197"/>
      <c r="W50" s="197">
        <f t="shared" si="19"/>
        <v>393.31078400000001</v>
      </c>
      <c r="X50" s="197">
        <f t="shared" si="13"/>
        <v>509.56921599999987</v>
      </c>
      <c r="Y50" s="197">
        <f t="shared" si="14"/>
        <v>685.51921599999991</v>
      </c>
      <c r="Z50" s="973">
        <f t="shared" si="20"/>
        <v>586.49363148984321</v>
      </c>
      <c r="AA50" s="974">
        <f t="shared" si="21"/>
        <v>114.29376490855698</v>
      </c>
      <c r="AB50" s="974">
        <f t="shared" si="22"/>
        <v>255.48718546459924</v>
      </c>
      <c r="AC50" s="974">
        <f t="shared" si="23"/>
        <v>331.00644602524397</v>
      </c>
      <c r="AD50" s="975">
        <f t="shared" si="24"/>
        <v>445.300210933801</v>
      </c>
      <c r="AE50" s="973">
        <f t="shared" si="29"/>
        <v>7260.5781476651518</v>
      </c>
      <c r="AF50" s="974">
        <f t="shared" si="25"/>
        <v>1717.3558772860742</v>
      </c>
      <c r="AG50" s="974">
        <f t="shared" si="26"/>
        <v>5884.0114574441877</v>
      </c>
      <c r="AH50" s="974">
        <f t="shared" si="27"/>
        <v>1376.5666902209639</v>
      </c>
      <c r="AI50" s="975">
        <f t="shared" si="28"/>
        <v>3093.9225675070384</v>
      </c>
    </row>
    <row r="51" spans="2:35" x14ac:dyDescent="0.3">
      <c r="B51" s="900">
        <v>13</v>
      </c>
      <c r="C51" s="922">
        <f>'Energy Inputs'!E42</f>
        <v>1</v>
      </c>
      <c r="D51" s="918">
        <f>C51*'Energy Inputs'!$E$24</f>
        <v>12.54</v>
      </c>
      <c r="E51" s="197">
        <f>'Energy margins'!$L$12</f>
        <v>72</v>
      </c>
      <c r="F51" s="197">
        <f t="shared" si="16"/>
        <v>902.87999999999988</v>
      </c>
      <c r="G51" s="918">
        <f>'Energy Inputs'!$D$10</f>
        <v>175.95</v>
      </c>
      <c r="H51" s="197">
        <f t="shared" si="17"/>
        <v>1078.83</v>
      </c>
      <c r="I51" s="197"/>
      <c r="J51" s="943">
        <f>IF(ISERROR(IF(MOD(IF(AND(B51&gt;='Energy margins'!$M$44,B51&lt;='Energy margins'!$N$44),B51-'Energy margins'!$M$44,""),'Energy margins'!$O$44)=0,'Energy margins'!$L$44,0)),0,IF(MOD(IF(AND(B51&gt;='Energy margins'!$M$44,B51&lt;='Energy margins'!$N$44),B51-'Energy margins'!$M$44,""),'Energy margins'!$O$44)=0,'Energy margins'!$L$44,0))</f>
        <v>0</v>
      </c>
      <c r="K51" s="918">
        <f>IF(ISERROR(IF(MOD(IF(AND(B51&gt;='Energy margins'!$M$45,B51&lt;='Energy margins'!$N$45),B51-'Energy margins'!$M$45,""),'Energy margins'!$O$45)=0,'Energy margins'!$L$45,0)),0,IF(MOD(IF(AND(B51&gt;='Energy margins'!$M$45,B51&lt;='Energy margins'!$N$45),B51-'Energy margins'!$M$45,""),'Energy margins'!$O$45)=0,'Energy margins'!$L$45,0))</f>
        <v>0</v>
      </c>
      <c r="L51" s="918">
        <f>IF(ISERROR(IF(MOD(IF(AND(B51&gt;='Energy margins'!$M$46,B51&lt;='Energy margins'!$N$46),B51-'Energy margins'!$M$46,""),'Energy margins'!$O$46)=0,'Energy margins'!$L$46,0)),0,IF(MOD(IF(AND(B51&gt;='Energy margins'!$M$46,B51&lt;='Energy margins'!$N$46),B51-'Energy margins'!$M$46,""),'Energy margins'!$O$46)=0,'Energy margins'!$L$46,0))</f>
        <v>0</v>
      </c>
      <c r="M51" s="918">
        <f>IF(ISERROR(IF(MOD(IF(AND(B51&gt;='Energy margins'!$M$47,B51&lt;='Energy margins'!$N$47),B51-'Energy margins'!$M$47,""),'Energy margins'!$O$47)=0,'Energy margins'!$L$47,0)),0,IF(MOD(IF(AND(B51&gt;='Energy margins'!$M$47,B51&lt;='Energy margins'!$N$47),B51-'Energy margins'!$M$47,""),'Energy margins'!$O$47)=0,'Energy margins'!$L$47,0))</f>
        <v>19.974783999999993</v>
      </c>
      <c r="N51" s="918">
        <f>IF(ISERROR(IF(MOD(IF(AND(B51&gt;='Energy margins'!$M$50,B51&lt;='Energy margins'!$N$50),B51-'Energy margins'!$M$50,""),'Energy margins'!$O$50)=0,'Energy margins'!$L$50,0)),0,IF(MOD(IF(AND(B51&gt;='Energy margins'!$M$50,B51&lt;='Energy margins'!$N$50),B51-'Energy margins'!$M$50,""),'Energy margins'!$O$50)=0,'Energy margins'!$L$50,0))</f>
        <v>50.735999999999997</v>
      </c>
      <c r="O51" s="918">
        <f>IF(ISERROR(IF(MOD(IF(AND(B51&gt;='Energy margins'!$M$53,B51&lt;='Energy margins'!$N$53),B51-'Energy margins'!$M$53,""),'Energy margins'!$O$53)=0,'Energy margins'!$L$53,0)),0,IF(MOD(IF(AND(B51&gt;='Energy margins'!$M$53,B51&lt;='Energy margins'!$N$53),B51-'Energy margins'!$M$53,""),'Energy margins'!$O$53)=0,'Energy margins'!$L$53,0))</f>
        <v>13.58</v>
      </c>
      <c r="P51" s="918">
        <f>IF(ISERROR(IF(MOD(IF(AND(B51&gt;='Energy margins'!$M$56,B51&lt;='Energy margins'!$N$56),B51-'Energy margins'!$M$56,""),'Energy margins'!$O$56)=0,'Energy margins'!$L$56,0)),0,IF(MOD(IF(AND(B51&gt;='Energy margins'!$M$56,B51&lt;='Energy margins'!$N$56),B51-'Energy margins'!$M$56,""),'Energy margins'!$O$56)=0,'Energy margins'!$L$56,0))</f>
        <v>38.520000000000003</v>
      </c>
      <c r="Q51" s="918">
        <f>IF(ISERROR(IF(MOD(IF(AND(B51&gt;='Energy margins'!$M$59,B51&lt;='Energy margins'!$N$59),B51-'Energy margins'!$M$59,""),'Energy margins'!$O$59)=0,'Energy margins'!$L$59,0)),0,IF(MOD(IF(AND(B51&gt;='Energy margins'!$M$59,B51&lt;='Energy margins'!$N$59),B51-'Energy margins'!$M$59,""),'Energy margins'!$O$59)=0,'Energy margins'!$L$59,0))</f>
        <v>0</v>
      </c>
      <c r="R51" s="918">
        <f>IF(ISERROR(IF(MOD(IF(AND(B51&gt;='Energy margins'!$M$60,B51&lt;='Energy margins'!$N$60),B51-'Energy margins'!$M$60,""),'Energy margins'!$O$60)=0,'Energy margins'!$L$60,0)),0,IF(MOD(IF(AND(B51&gt;='Energy margins'!$M$60,B51&lt;='Energy margins'!$N$60),B51-'Energy margins'!$M$60,""),'Energy margins'!$O$60)=0,'Energy margins'!$L$60,0))</f>
        <v>270.5</v>
      </c>
      <c r="S51" s="918">
        <f>IF(ISERROR(IF(MOD(IF(AND(B51&gt;='Energy margins'!$M$61,B51&lt;='Energy margins'!$N$61),B51-'Energy margins'!$M$61,""),'Energy margins'!$O$61)=0,'Energy margins'!$L$61,0)),0,IF(MOD(IF(AND(B51&gt;='Energy margins'!$M$61,B51&lt;='Energy margins'!$N$61),B51-'Energy margins'!$M$61,""),'Energy margins'!$O$61)=0,'Energy margins'!$L$61,0))</f>
        <v>0</v>
      </c>
      <c r="T51" s="918">
        <f>IF(ISERROR(IF(MOD(IF(AND(B51&gt;='Energy margins'!$M$62,B51&lt;='Energy margins'!$N$62),B51-'Energy margins'!$M$62,""),'Energy margins'!$O$62)=0,'Energy margins'!$L$62,0)),0,IF(MOD(IF(AND(B51&gt;='Energy margins'!$M$62,B51&lt;='Energy margins'!$N$62),B51-'Energy margins'!$M$62,""),'Energy margins'!$O$62)=0,'Energy margins'!$L$62,0))</f>
        <v>0</v>
      </c>
      <c r="U51" s="944">
        <f t="shared" si="18"/>
        <v>393.31078400000001</v>
      </c>
      <c r="V51" s="197"/>
      <c r="W51" s="197">
        <f t="shared" si="19"/>
        <v>393.31078400000001</v>
      </c>
      <c r="X51" s="197">
        <f t="shared" si="13"/>
        <v>509.56921599999987</v>
      </c>
      <c r="Y51" s="197">
        <f t="shared" si="14"/>
        <v>685.51921599999991</v>
      </c>
      <c r="Z51" s="973">
        <f t="shared" si="20"/>
        <v>563.93618412484909</v>
      </c>
      <c r="AA51" s="974">
        <f t="shared" si="21"/>
        <v>109.89785087361246</v>
      </c>
      <c r="AB51" s="974">
        <f t="shared" si="22"/>
        <v>245.6607552544223</v>
      </c>
      <c r="AC51" s="974">
        <f t="shared" si="23"/>
        <v>318.27542887042682</v>
      </c>
      <c r="AD51" s="975">
        <f t="shared" si="24"/>
        <v>428.17327974403935</v>
      </c>
      <c r="AE51" s="973">
        <f t="shared" si="29"/>
        <v>7824.5143317900011</v>
      </c>
      <c r="AF51" s="974">
        <f t="shared" si="25"/>
        <v>1827.2537281596867</v>
      </c>
      <c r="AG51" s="974">
        <f t="shared" si="26"/>
        <v>6129.6722126986097</v>
      </c>
      <c r="AH51" s="974">
        <f t="shared" si="27"/>
        <v>1694.8421190913907</v>
      </c>
      <c r="AI51" s="975">
        <f t="shared" si="28"/>
        <v>3522.0958472510779</v>
      </c>
    </row>
    <row r="52" spans="2:35" x14ac:dyDescent="0.3">
      <c r="B52" s="900">
        <v>14</v>
      </c>
      <c r="C52" s="922">
        <f>'Energy Inputs'!E43</f>
        <v>1</v>
      </c>
      <c r="D52" s="918">
        <f>C52*'Energy Inputs'!$E$24</f>
        <v>12.54</v>
      </c>
      <c r="E52" s="197">
        <f>'Energy margins'!$L$12</f>
        <v>72</v>
      </c>
      <c r="F52" s="197">
        <f t="shared" si="16"/>
        <v>902.87999999999988</v>
      </c>
      <c r="G52" s="918">
        <f>'Energy Inputs'!$D$10</f>
        <v>175.95</v>
      </c>
      <c r="H52" s="197">
        <f t="shared" si="17"/>
        <v>1078.83</v>
      </c>
      <c r="I52" s="197"/>
      <c r="J52" s="943">
        <f>IF(ISERROR(IF(MOD(IF(AND(B52&gt;='Energy margins'!$M$44,B52&lt;='Energy margins'!$N$44),B52-'Energy margins'!$M$44,""),'Energy margins'!$O$44)=0,'Energy margins'!$L$44,0)),0,IF(MOD(IF(AND(B52&gt;='Energy margins'!$M$44,B52&lt;='Energy margins'!$N$44),B52-'Energy margins'!$M$44,""),'Energy margins'!$O$44)=0,'Energy margins'!$L$44,0))</f>
        <v>0</v>
      </c>
      <c r="K52" s="918">
        <f>IF(ISERROR(IF(MOD(IF(AND(B52&gt;='Energy margins'!$M$45,B52&lt;='Energy margins'!$N$45),B52-'Energy margins'!$M$45,""),'Energy margins'!$O$45)=0,'Energy margins'!$L$45,0)),0,IF(MOD(IF(AND(B52&gt;='Energy margins'!$M$45,B52&lt;='Energy margins'!$N$45),B52-'Energy margins'!$M$45,""),'Energy margins'!$O$45)=0,'Energy margins'!$L$45,0))</f>
        <v>0</v>
      </c>
      <c r="L52" s="918">
        <f>IF(ISERROR(IF(MOD(IF(AND(B52&gt;='Energy margins'!$M$46,B52&lt;='Energy margins'!$N$46),B52-'Energy margins'!$M$46,""),'Energy margins'!$O$46)=0,'Energy margins'!$L$46,0)),0,IF(MOD(IF(AND(B52&gt;='Energy margins'!$M$46,B52&lt;='Energy margins'!$N$46),B52-'Energy margins'!$M$46,""),'Energy margins'!$O$46)=0,'Energy margins'!$L$46,0))</f>
        <v>0</v>
      </c>
      <c r="M52" s="918">
        <f>IF(ISERROR(IF(MOD(IF(AND(B52&gt;='Energy margins'!$M$47,B52&lt;='Energy margins'!$N$47),B52-'Energy margins'!$M$47,""),'Energy margins'!$O$47)=0,'Energy margins'!$L$47,0)),0,IF(MOD(IF(AND(B52&gt;='Energy margins'!$M$47,B52&lt;='Energy margins'!$N$47),B52-'Energy margins'!$M$47,""),'Energy margins'!$O$47)=0,'Energy margins'!$L$47,0))</f>
        <v>19.974783999999993</v>
      </c>
      <c r="N52" s="918">
        <f>IF(ISERROR(IF(MOD(IF(AND(B52&gt;='Energy margins'!$M$50,B52&lt;='Energy margins'!$N$50),B52-'Energy margins'!$M$50,""),'Energy margins'!$O$50)=0,'Energy margins'!$L$50,0)),0,IF(MOD(IF(AND(B52&gt;='Energy margins'!$M$50,B52&lt;='Energy margins'!$N$50),B52-'Energy margins'!$M$50,""),'Energy margins'!$O$50)=0,'Energy margins'!$L$50,0))</f>
        <v>50.735999999999997</v>
      </c>
      <c r="O52" s="918">
        <f>IF(ISERROR(IF(MOD(IF(AND(B52&gt;='Energy margins'!$M$53,B52&lt;='Energy margins'!$N$53),B52-'Energy margins'!$M$53,""),'Energy margins'!$O$53)=0,'Energy margins'!$L$53,0)),0,IF(MOD(IF(AND(B52&gt;='Energy margins'!$M$53,B52&lt;='Energy margins'!$N$53),B52-'Energy margins'!$M$53,""),'Energy margins'!$O$53)=0,'Energy margins'!$L$53,0))</f>
        <v>13.58</v>
      </c>
      <c r="P52" s="918">
        <f>IF(ISERROR(IF(MOD(IF(AND(B52&gt;='Energy margins'!$M$56,B52&lt;='Energy margins'!$N$56),B52-'Energy margins'!$M$56,""),'Energy margins'!$O$56)=0,'Energy margins'!$L$56,0)),0,IF(MOD(IF(AND(B52&gt;='Energy margins'!$M$56,B52&lt;='Energy margins'!$N$56),B52-'Energy margins'!$M$56,""),'Energy margins'!$O$56)=0,'Energy margins'!$L$56,0))</f>
        <v>38.520000000000003</v>
      </c>
      <c r="Q52" s="918">
        <f>IF(ISERROR(IF(MOD(IF(AND(B52&gt;='Energy margins'!$M$59,B52&lt;='Energy margins'!$N$59),B52-'Energy margins'!$M$59,""),'Energy margins'!$O$59)=0,'Energy margins'!$L$59,0)),0,IF(MOD(IF(AND(B52&gt;='Energy margins'!$M$59,B52&lt;='Energy margins'!$N$59),B52-'Energy margins'!$M$59,""),'Energy margins'!$O$59)=0,'Energy margins'!$L$59,0))</f>
        <v>0</v>
      </c>
      <c r="R52" s="918">
        <f>IF(ISERROR(IF(MOD(IF(AND(B52&gt;='Energy margins'!$M$60,B52&lt;='Energy margins'!$N$60),B52-'Energy margins'!$M$60,""),'Energy margins'!$O$60)=0,'Energy margins'!$L$60,0)),0,IF(MOD(IF(AND(B52&gt;='Energy margins'!$M$60,B52&lt;='Energy margins'!$N$60),B52-'Energy margins'!$M$60,""),'Energy margins'!$O$60)=0,'Energy margins'!$L$60,0))</f>
        <v>270.5</v>
      </c>
      <c r="S52" s="918">
        <f>IF(ISERROR(IF(MOD(IF(AND(B52&gt;='Energy margins'!$M$61,B52&lt;='Energy margins'!$N$61),B52-'Energy margins'!$M$61,""),'Energy margins'!$O$61)=0,'Energy margins'!$L$61,0)),0,IF(MOD(IF(AND(B52&gt;='Energy margins'!$M$61,B52&lt;='Energy margins'!$N$61),B52-'Energy margins'!$M$61,""),'Energy margins'!$O$61)=0,'Energy margins'!$L$61,0))</f>
        <v>0</v>
      </c>
      <c r="T52" s="918">
        <f>IF(ISERROR(IF(MOD(IF(AND(B52&gt;='Energy margins'!$M$62,B52&lt;='Energy margins'!$N$62),B52-'Energy margins'!$M$62,""),'Energy margins'!$O$62)=0,'Energy margins'!$L$62,0)),0,IF(MOD(IF(AND(B52&gt;='Energy margins'!$M$62,B52&lt;='Energy margins'!$N$62),B52-'Energy margins'!$M$62,""),'Energy margins'!$O$62)=0,'Energy margins'!$L$62,0))</f>
        <v>0</v>
      </c>
      <c r="U52" s="944">
        <f t="shared" si="18"/>
        <v>393.31078400000001</v>
      </c>
      <c r="V52" s="197"/>
      <c r="W52" s="197">
        <f t="shared" si="19"/>
        <v>393.31078400000001</v>
      </c>
      <c r="X52" s="197">
        <f t="shared" si="13"/>
        <v>509.56921599999987</v>
      </c>
      <c r="Y52" s="197">
        <f t="shared" si="14"/>
        <v>685.51921599999991</v>
      </c>
      <c r="Z52" s="973">
        <f t="shared" si="20"/>
        <v>542.24633088927806</v>
      </c>
      <c r="AA52" s="974">
        <f t="shared" si="21"/>
        <v>105.67101045539658</v>
      </c>
      <c r="AB52" s="974">
        <f t="shared" si="22"/>
        <v>236.21226466771375</v>
      </c>
      <c r="AC52" s="974">
        <f t="shared" si="23"/>
        <v>306.03406622156427</v>
      </c>
      <c r="AD52" s="975">
        <f t="shared" si="24"/>
        <v>411.70507667696086</v>
      </c>
      <c r="AE52" s="973">
        <f t="shared" si="29"/>
        <v>8366.7606626792785</v>
      </c>
      <c r="AF52" s="974">
        <f t="shared" si="25"/>
        <v>1932.9247386150832</v>
      </c>
      <c r="AG52" s="974">
        <f t="shared" si="26"/>
        <v>6365.8844773663232</v>
      </c>
      <c r="AH52" s="974">
        <f t="shared" si="27"/>
        <v>2000.8761853129549</v>
      </c>
      <c r="AI52" s="975">
        <f t="shared" si="28"/>
        <v>3933.8009239280386</v>
      </c>
    </row>
    <row r="53" spans="2:35" x14ac:dyDescent="0.3">
      <c r="B53" s="900">
        <v>15</v>
      </c>
      <c r="C53" s="922">
        <f>'Energy Inputs'!E44</f>
        <v>1</v>
      </c>
      <c r="D53" s="918">
        <f>C53*'Energy Inputs'!$E$24</f>
        <v>12.54</v>
      </c>
      <c r="E53" s="197">
        <f>'Energy margins'!$L$12</f>
        <v>72</v>
      </c>
      <c r="F53" s="197">
        <f t="shared" si="16"/>
        <v>902.87999999999988</v>
      </c>
      <c r="G53" s="918">
        <f>'Energy Inputs'!$D$10</f>
        <v>175.95</v>
      </c>
      <c r="H53" s="197">
        <f t="shared" si="17"/>
        <v>1078.83</v>
      </c>
      <c r="I53" s="197"/>
      <c r="J53" s="943">
        <f>IF(ISERROR(IF(MOD(IF(AND(B53&gt;='Energy margins'!$M$44,B53&lt;='Energy margins'!$N$44),B53-'Energy margins'!$M$44,""),'Energy margins'!$O$44)=0,'Energy margins'!$L$44,0)),0,IF(MOD(IF(AND(B53&gt;='Energy margins'!$M$44,B53&lt;='Energy margins'!$N$44),B53-'Energy margins'!$M$44,""),'Energy margins'!$O$44)=0,'Energy margins'!$L$44,0))</f>
        <v>0</v>
      </c>
      <c r="K53" s="918">
        <f>IF(ISERROR(IF(MOD(IF(AND(B53&gt;='Energy margins'!$M$45,B53&lt;='Energy margins'!$N$45),B53-'Energy margins'!$M$45,""),'Energy margins'!$O$45)=0,'Energy margins'!$L$45,0)),0,IF(MOD(IF(AND(B53&gt;='Energy margins'!$M$45,B53&lt;='Energy margins'!$N$45),B53-'Energy margins'!$M$45,""),'Energy margins'!$O$45)=0,'Energy margins'!$L$45,0))</f>
        <v>0</v>
      </c>
      <c r="L53" s="918">
        <f>IF(ISERROR(IF(MOD(IF(AND(B53&gt;='Energy margins'!$M$46,B53&lt;='Energy margins'!$N$46),B53-'Energy margins'!$M$46,""),'Energy margins'!$O$46)=0,'Energy margins'!$L$46,0)),0,IF(MOD(IF(AND(B53&gt;='Energy margins'!$M$46,B53&lt;='Energy margins'!$N$46),B53-'Energy margins'!$M$46,""),'Energy margins'!$O$46)=0,'Energy margins'!$L$46,0))</f>
        <v>0</v>
      </c>
      <c r="M53" s="918">
        <f>IF(ISERROR(IF(MOD(IF(AND(B53&gt;='Energy margins'!$M$47,B53&lt;='Energy margins'!$N$47),B53-'Energy margins'!$M$47,""),'Energy margins'!$O$47)=0,'Energy margins'!$L$47,0)),0,IF(MOD(IF(AND(B53&gt;='Energy margins'!$M$47,B53&lt;='Energy margins'!$N$47),B53-'Energy margins'!$M$47,""),'Energy margins'!$O$47)=0,'Energy margins'!$L$47,0))</f>
        <v>19.974783999999993</v>
      </c>
      <c r="N53" s="918">
        <f>IF(ISERROR(IF(MOD(IF(AND(B53&gt;='Energy margins'!$M$50,B53&lt;='Energy margins'!$N$50),B53-'Energy margins'!$M$50,""),'Energy margins'!$O$50)=0,'Energy margins'!$L$50,0)),0,IF(MOD(IF(AND(B53&gt;='Energy margins'!$M$50,B53&lt;='Energy margins'!$N$50),B53-'Energy margins'!$M$50,""),'Energy margins'!$O$50)=0,'Energy margins'!$L$50,0))</f>
        <v>50.735999999999997</v>
      </c>
      <c r="O53" s="918">
        <f>IF(ISERROR(IF(MOD(IF(AND(B53&gt;='Energy margins'!$M$53,B53&lt;='Energy margins'!$N$53),B53-'Energy margins'!$M$53,""),'Energy margins'!$O$53)=0,'Energy margins'!$L$53,0)),0,IF(MOD(IF(AND(B53&gt;='Energy margins'!$M$53,B53&lt;='Energy margins'!$N$53),B53-'Energy margins'!$M$53,""),'Energy margins'!$O$53)=0,'Energy margins'!$L$53,0))</f>
        <v>13.58</v>
      </c>
      <c r="P53" s="918">
        <f>IF(ISERROR(IF(MOD(IF(AND(B53&gt;='Energy margins'!$M$56,B53&lt;='Energy margins'!$N$56),B53-'Energy margins'!$M$56,""),'Energy margins'!$O$56)=0,'Energy margins'!$L$56,0)),0,IF(MOD(IF(AND(B53&gt;='Energy margins'!$M$56,B53&lt;='Energy margins'!$N$56),B53-'Energy margins'!$M$56,""),'Energy margins'!$O$56)=0,'Energy margins'!$L$56,0))</f>
        <v>38.520000000000003</v>
      </c>
      <c r="Q53" s="918">
        <f>IF(ISERROR(IF(MOD(IF(AND(B53&gt;='Energy margins'!$M$59,B53&lt;='Energy margins'!$N$59),B53-'Energy margins'!$M$59,""),'Energy margins'!$O$59)=0,'Energy margins'!$L$59,0)),0,IF(MOD(IF(AND(B53&gt;='Energy margins'!$M$59,B53&lt;='Energy margins'!$N$59),B53-'Energy margins'!$M$59,""),'Energy margins'!$O$59)=0,'Energy margins'!$L$59,0))</f>
        <v>0</v>
      </c>
      <c r="R53" s="918">
        <f>IF(ISERROR(IF(MOD(IF(AND(B53&gt;='Energy margins'!$M$60,B53&lt;='Energy margins'!$N$60),B53-'Energy margins'!$M$60,""),'Energy margins'!$O$60)=0,'Energy margins'!$L$60,0)),0,IF(MOD(IF(AND(B53&gt;='Energy margins'!$M$60,B53&lt;='Energy margins'!$N$60),B53-'Energy margins'!$M$60,""),'Energy margins'!$O$60)=0,'Energy margins'!$L$60,0))</f>
        <v>270.5</v>
      </c>
      <c r="S53" s="918">
        <f>IF(ISERROR(IF(MOD(IF(AND(B53&gt;='Energy margins'!$M$61,B53&lt;='Energy margins'!$N$61),B53-'Energy margins'!$M$61,""),'Energy margins'!$O$61)=0,'Energy margins'!$L$61,0)),0,IF(MOD(IF(AND(B53&gt;='Energy margins'!$M$61,B53&lt;='Energy margins'!$N$61),B53-'Energy margins'!$M$61,""),'Energy margins'!$O$61)=0,'Energy margins'!$L$61,0))</f>
        <v>0</v>
      </c>
      <c r="T53" s="918">
        <f>IF(ISERROR(IF(MOD(IF(AND(B53&gt;='Energy margins'!$M$62,B53&lt;='Energy margins'!$N$62),B53-'Energy margins'!$M$62,""),'Energy margins'!$O$62)=0,'Energy margins'!$L$62,0)),0,IF(MOD(IF(AND(B53&gt;='Energy margins'!$M$62,B53&lt;='Energy margins'!$N$62),B53-'Energy margins'!$M$62,""),'Energy margins'!$O$62)=0,'Energy margins'!$L$62,0))</f>
        <v>0</v>
      </c>
      <c r="U53" s="944">
        <f t="shared" si="18"/>
        <v>393.31078400000001</v>
      </c>
      <c r="V53" s="197"/>
      <c r="W53" s="197">
        <f t="shared" si="19"/>
        <v>393.31078400000001</v>
      </c>
      <c r="X53" s="197">
        <f t="shared" si="13"/>
        <v>509.56921599999987</v>
      </c>
      <c r="Y53" s="197">
        <f t="shared" si="14"/>
        <v>685.51921599999991</v>
      </c>
      <c r="Z53" s="973">
        <f t="shared" si="20"/>
        <v>521.39070277815199</v>
      </c>
      <c r="AA53" s="974">
        <f t="shared" si="21"/>
        <v>101.60674082249672</v>
      </c>
      <c r="AB53" s="974">
        <f t="shared" si="22"/>
        <v>227.12717756510938</v>
      </c>
      <c r="AC53" s="974">
        <f t="shared" si="23"/>
        <v>294.26352521304256</v>
      </c>
      <c r="AD53" s="975">
        <f t="shared" si="24"/>
        <v>395.87026603553932</v>
      </c>
      <c r="AE53" s="973">
        <f t="shared" si="29"/>
        <v>8888.1513654574301</v>
      </c>
      <c r="AF53" s="974">
        <f t="shared" si="25"/>
        <v>2034.5314794375799</v>
      </c>
      <c r="AG53" s="974">
        <f t="shared" si="26"/>
        <v>6593.0116549314325</v>
      </c>
      <c r="AH53" s="974">
        <f t="shared" si="27"/>
        <v>2295.1397105259975</v>
      </c>
      <c r="AI53" s="975">
        <f t="shared" si="28"/>
        <v>4329.6711899635775</v>
      </c>
    </row>
    <row r="54" spans="2:35" x14ac:dyDescent="0.3">
      <c r="B54" s="901">
        <v>16</v>
      </c>
      <c r="C54" s="919">
        <f>'Energy Inputs'!E45</f>
        <v>1</v>
      </c>
      <c r="D54" s="919">
        <f>C54*'Energy Inputs'!$E$24</f>
        <v>12.54</v>
      </c>
      <c r="E54" s="207">
        <f>'Energy margins'!$L$12</f>
        <v>72</v>
      </c>
      <c r="F54" s="207">
        <f t="shared" si="16"/>
        <v>902.87999999999988</v>
      </c>
      <c r="G54" s="919">
        <f>'Energy Inputs'!$D$10</f>
        <v>175.95</v>
      </c>
      <c r="H54" s="207">
        <f t="shared" si="17"/>
        <v>1078.83</v>
      </c>
      <c r="I54" s="207"/>
      <c r="J54" s="945">
        <f>IF(ISERROR(IF(MOD(IF(AND(B54&gt;='Energy margins'!$M$44,B54&lt;='Energy margins'!$N$44),B54-'Energy margins'!$M$44,""),'Energy margins'!$O$44)=0,'Energy margins'!$L$44,0)),0,IF(MOD(IF(AND(B54&gt;='Energy margins'!$M$44,B54&lt;='Energy margins'!$N$44),B54-'Energy margins'!$M$44,""),'Energy margins'!$O$44)=0,'Energy margins'!$L$44,0))</f>
        <v>0</v>
      </c>
      <c r="K54" s="919">
        <f>IF(ISERROR(IF(MOD(IF(AND(B54&gt;='Energy margins'!$M$45,B54&lt;='Energy margins'!$N$45),B54-'Energy margins'!$M$45,""),'Energy margins'!$O$45)=0,'Energy margins'!$L$45,0)),0,IF(MOD(IF(AND(B54&gt;='Energy margins'!$M$45,B54&lt;='Energy margins'!$N$45),B54-'Energy margins'!$M$45,""),'Energy margins'!$O$45)=0,'Energy margins'!$L$45,0))</f>
        <v>0</v>
      </c>
      <c r="L54" s="919">
        <f>IF(ISERROR(IF(MOD(IF(AND(B54&gt;='Energy margins'!$M$46,B54&lt;='Energy margins'!$N$46),B54-'Energy margins'!$M$46,""),'Energy margins'!$O$46)=0,'Energy margins'!$L$46,0)),0,IF(MOD(IF(AND(B54&gt;='Energy margins'!$M$46,B54&lt;='Energy margins'!$N$46),B54-'Energy margins'!$M$46,""),'Energy margins'!$O$46)=0,'Energy margins'!$L$46,0))</f>
        <v>0</v>
      </c>
      <c r="M54" s="919">
        <f>IF(ISERROR(IF(MOD(IF(AND(B54&gt;='Energy margins'!$M$47,B54&lt;='Energy margins'!$N$47),B54-'Energy margins'!$M$47,""),'Energy margins'!$O$47)=0,'Energy margins'!$L$47,0)),0,IF(MOD(IF(AND(B54&gt;='Energy margins'!$M$47,B54&lt;='Energy margins'!$N$47),B54-'Energy margins'!$M$47,""),'Energy margins'!$O$47)=0,'Energy margins'!$L$47,0))</f>
        <v>19.974783999999993</v>
      </c>
      <c r="N54" s="919">
        <f>IF(ISERROR(IF(MOD(IF(AND(B54&gt;='Energy margins'!$M$50,B54&lt;='Energy margins'!$N$50),B54-'Energy margins'!$M$50,""),'Energy margins'!$O$50)=0,'Energy margins'!$L$50,0)),0,IF(MOD(IF(AND(B54&gt;='Energy margins'!$M$50,B54&lt;='Energy margins'!$N$50),B54-'Energy margins'!$M$50,""),'Energy margins'!$O$50)=0,'Energy margins'!$L$50,0))</f>
        <v>50.735999999999997</v>
      </c>
      <c r="O54" s="919">
        <f>IF(ISERROR(IF(MOD(IF(AND(B54&gt;='Energy margins'!$M$53,B54&lt;='Energy margins'!$N$53),B54-'Energy margins'!$M$53,""),'Energy margins'!$O$53)=0,'Energy margins'!$L$53,0)),0,IF(MOD(IF(AND(B54&gt;='Energy margins'!$M$53,B54&lt;='Energy margins'!$N$53),B54-'Energy margins'!$M$53,""),'Energy margins'!$O$53)=0,'Energy margins'!$L$53,0))</f>
        <v>13.58</v>
      </c>
      <c r="P54" s="919">
        <f>IF(ISERROR(IF(MOD(IF(AND(B54&gt;='Energy margins'!$M$56,B54&lt;='Energy margins'!$N$56),B54-'Energy margins'!$M$56,""),'Energy margins'!$O$56)=0,'Energy margins'!$L$56,0)),0,IF(MOD(IF(AND(B54&gt;='Energy margins'!$M$56,B54&lt;='Energy margins'!$N$56),B54-'Energy margins'!$M$56,""),'Energy margins'!$O$56)=0,'Energy margins'!$L$56,0))</f>
        <v>38.520000000000003</v>
      </c>
      <c r="Q54" s="919">
        <f>IF(ISERROR(IF(MOD(IF(AND(B54&gt;='Energy margins'!$M$59,B54&lt;='Energy margins'!$N$59),B54-'Energy margins'!$M$59,""),'Energy margins'!$O$59)=0,'Energy margins'!$L$59,0)),0,IF(MOD(IF(AND(B54&gt;='Energy margins'!$M$59,B54&lt;='Energy margins'!$N$59),B54-'Energy margins'!$M$59,""),'Energy margins'!$O$59)=0,'Energy margins'!$L$59,0))</f>
        <v>0</v>
      </c>
      <c r="R54" s="919">
        <f>IF(ISERROR(IF(MOD(IF(AND(B54&gt;='Energy margins'!$M$60,B54&lt;='Energy margins'!$N$60),B54-'Energy margins'!$M$60,""),'Energy margins'!$O$60)=0,'Energy margins'!$L$60,0)),0,IF(MOD(IF(AND(B54&gt;='Energy margins'!$M$60,B54&lt;='Energy margins'!$N$60),B54-'Energy margins'!$M$60,""),'Energy margins'!$O$60)=0,'Energy margins'!$L$60,0))</f>
        <v>270.5</v>
      </c>
      <c r="S54" s="919">
        <f>IF(ISERROR(IF(MOD(IF(AND(B54&gt;='Energy margins'!$M$61,B54&lt;='Energy margins'!$N$61),B54-'Energy margins'!$M$61,""),'Energy margins'!$O$61)=0,'Energy margins'!$L$61,0)),0,IF(MOD(IF(AND(B54&gt;='Energy margins'!$M$61,B54&lt;='Energy margins'!$N$61),B54-'Energy margins'!$M$61,""),'Energy margins'!$O$61)=0,'Energy margins'!$L$61,0))</f>
        <v>0</v>
      </c>
      <c r="T54" s="919">
        <f>IF(ISERROR(IF(MOD(IF(AND(B54&gt;='Energy margins'!$M$62,B54&lt;='Energy margins'!$N$62),B54-'Energy margins'!$M$62,""),'Energy margins'!$O$62)=0,'Energy margins'!$L$62,0)),0,IF(MOD(IF(AND(B54&gt;='Energy margins'!$M$62,B54&lt;='Energy margins'!$N$62),B54-'Energy margins'!$M$62,""),'Energy margins'!$O$62)=0,'Energy margins'!$L$62,0))</f>
        <v>0</v>
      </c>
      <c r="U54" s="946">
        <f t="shared" si="18"/>
        <v>393.31078400000001</v>
      </c>
      <c r="V54" s="207">
        <f>'Energy margins'!Q67</f>
        <v>192.1</v>
      </c>
      <c r="W54" s="207">
        <f t="shared" si="19"/>
        <v>585.41078400000004</v>
      </c>
      <c r="X54" s="207">
        <f t="shared" si="13"/>
        <v>317.46921599999985</v>
      </c>
      <c r="Y54" s="207">
        <f t="shared" si="14"/>
        <v>493.41921599999989</v>
      </c>
      <c r="Z54" s="976">
        <f t="shared" si="20"/>
        <v>501.3372142097615</v>
      </c>
      <c r="AA54" s="977">
        <f t="shared" si="21"/>
        <v>97.698789252400701</v>
      </c>
      <c r="AB54" s="977">
        <f t="shared" si="22"/>
        <v>325.05782786074838</v>
      </c>
      <c r="AC54" s="977">
        <f t="shared" si="23"/>
        <v>176.27938634901315</v>
      </c>
      <c r="AD54" s="978">
        <f t="shared" si="24"/>
        <v>273.97817560141385</v>
      </c>
      <c r="AE54" s="976">
        <f t="shared" si="29"/>
        <v>9389.4885796671915</v>
      </c>
      <c r="AF54" s="977">
        <f t="shared" si="25"/>
        <v>2132.2302686899807</v>
      </c>
      <c r="AG54" s="977">
        <f t="shared" si="26"/>
        <v>6918.0694827921807</v>
      </c>
      <c r="AH54" s="977">
        <f t="shared" si="27"/>
        <v>2471.4190968750108</v>
      </c>
      <c r="AI54" s="978">
        <f t="shared" si="28"/>
        <v>4603.6493655649911</v>
      </c>
    </row>
    <row r="57" spans="2:35" x14ac:dyDescent="0.3">
      <c r="J57" t="s">
        <v>574</v>
      </c>
      <c r="K57" t="s">
        <v>578</v>
      </c>
    </row>
    <row r="58" spans="2:35" x14ac:dyDescent="0.3">
      <c r="J58" t="s">
        <v>575</v>
      </c>
      <c r="K58" t="s">
        <v>579</v>
      </c>
    </row>
    <row r="59" spans="2:35" x14ac:dyDescent="0.3">
      <c r="J59" t="s">
        <v>576</v>
      </c>
      <c r="K59" t="s">
        <v>580</v>
      </c>
    </row>
    <row r="60" spans="2:35" x14ac:dyDescent="0.3">
      <c r="J60" t="s">
        <v>577</v>
      </c>
      <c r="K60" t="s">
        <v>581</v>
      </c>
    </row>
    <row r="61" spans="2:35" x14ac:dyDescent="0.3">
      <c r="B61" s="227" t="s">
        <v>96</v>
      </c>
      <c r="C61" s="231"/>
      <c r="D61" s="231"/>
      <c r="E61" s="231"/>
      <c r="F61" s="194"/>
      <c r="G61" s="193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</row>
    <row r="62" spans="2:35" x14ac:dyDescent="0.3">
      <c r="B62" s="203"/>
      <c r="C62" s="148"/>
      <c r="D62" s="148"/>
      <c r="E62" s="148"/>
      <c r="F62" s="1086"/>
      <c r="G62" s="1086"/>
      <c r="H62" s="1086"/>
      <c r="I62" s="148"/>
      <c r="J62" s="930" t="s">
        <v>88</v>
      </c>
      <c r="K62" s="931"/>
      <c r="L62" s="931"/>
      <c r="M62" s="931"/>
      <c r="N62" s="931"/>
      <c r="O62" s="931"/>
      <c r="P62" s="931"/>
      <c r="Q62" s="931"/>
      <c r="R62" s="931"/>
      <c r="S62" s="931"/>
      <c r="T62" s="931"/>
      <c r="U62" s="932"/>
      <c r="V62" s="1086"/>
      <c r="W62" s="1086"/>
      <c r="X62" s="148"/>
      <c r="Y62" s="148"/>
      <c r="Z62" s="1087" t="s">
        <v>275</v>
      </c>
      <c r="AA62" s="1088"/>
      <c r="AB62" s="1088"/>
      <c r="AC62" s="1088"/>
      <c r="AD62" s="1089"/>
      <c r="AE62" s="1087" t="s">
        <v>276</v>
      </c>
      <c r="AF62" s="1088"/>
      <c r="AG62" s="1088"/>
      <c r="AH62" s="1088"/>
      <c r="AI62" s="1089"/>
    </row>
    <row r="63" spans="2:35" ht="51" x14ac:dyDescent="0.3">
      <c r="B63" s="204" t="s">
        <v>277</v>
      </c>
      <c r="C63" s="205" t="s">
        <v>565</v>
      </c>
      <c r="D63" s="205" t="s">
        <v>303</v>
      </c>
      <c r="E63" s="205" t="s">
        <v>304</v>
      </c>
      <c r="F63" s="171" t="s">
        <v>675</v>
      </c>
      <c r="G63" s="171" t="s">
        <v>666</v>
      </c>
      <c r="H63" s="171" t="s">
        <v>676</v>
      </c>
      <c r="I63" s="205" t="s">
        <v>301</v>
      </c>
      <c r="J63" s="955" t="s">
        <v>255</v>
      </c>
      <c r="K63" s="956" t="s">
        <v>35</v>
      </c>
      <c r="L63" s="956" t="s">
        <v>548</v>
      </c>
      <c r="M63" s="956" t="s">
        <v>147</v>
      </c>
      <c r="N63" s="957" t="s">
        <v>571</v>
      </c>
      <c r="O63" s="957" t="s">
        <v>572</v>
      </c>
      <c r="P63" s="957" t="s">
        <v>573</v>
      </c>
      <c r="Q63" s="958" t="s">
        <v>182</v>
      </c>
      <c r="R63" s="958" t="s">
        <v>478</v>
      </c>
      <c r="S63" s="959" t="s">
        <v>479</v>
      </c>
      <c r="T63" s="958" t="s">
        <v>480</v>
      </c>
      <c r="U63" s="960" t="s">
        <v>302</v>
      </c>
      <c r="V63" s="205" t="s">
        <v>305</v>
      </c>
      <c r="W63" s="171" t="s">
        <v>283</v>
      </c>
      <c r="X63" s="171" t="s">
        <v>677</v>
      </c>
      <c r="Y63" s="171" t="s">
        <v>678</v>
      </c>
      <c r="Z63" s="195" t="s">
        <v>286</v>
      </c>
      <c r="AA63" s="171" t="s">
        <v>679</v>
      </c>
      <c r="AB63" s="171" t="s">
        <v>288</v>
      </c>
      <c r="AC63" s="171" t="s">
        <v>680</v>
      </c>
      <c r="AD63" s="198" t="s">
        <v>290</v>
      </c>
      <c r="AE63" s="195" t="s">
        <v>291</v>
      </c>
      <c r="AF63" s="171" t="s">
        <v>681</v>
      </c>
      <c r="AG63" s="171" t="s">
        <v>293</v>
      </c>
      <c r="AH63" s="171" t="s">
        <v>682</v>
      </c>
      <c r="AI63" s="198" t="s">
        <v>295</v>
      </c>
    </row>
    <row r="64" spans="2:35" x14ac:dyDescent="0.3">
      <c r="B64" s="173"/>
      <c r="C64" s="226" t="s">
        <v>566</v>
      </c>
      <c r="D64" s="226" t="s">
        <v>341</v>
      </c>
      <c r="E64" s="226" t="s">
        <v>601</v>
      </c>
      <c r="F64" s="226" t="s">
        <v>599</v>
      </c>
      <c r="G64" s="226" t="s">
        <v>599</v>
      </c>
      <c r="H64" s="226" t="s">
        <v>599</v>
      </c>
      <c r="I64" s="226" t="s">
        <v>599</v>
      </c>
      <c r="J64" s="937" t="s">
        <v>599</v>
      </c>
      <c r="K64" s="938" t="s">
        <v>599</v>
      </c>
      <c r="L64" s="938" t="s">
        <v>599</v>
      </c>
      <c r="M64" s="938" t="s">
        <v>599</v>
      </c>
      <c r="N64" s="938" t="s">
        <v>599</v>
      </c>
      <c r="O64" s="938" t="s">
        <v>599</v>
      </c>
      <c r="P64" s="938" t="s">
        <v>599</v>
      </c>
      <c r="Q64" s="939" t="s">
        <v>599</v>
      </c>
      <c r="R64" s="939" t="s">
        <v>599</v>
      </c>
      <c r="S64" s="939" t="s">
        <v>599</v>
      </c>
      <c r="T64" s="939" t="s">
        <v>601</v>
      </c>
      <c r="U64" s="940" t="s">
        <v>599</v>
      </c>
      <c r="V64" s="226" t="s">
        <v>599</v>
      </c>
      <c r="W64" s="226" t="s">
        <v>599</v>
      </c>
      <c r="X64" s="226" t="s">
        <v>599</v>
      </c>
      <c r="Y64" s="730" t="s">
        <v>599</v>
      </c>
      <c r="Z64" s="226" t="s">
        <v>599</v>
      </c>
      <c r="AA64" s="226" t="s">
        <v>599</v>
      </c>
      <c r="AB64" s="226" t="s">
        <v>599</v>
      </c>
      <c r="AC64" s="226" t="s">
        <v>599</v>
      </c>
      <c r="AD64" s="730" t="s">
        <v>599</v>
      </c>
      <c r="AE64" s="226" t="s">
        <v>599</v>
      </c>
      <c r="AF64" s="226" t="s">
        <v>599</v>
      </c>
      <c r="AG64" s="226" t="s">
        <v>599</v>
      </c>
      <c r="AH64" s="226" t="s">
        <v>599</v>
      </c>
      <c r="AI64" s="730" t="s">
        <v>599</v>
      </c>
    </row>
    <row r="65" spans="2:35" x14ac:dyDescent="0.3">
      <c r="B65" s="899">
        <v>1</v>
      </c>
      <c r="C65" s="922">
        <f>'Energy Inputs'!F30</f>
        <v>0.1761785888496743</v>
      </c>
      <c r="D65" s="918">
        <f>C65*'Energy Inputs'!$F$24</f>
        <v>2.0466666666666664</v>
      </c>
      <c r="E65" s="197">
        <f>'Energy margins'!$S$12</f>
        <v>72</v>
      </c>
      <c r="F65" s="197">
        <f>D65*E65</f>
        <v>147.35999999999999</v>
      </c>
      <c r="G65" s="928">
        <f>'Energy Inputs'!$D$10</f>
        <v>175.95</v>
      </c>
      <c r="H65" s="197">
        <f>F65+G65</f>
        <v>323.30999999999995</v>
      </c>
      <c r="I65" s="197">
        <f>'Margins summary'!T20</f>
        <v>5737.3339839999999</v>
      </c>
      <c r="J65" s="964">
        <f>IF(ISERROR(IF(MOD(IF(AND(B65&gt;='Energy margins'!$T$44,B65&lt;='Energy margins'!$U$44),B65-'Energy margins'!$T$44,""),'Energy margins'!$V$44)=0,'Energy margins'!$S$44,0)),0,IF(MOD(IF(AND(B65&gt;='Energy margins'!$T$44,B65&lt;='Energy margins'!$U$44),B65-'Energy margins'!$T$44,""),'Energy margins'!$V$44)=0,'Energy margins'!$S$44,0))</f>
        <v>0</v>
      </c>
      <c r="K65" s="928">
        <f>IF(ISERROR(IF(MOD(IF(AND(B65&gt;='Energy margins'!$T$45,B65&lt;='Energy margins'!$U$45),B65-'Energy margins'!$T$45,""),'Energy margins'!$V$45)=0,'Energy margins'!$S$45,0)),0,IF(MOD(IF(AND(B65&gt;='Energy margins'!$T$45,B65&lt;='Energy margins'!$U$45),B65-'Energy margins'!$T$45,""),'Energy margins'!$V$45)=0,'Energy margins'!$S$45,0))</f>
        <v>0</v>
      </c>
      <c r="L65" s="928">
        <f>IF(ISERROR(IF(MOD(IF(AND(B65&gt;='Energy margins'!$T$46,B65&lt;='Energy margins'!$U$46),B65-'Energy margins'!$T$46,""),'Energy margins'!$V$46)=0,'Energy margins'!$S$46,0)),0,IF(MOD(IF(AND(B65&gt;='Energy margins'!$T$46,B65&lt;='Energy margins'!$U$46),B65-'Energy margins'!$T$46,""),'Energy margins'!$V$46)=0,'Energy margins'!$S$46,0))</f>
        <v>0</v>
      </c>
      <c r="M65" s="928">
        <f>IF(ISERROR(IF(MOD(IF(AND(B65&gt;='Energy margins'!$T$47,B65&lt;='Energy margins'!$U$47),B65-'Energy margins'!$T$47,""),'Energy margins'!$V$47)=0,'Energy margins'!$S$47,0)),0,IF(MOD(IF(AND(B65&gt;='Energy margins'!$T$47,B65&lt;='Energy margins'!$U$47),B65-'Energy margins'!$T$47,""),'Energy margins'!$V$47)=0,'Energy margins'!$S$47,0))</f>
        <v>0</v>
      </c>
      <c r="N65" s="928">
        <f>IF(ISERROR(IF(MOD(IF(AND(B65&gt;='Energy margins'!$T$50,B65&lt;='Energy margins'!$U$50),B65-'Energy margins'!$T$50,""),'Energy margins'!$V$50)=0,'Energy margins'!$S$50,0)),0,IF(MOD(IF(AND(B65&gt;='Energy margins'!$T$50,B65&lt;='Energy margins'!$U$50),B65-'Energy margins'!$T$50,""),'Energy margins'!$V$50)=0,'Energy margins'!$S$50,0))</f>
        <v>0</v>
      </c>
      <c r="O65" s="928">
        <f>IF(ISERROR(IF(MOD(IF(AND(B65&gt;='Energy margins'!$T$53,B65&lt;='Energy margins'!$U$53),B65-'Energy margins'!$T$53,""),'Energy margins'!$V$53)=0,'Energy margins'!$S$53,0)),0,IF(MOD(IF(AND(B65&gt;='Energy margins'!$T$53,B65&lt;='Energy margins'!$U$53),B65-'Energy margins'!$T$53,""),'Energy margins'!$V$53)=0,'Energy margins'!$S$53,0))</f>
        <v>0</v>
      </c>
      <c r="P65" s="928">
        <f>IF(ISERROR(IF(MOD(IF(AND(B65&gt;='Energy margins'!$T$56,B65&lt;='Energy margins'!$U$56),B65-'Energy margins'!$T$56,""),'Energy margins'!$V$56)=0,'Energy margins'!$S$56,0)),0,IF(MOD(IF(AND(B65&gt;='Energy margins'!$T$56,B65&lt;='Energy margins'!$U$56),B65-'Energy margins'!$T$56,""),'Energy margins'!$V$56)=0,'Energy margins'!$S$56,0))</f>
        <v>0</v>
      </c>
      <c r="Q65" s="928">
        <f>IF(ISERROR(IF(MOD(IF(AND(B65&gt;='Energy margins'!$T$59,B65&lt;='Energy margins'!$U$59),B65-'Energy margins'!$T$59,""),'Energy margins'!$V$59)=0,'Energy margins'!$S$59,0)),0,IF(MOD(IF(AND(B65&gt;='Energy margins'!$T$59,B65&lt;='Energy margins'!$U$59),B65-'Energy margins'!$T$59,""),'Energy margins'!$V$59)=0,'Energy margins'!$S$59,0))</f>
        <v>112.99999999999999</v>
      </c>
      <c r="R65" s="928">
        <f>IF(ISERROR(IF(MOD(IF(AND(B65&gt;='Energy margins'!$T$60,B65&lt;='Energy margins'!$U$60),B65-'Energy margins'!$T$60,""),'Energy margins'!$V$60)=0,'Energy margins'!$S$60,0)),0,IF(MOD(IF(AND(B65&gt;='Energy margins'!$T$60,B65&lt;='Energy margins'!$U$60),B65-'Energy margins'!$T$60,""),'Energy margins'!$V$60)=0,'Energy margins'!$S$60,0))</f>
        <v>0</v>
      </c>
      <c r="S65" s="928">
        <f>IF(ISERROR(IF(MOD(IF(AND(B65&gt;='Energy margins'!$T$61,B65&lt;='Energy margins'!$U$61),B65-'Energy margins'!$T$61,""),'Energy margins'!$V$61)=0,'Energy margins'!$S$61,0)),0,IF(MOD(IF(AND(B65&gt;='Energy margins'!$T$61,B65&lt;='Energy margins'!$U$61),B65-'Energy margins'!$T$61,""),'Energy margins'!$V$61)=0,'Energy margins'!$S$61,0))</f>
        <v>0</v>
      </c>
      <c r="T65" s="928">
        <f>IF(ISERROR(IF(MOD(IF(AND(B65&gt;='Energy margins'!$T$62,B65&lt;='Energy margins'!$U$62),B65-'Energy margins'!$T$62,""),'Energy margins'!$V$62)=0,'Energy margins'!$S$62,0)),0,IF(MOD(IF(AND(B65&gt;='Energy margins'!$T$62,B65&lt;='Energy margins'!$U$62),B65-'Energy margins'!$T$62,""),'Energy margins'!$V$62)=0,'Energy margins'!$S$62,0))</f>
        <v>0</v>
      </c>
      <c r="U65" s="942">
        <f>SUM(J65:T65)</f>
        <v>112.99999999999999</v>
      </c>
      <c r="V65" s="197"/>
      <c r="W65" s="197">
        <f>I65+U65+V65</f>
        <v>5850.3339839999999</v>
      </c>
      <c r="X65" s="197">
        <f t="shared" ref="X65:X80" si="30">F65-W65</f>
        <v>-5702.9739840000002</v>
      </c>
      <c r="Y65" s="197">
        <f t="shared" ref="Y65:Y80" si="31">H65-W65</f>
        <v>-5527.0239839999995</v>
      </c>
      <c r="Z65" s="973">
        <f>F65/((1+$C$6)^($B65-1))</f>
        <v>147.35999999999999</v>
      </c>
      <c r="AA65" s="974">
        <f>G65/((1+$C$6)^($B65-1))</f>
        <v>175.95</v>
      </c>
      <c r="AB65" s="974">
        <f>W65/((1+$C$6)^($B65-1))</f>
        <v>5850.3339839999999</v>
      </c>
      <c r="AC65" s="974">
        <f t="shared" ref="AC65:AD65" si="32">X65/((1+$C$6)^($B65-1))</f>
        <v>-5702.9739840000002</v>
      </c>
      <c r="AD65" s="974">
        <f t="shared" si="32"/>
        <v>-5527.0239839999995</v>
      </c>
      <c r="AE65" s="973">
        <f>Z65</f>
        <v>147.35999999999999</v>
      </c>
      <c r="AF65" s="974">
        <f>AA65</f>
        <v>175.95</v>
      </c>
      <c r="AG65" s="974">
        <f>AB65</f>
        <v>5850.3339839999999</v>
      </c>
      <c r="AH65" s="974">
        <f>AC65</f>
        <v>-5702.9739840000002</v>
      </c>
      <c r="AI65" s="975">
        <f>AD65</f>
        <v>-5527.0239839999995</v>
      </c>
    </row>
    <row r="66" spans="2:35" x14ac:dyDescent="0.3">
      <c r="B66" s="900">
        <v>2</v>
      </c>
      <c r="C66" s="922">
        <f>'Energy Inputs'!F31</f>
        <v>0.71188775071016608</v>
      </c>
      <c r="D66" s="918">
        <f>C66*'Energy Inputs'!$F$24</f>
        <v>8.27</v>
      </c>
      <c r="E66" s="197">
        <f>'Energy margins'!$S$12</f>
        <v>72</v>
      </c>
      <c r="F66" s="197">
        <f t="shared" ref="F66:F80" si="33">D66*E66</f>
        <v>595.43999999999994</v>
      </c>
      <c r="G66" s="918">
        <f>'Energy Inputs'!$D$10</f>
        <v>175.95</v>
      </c>
      <c r="H66" s="197">
        <f t="shared" ref="H66:H80" si="34">F66+G66</f>
        <v>771.38999999999987</v>
      </c>
      <c r="I66" s="197"/>
      <c r="J66" s="947">
        <f>IF(ISERROR(IF(MOD(IF(AND(B66&gt;='Energy margins'!$T$44,B66&lt;='Energy margins'!$U$44),B66-'Energy margins'!$T$44,""),'Energy margins'!$V$44)=0,'Energy margins'!$S$44,0)),0,IF(MOD(IF(AND(B66&gt;='Energy margins'!$T$44,B66&lt;='Energy margins'!$U$44),B66-'Energy margins'!$T$44,""),'Energy margins'!$V$44)=0,'Energy margins'!$S$44,0))</f>
        <v>181.92999999999998</v>
      </c>
      <c r="K66" s="918">
        <f>IF(ISERROR(IF(MOD(IF(AND(B66&gt;='Energy margins'!$T$45,B66&lt;='Energy margins'!$U$45),B66-'Energy margins'!$T$45,""),'Energy margins'!$V$45)=0,'Energy margins'!$S$45,0)),0,IF(MOD(IF(AND(B66&gt;='Energy margins'!$T$45,B66&lt;='Energy margins'!$U$45),B66-'Energy margins'!$T$45,""),'Energy margins'!$V$45)=0,'Energy margins'!$S$45,0))</f>
        <v>0</v>
      </c>
      <c r="L66" s="918">
        <f>IF(ISERROR(IF(MOD(IF(AND(B66&gt;='Energy margins'!$T$46,B66&lt;='Energy margins'!$U$46),B66-'Energy margins'!$T$46,""),'Energy margins'!$V$46)=0,'Energy margins'!$S$46,0)),0,IF(MOD(IF(AND(B66&gt;='Energy margins'!$T$46,B66&lt;='Energy margins'!$U$46),B66-'Energy margins'!$T$46,""),'Energy margins'!$V$46)=0,'Energy margins'!$S$46,0))</f>
        <v>0</v>
      </c>
      <c r="M66" s="918">
        <f>IF(ISERROR(IF(MOD(IF(AND(B66&gt;='Energy margins'!$T$47,B66&lt;='Energy margins'!$U$47),B66-'Energy margins'!$T$47,""),'Energy margins'!$V$47)=0,'Energy margins'!$S$47,0)),0,IF(MOD(IF(AND(B66&gt;='Energy margins'!$T$47,B66&lt;='Energy margins'!$U$47),B66-'Energy margins'!$T$47,""),'Energy margins'!$V$47)=0,'Energy margins'!$S$47,0))</f>
        <v>19.974783999999993</v>
      </c>
      <c r="N66" s="918">
        <f>IF(ISERROR(IF(MOD(IF(AND(B66&gt;='Energy margins'!$T$50,B66&lt;='Energy margins'!$U$50),B66-'Energy margins'!$T$50,""),'Energy margins'!$V$50)=0,'Energy margins'!$S$50,0)),0,IF(MOD(IF(AND(B66&gt;='Energy margins'!$T$50,B66&lt;='Energy margins'!$U$50),B66-'Energy margins'!$T$50,""),'Energy margins'!$V$50)=0,'Energy margins'!$S$50,0))</f>
        <v>60.4</v>
      </c>
      <c r="O66" s="918">
        <f>IF(ISERROR(IF(MOD(IF(AND(B66&gt;='Energy margins'!$T$53,B66&lt;='Energy margins'!$U$53),B66-'Energy margins'!$T$53,""),'Energy margins'!$V$53)=0,'Energy margins'!$S$53,0)),0,IF(MOD(IF(AND(B66&gt;='Energy margins'!$T$53,B66&lt;='Energy margins'!$U$53),B66-'Energy margins'!$T$53,""),'Energy margins'!$V$53)=0,'Energy margins'!$S$53,0))</f>
        <v>89.24</v>
      </c>
      <c r="P66" s="918">
        <f>IF(ISERROR(IF(MOD(IF(AND(B66&gt;='Energy margins'!$T$56,B66&lt;='Energy margins'!$U$56),B66-'Energy margins'!$T$56,""),'Energy margins'!$V$56)=0,'Energy margins'!$S$56,0)),0,IF(MOD(IF(AND(B66&gt;='Energy margins'!$T$56,B66&lt;='Energy margins'!$U$56),B66-'Energy margins'!$T$56,""),'Energy margins'!$V$56)=0,'Energy margins'!$S$56,0))</f>
        <v>26.964000000000002</v>
      </c>
      <c r="Q66" s="918">
        <f>IF(ISERROR(IF(MOD(IF(AND(B66&gt;='Energy margins'!$T$59,B66&lt;='Energy margins'!$U$59),B66-'Energy margins'!$T$59,""),'Energy margins'!$V$59)=0,'Energy margins'!$S$59,0)),0,IF(MOD(IF(AND(B66&gt;='Energy margins'!$T$59,B66&lt;='Energy margins'!$U$59),B66-'Energy margins'!$T$59,""),'Energy margins'!$V$59)=0,'Energy margins'!$S$59,0))</f>
        <v>112.99999999999999</v>
      </c>
      <c r="R66" s="918">
        <f>IF(ISERROR(IF(MOD(IF(AND(B66&gt;='Energy margins'!$T$60,B66&lt;='Energy margins'!$U$60),B66-'Energy margins'!$T$60,""),'Energy margins'!$V$60)=0,'Energy margins'!$S$60,0)),0,IF(MOD(IF(AND(B66&gt;='Energy margins'!$T$60,B66&lt;='Energy margins'!$U$60),B66-'Energy margins'!$T$60,""),'Energy margins'!$V$60)=0,'Energy margins'!$S$60,0))</f>
        <v>0</v>
      </c>
      <c r="S66" s="918">
        <f>IF(ISERROR(IF(MOD(IF(AND(B66&gt;='Energy margins'!$T$61,B66&lt;='Energy margins'!$U$61),B66-'Energy margins'!$T$61,""),'Energy margins'!$V$61)=0,'Energy margins'!$S$61,0)),0,IF(MOD(IF(AND(B66&gt;='Energy margins'!$T$61,B66&lt;='Energy margins'!$U$61),B66-'Energy margins'!$T$61,""),'Energy margins'!$V$61)=0,'Energy margins'!$S$61,0))</f>
        <v>0</v>
      </c>
      <c r="T66" s="918">
        <f>IF(ISERROR(IF(MOD(IF(AND(B66&gt;='Energy margins'!$T$62,B66&lt;='Energy margins'!$U$62),B66-'Energy margins'!$T$62,""),'Energy margins'!$V$62)=0,'Energy margins'!$S$62,0)),0,IF(MOD(IF(AND(B66&gt;='Energy margins'!$T$62,B66&lt;='Energy margins'!$U$62),B66-'Energy margins'!$T$62,""),'Energy margins'!$V$62)=0,'Energy margins'!$S$62,0))</f>
        <v>0</v>
      </c>
      <c r="U66" s="944">
        <f t="shared" ref="U66:U80" si="35">SUM(J66:T66)</f>
        <v>491.50878399999999</v>
      </c>
      <c r="V66" s="197"/>
      <c r="W66" s="197">
        <f t="shared" ref="W66:W80" si="36">I66+U66+V66</f>
        <v>491.50878399999999</v>
      </c>
      <c r="X66" s="197">
        <f t="shared" si="30"/>
        <v>103.93121599999995</v>
      </c>
      <c r="Y66" s="197">
        <f t="shared" si="31"/>
        <v>279.88121599999988</v>
      </c>
      <c r="Z66" s="973">
        <f t="shared" ref="Z66:Z80" si="37">F66/((1+$C$6)^($B66-1))</f>
        <v>572.53846153846143</v>
      </c>
      <c r="AA66" s="974">
        <f t="shared" ref="AA66:AA80" si="38">G66/((1+$C$6)^($B66-1))</f>
        <v>169.18269230769229</v>
      </c>
      <c r="AB66" s="974">
        <f t="shared" ref="AB66:AB80" si="39">W66/((1+$C$6)^($B66-1))</f>
        <v>472.60459999999995</v>
      </c>
      <c r="AC66" s="974">
        <f t="shared" ref="AC66:AC80" si="40">X66/((1+$C$6)^($B66-1))</f>
        <v>99.933861538461485</v>
      </c>
      <c r="AD66" s="974">
        <f t="shared" ref="AD66:AD80" si="41">Y66/((1+$C$6)^($B66-1))</f>
        <v>269.11655384615375</v>
      </c>
      <c r="AE66" s="973">
        <f>AE65+Z66</f>
        <v>719.89846153846145</v>
      </c>
      <c r="AF66" s="974">
        <f t="shared" ref="AF66:AF80" si="42">AF65+AA66</f>
        <v>345.13269230769231</v>
      </c>
      <c r="AG66" s="974">
        <f t="shared" ref="AG66:AG80" si="43">AG65+AB66</f>
        <v>6322.9385839999995</v>
      </c>
      <c r="AH66" s="974">
        <f t="shared" ref="AH66:AH80" si="44">AH65+AC66</f>
        <v>-5603.0401224615389</v>
      </c>
      <c r="AI66" s="975">
        <f t="shared" ref="AI66:AI80" si="45">AI65+AD66</f>
        <v>-5257.9074301538458</v>
      </c>
    </row>
    <row r="67" spans="2:35" x14ac:dyDescent="0.3">
      <c r="B67" s="900">
        <v>3</v>
      </c>
      <c r="C67" s="922">
        <f>'Energy Inputs'!F32</f>
        <v>0.94057559323979223</v>
      </c>
      <c r="D67" s="918">
        <f>C67*'Energy Inputs'!$F$24</f>
        <v>10.926666666666668</v>
      </c>
      <c r="E67" s="197">
        <f>'Energy margins'!$S$12</f>
        <v>72</v>
      </c>
      <c r="F67" s="197">
        <f t="shared" si="33"/>
        <v>786.72</v>
      </c>
      <c r="G67" s="918">
        <f>'Energy Inputs'!$D$10</f>
        <v>175.95</v>
      </c>
      <c r="H67" s="197">
        <f t="shared" si="34"/>
        <v>962.67000000000007</v>
      </c>
      <c r="I67" s="197"/>
      <c r="J67" s="947">
        <f>IF(ISERROR(IF(MOD(IF(AND(B67&gt;='Energy margins'!$T$44,B67&lt;='Energy margins'!$U$44),B67-'Energy margins'!$T$44,""),'Energy margins'!$V$44)=0,'Energy margins'!$S$44,0)),0,IF(MOD(IF(AND(B67&gt;='Energy margins'!$T$44,B67&lt;='Energy margins'!$U$44),B67-'Energy margins'!$T$44,""),'Energy margins'!$V$44)=0,'Energy margins'!$S$44,0))</f>
        <v>181.92999999999998</v>
      </c>
      <c r="K67" s="918">
        <f>IF(ISERROR(IF(MOD(IF(AND(B67&gt;='Energy margins'!$T$45,B67&lt;='Energy margins'!$U$45),B67-'Energy margins'!$T$45,""),'Energy margins'!$V$45)=0,'Energy margins'!$S$45,0)),0,IF(MOD(IF(AND(B67&gt;='Energy margins'!$T$45,B67&lt;='Energy margins'!$U$45),B67-'Energy margins'!$T$45,""),'Energy margins'!$V$45)=0,'Energy margins'!$S$45,0))</f>
        <v>0</v>
      </c>
      <c r="L67" s="918">
        <f>IF(ISERROR(IF(MOD(IF(AND(B67&gt;='Energy margins'!$T$46,B67&lt;='Energy margins'!$U$46),B67-'Energy margins'!$T$46,""),'Energy margins'!$V$46)=0,'Energy margins'!$S$46,0)),0,IF(MOD(IF(AND(B67&gt;='Energy margins'!$T$46,B67&lt;='Energy margins'!$U$46),B67-'Energy margins'!$T$46,""),'Energy margins'!$V$46)=0,'Energy margins'!$S$46,0))</f>
        <v>0</v>
      </c>
      <c r="M67" s="918">
        <f>IF(ISERROR(IF(MOD(IF(AND(B67&gt;='Energy margins'!$T$47,B67&lt;='Energy margins'!$U$47),B67-'Energy margins'!$T$47,""),'Energy margins'!$V$47)=0,'Energy margins'!$S$47,0)),0,IF(MOD(IF(AND(B67&gt;='Energy margins'!$T$47,B67&lt;='Energy margins'!$U$47),B67-'Energy margins'!$T$47,""),'Energy margins'!$V$47)=0,'Energy margins'!$S$47,0))</f>
        <v>19.974783999999993</v>
      </c>
      <c r="N67" s="918">
        <f>IF(ISERROR(IF(MOD(IF(AND(B67&gt;='Energy margins'!$T$50,B67&lt;='Energy margins'!$U$50),B67-'Energy margins'!$T$50,""),'Energy margins'!$V$50)=0,'Energy margins'!$S$50,0)),0,IF(MOD(IF(AND(B67&gt;='Energy margins'!$T$50,B67&lt;='Energy margins'!$U$50),B67-'Energy margins'!$T$50,""),'Energy margins'!$V$50)=0,'Energy margins'!$S$50,0))</f>
        <v>60.4</v>
      </c>
      <c r="O67" s="918">
        <f>IF(ISERROR(IF(MOD(IF(AND(B67&gt;='Energy margins'!$T$53,B67&lt;='Energy margins'!$U$53),B67-'Energy margins'!$T$53,""),'Energy margins'!$V$53)=0,'Energy margins'!$S$53,0)),0,IF(MOD(IF(AND(B67&gt;='Energy margins'!$T$53,B67&lt;='Energy margins'!$U$53),B67-'Energy margins'!$T$53,""),'Energy margins'!$V$53)=0,'Energy margins'!$S$53,0))</f>
        <v>89.24</v>
      </c>
      <c r="P67" s="918">
        <f>IF(ISERROR(IF(MOD(IF(AND(B67&gt;='Energy margins'!$T$56,B67&lt;='Energy margins'!$U$56),B67-'Energy margins'!$T$56,""),'Energy margins'!$V$56)=0,'Energy margins'!$S$56,0)),0,IF(MOD(IF(AND(B67&gt;='Energy margins'!$T$56,B67&lt;='Energy margins'!$U$56),B67-'Energy margins'!$T$56,""),'Energy margins'!$V$56)=0,'Energy margins'!$S$56,0))</f>
        <v>26.964000000000002</v>
      </c>
      <c r="Q67" s="918">
        <f>IF(ISERROR(IF(MOD(IF(AND(B67&gt;='Energy margins'!$T$59,B67&lt;='Energy margins'!$U$59),B67-'Energy margins'!$T$59,""),'Energy margins'!$V$59)=0,'Energy margins'!$S$59,0)),0,IF(MOD(IF(AND(B67&gt;='Energy margins'!$T$59,B67&lt;='Energy margins'!$U$59),B67-'Energy margins'!$T$59,""),'Energy margins'!$V$59)=0,'Energy margins'!$S$59,0))</f>
        <v>112.99999999999999</v>
      </c>
      <c r="R67" s="918">
        <f>IF(ISERROR(IF(MOD(IF(AND(B67&gt;='Energy margins'!$T$60,B67&lt;='Energy margins'!$U$60),B67-'Energy margins'!$T$60,""),'Energy margins'!$V$60)=0,'Energy margins'!$S$60,0)),0,IF(MOD(IF(AND(B67&gt;='Energy margins'!$T$60,B67&lt;='Energy margins'!$U$60),B67-'Energy margins'!$T$60,""),'Energy margins'!$V$60)=0,'Energy margins'!$S$60,0))</f>
        <v>0</v>
      </c>
      <c r="S67" s="918">
        <f>IF(ISERROR(IF(MOD(IF(AND(B67&gt;='Energy margins'!$T$61,B67&lt;='Energy margins'!$U$61),B67-'Energy margins'!$T$61,""),'Energy margins'!$V$61)=0,'Energy margins'!$S$61,0)),0,IF(MOD(IF(AND(B67&gt;='Energy margins'!$T$61,B67&lt;='Energy margins'!$U$61),B67-'Energy margins'!$T$61,""),'Energy margins'!$V$61)=0,'Energy margins'!$S$61,0))</f>
        <v>0</v>
      </c>
      <c r="T67" s="918">
        <f>IF(ISERROR(IF(MOD(IF(AND(B67&gt;='Energy margins'!$T$62,B67&lt;='Energy margins'!$U$62),B67-'Energy margins'!$T$62,""),'Energy margins'!$V$62)=0,'Energy margins'!$S$62,0)),0,IF(MOD(IF(AND(B67&gt;='Energy margins'!$T$62,B67&lt;='Energy margins'!$U$62),B67-'Energy margins'!$T$62,""),'Energy margins'!$V$62)=0,'Energy margins'!$S$62,0))</f>
        <v>0</v>
      </c>
      <c r="U67" s="944">
        <f t="shared" si="35"/>
        <v>491.50878399999999</v>
      </c>
      <c r="V67" s="197"/>
      <c r="W67" s="197">
        <f t="shared" si="36"/>
        <v>491.50878399999999</v>
      </c>
      <c r="X67" s="197">
        <f t="shared" si="30"/>
        <v>295.21121600000004</v>
      </c>
      <c r="Y67" s="197">
        <f t="shared" si="31"/>
        <v>471.16121600000008</v>
      </c>
      <c r="Z67" s="973">
        <f t="shared" si="37"/>
        <v>727.36686390532543</v>
      </c>
      <c r="AA67" s="974">
        <f t="shared" si="38"/>
        <v>162.67566568047334</v>
      </c>
      <c r="AB67" s="974">
        <f t="shared" si="39"/>
        <v>454.42749999999995</v>
      </c>
      <c r="AC67" s="974">
        <f t="shared" si="40"/>
        <v>272.93936390532542</v>
      </c>
      <c r="AD67" s="974">
        <f t="shared" si="41"/>
        <v>435.61502958579882</v>
      </c>
      <c r="AE67" s="973">
        <f t="shared" ref="AE67:AE80" si="46">AE66+Z67</f>
        <v>1447.2653254437869</v>
      </c>
      <c r="AF67" s="974">
        <f t="shared" si="42"/>
        <v>507.80835798816565</v>
      </c>
      <c r="AG67" s="974">
        <f t="shared" si="43"/>
        <v>6777.3660839999993</v>
      </c>
      <c r="AH67" s="974">
        <f t="shared" si="44"/>
        <v>-5330.1007585562138</v>
      </c>
      <c r="AI67" s="975">
        <f t="shared" si="45"/>
        <v>-4822.292400568047</v>
      </c>
    </row>
    <row r="68" spans="2:35" x14ac:dyDescent="0.3">
      <c r="B68" s="900">
        <v>4</v>
      </c>
      <c r="C68" s="922">
        <f>'Energy Inputs'!F33</f>
        <v>1</v>
      </c>
      <c r="D68" s="918">
        <f>C68*'Energy Inputs'!$F$24</f>
        <v>11.617000000000001</v>
      </c>
      <c r="E68" s="197">
        <f>'Energy margins'!$S$12</f>
        <v>72</v>
      </c>
      <c r="F68" s="197">
        <f t="shared" si="33"/>
        <v>836.42400000000009</v>
      </c>
      <c r="G68" s="918">
        <f>'Energy Inputs'!$D$10</f>
        <v>175.95</v>
      </c>
      <c r="H68" s="197">
        <f t="shared" si="34"/>
        <v>1012.374</v>
      </c>
      <c r="I68" s="197"/>
      <c r="J68" s="947">
        <f>IF(ISERROR(IF(MOD(IF(AND(B68&gt;='Energy margins'!$T$44,B68&lt;='Energy margins'!$U$44),B68-'Energy margins'!$T$44,""),'Energy margins'!$V$44)=0,'Energy margins'!$S$44,0)),0,IF(MOD(IF(AND(B68&gt;='Energy margins'!$T$44,B68&lt;='Energy margins'!$U$44),B68-'Energy margins'!$T$44,""),'Energy margins'!$V$44)=0,'Energy margins'!$S$44,0))</f>
        <v>0</v>
      </c>
      <c r="K68" s="918">
        <f>IF(ISERROR(IF(MOD(IF(AND(B68&gt;='Energy margins'!$T$45,B68&lt;='Energy margins'!$U$45),B68-'Energy margins'!$T$45,""),'Energy margins'!$V$45)=0,'Energy margins'!$S$45,0)),0,IF(MOD(IF(AND(B68&gt;='Energy margins'!$T$45,B68&lt;='Energy margins'!$U$45),B68-'Energy margins'!$T$45,""),'Energy margins'!$V$45)=0,'Energy margins'!$S$45,0))</f>
        <v>0</v>
      </c>
      <c r="L68" s="918">
        <f>IF(ISERROR(IF(MOD(IF(AND(B68&gt;='Energy margins'!$T$46,B68&lt;='Energy margins'!$U$46),B68-'Energy margins'!$T$46,""),'Energy margins'!$V$46)=0,'Energy margins'!$S$46,0)),0,IF(MOD(IF(AND(B68&gt;='Energy margins'!$T$46,B68&lt;='Energy margins'!$U$46),B68-'Energy margins'!$T$46,""),'Energy margins'!$V$46)=0,'Energy margins'!$S$46,0))</f>
        <v>0</v>
      </c>
      <c r="M68" s="918">
        <f>IF(ISERROR(IF(MOD(IF(AND(B68&gt;='Energy margins'!$T$47,B68&lt;='Energy margins'!$U$47),B68-'Energy margins'!$T$47,""),'Energy margins'!$V$47)=0,'Energy margins'!$S$47,0)),0,IF(MOD(IF(AND(B68&gt;='Energy margins'!$T$47,B68&lt;='Energy margins'!$U$47),B68-'Energy margins'!$T$47,""),'Energy margins'!$V$47)=0,'Energy margins'!$S$47,0))</f>
        <v>19.974783999999993</v>
      </c>
      <c r="N68" s="918">
        <f>IF(ISERROR(IF(MOD(IF(AND(B68&gt;='Energy margins'!$T$50,B68&lt;='Energy margins'!$U$50),B68-'Energy margins'!$T$50,""),'Energy margins'!$V$50)=0,'Energy margins'!$S$50,0)),0,IF(MOD(IF(AND(B68&gt;='Energy margins'!$T$50,B68&lt;='Energy margins'!$U$50),B68-'Energy margins'!$T$50,""),'Energy margins'!$V$50)=0,'Energy margins'!$S$50,0))</f>
        <v>60.4</v>
      </c>
      <c r="O68" s="918">
        <f>IF(ISERROR(IF(MOD(IF(AND(B68&gt;='Energy margins'!$T$53,B68&lt;='Energy margins'!$U$53),B68-'Energy margins'!$T$53,""),'Energy margins'!$V$53)=0,'Energy margins'!$S$53,0)),0,IF(MOD(IF(AND(B68&gt;='Energy margins'!$T$53,B68&lt;='Energy margins'!$U$53),B68-'Energy margins'!$T$53,""),'Energy margins'!$V$53)=0,'Energy margins'!$S$53,0))</f>
        <v>89.24</v>
      </c>
      <c r="P68" s="918">
        <f>IF(ISERROR(IF(MOD(IF(AND(B68&gt;='Energy margins'!$T$56,B68&lt;='Energy margins'!$U$56),B68-'Energy margins'!$T$56,""),'Energy margins'!$V$56)=0,'Energy margins'!$S$56,0)),0,IF(MOD(IF(AND(B68&gt;='Energy margins'!$T$56,B68&lt;='Energy margins'!$U$56),B68-'Energy margins'!$T$56,""),'Energy margins'!$V$56)=0,'Energy margins'!$S$56,0))</f>
        <v>26.964000000000002</v>
      </c>
      <c r="Q68" s="918">
        <f>IF(ISERROR(IF(MOD(IF(AND(B68&gt;='Energy margins'!$T$59,B68&lt;='Energy margins'!$U$59),B68-'Energy margins'!$T$59,""),'Energy margins'!$V$59)=0,'Energy margins'!$S$59,0)),0,IF(MOD(IF(AND(B68&gt;='Energy margins'!$T$59,B68&lt;='Energy margins'!$U$59),B68-'Energy margins'!$T$59,""),'Energy margins'!$V$59)=0,'Energy margins'!$S$59,0))</f>
        <v>112.99999999999999</v>
      </c>
      <c r="R68" s="918">
        <f>IF(ISERROR(IF(MOD(IF(AND(B68&gt;='Energy margins'!$T$60,B68&lt;='Energy margins'!$U$60),B68-'Energy margins'!$T$60,""),'Energy margins'!$V$60)=0,'Energy margins'!$S$60,0)),0,IF(MOD(IF(AND(B68&gt;='Energy margins'!$T$60,B68&lt;='Energy margins'!$U$60),B68-'Energy margins'!$T$60,""),'Energy margins'!$V$60)=0,'Energy margins'!$S$60,0))</f>
        <v>0</v>
      </c>
      <c r="S68" s="918">
        <f>IF(ISERROR(IF(MOD(IF(AND(B68&gt;='Energy margins'!$T$61,B68&lt;='Energy margins'!$U$61),B68-'Energy margins'!$T$61,""),'Energy margins'!$V$61)=0,'Energy margins'!$S$61,0)),0,IF(MOD(IF(AND(B68&gt;='Energy margins'!$T$61,B68&lt;='Energy margins'!$U$61),B68-'Energy margins'!$T$61,""),'Energy margins'!$V$61)=0,'Energy margins'!$S$61,0))</f>
        <v>0</v>
      </c>
      <c r="T68" s="918">
        <f>IF(ISERROR(IF(MOD(IF(AND(B68&gt;='Energy margins'!$T$62,B68&lt;='Energy margins'!$U$62),B68-'Energy margins'!$T$62,""),'Energy margins'!$V$62)=0,'Energy margins'!$S$62,0)),0,IF(MOD(IF(AND(B68&gt;='Energy margins'!$T$62,B68&lt;='Energy margins'!$U$62),B68-'Energy margins'!$T$62,""),'Energy margins'!$V$62)=0,'Energy margins'!$S$62,0))</f>
        <v>0</v>
      </c>
      <c r="U68" s="944">
        <f t="shared" si="35"/>
        <v>309.57878399999998</v>
      </c>
      <c r="V68" s="197"/>
      <c r="W68" s="197">
        <f t="shared" si="36"/>
        <v>309.57878399999998</v>
      </c>
      <c r="X68" s="197">
        <f t="shared" si="30"/>
        <v>526.84521600000016</v>
      </c>
      <c r="Y68" s="197">
        <f t="shared" si="31"/>
        <v>702.79521599999998</v>
      </c>
      <c r="Z68" s="973">
        <f t="shared" si="37"/>
        <v>743.57789030496133</v>
      </c>
      <c r="AA68" s="974">
        <f t="shared" si="38"/>
        <v>156.41890930814745</v>
      </c>
      <c r="AB68" s="974">
        <f t="shared" si="39"/>
        <v>275.21441169776966</v>
      </c>
      <c r="AC68" s="974">
        <f t="shared" si="40"/>
        <v>468.36347860719172</v>
      </c>
      <c r="AD68" s="974">
        <f t="shared" si="41"/>
        <v>624.78238791533909</v>
      </c>
      <c r="AE68" s="973">
        <f t="shared" si="46"/>
        <v>2190.8432157487482</v>
      </c>
      <c r="AF68" s="974">
        <f t="shared" si="42"/>
        <v>664.22726729631313</v>
      </c>
      <c r="AG68" s="974">
        <f t="shared" si="43"/>
        <v>7052.580495697769</v>
      </c>
      <c r="AH68" s="974">
        <f t="shared" si="44"/>
        <v>-4861.7372799490222</v>
      </c>
      <c r="AI68" s="975">
        <f t="shared" si="45"/>
        <v>-4197.5100126527077</v>
      </c>
    </row>
    <row r="69" spans="2:35" x14ac:dyDescent="0.3">
      <c r="B69" s="900">
        <v>5</v>
      </c>
      <c r="C69" s="922">
        <f>'Energy Inputs'!F34</f>
        <v>1</v>
      </c>
      <c r="D69" s="918">
        <f>C69*'Energy Inputs'!$F$24</f>
        <v>11.617000000000001</v>
      </c>
      <c r="E69" s="197">
        <f>'Energy margins'!$S$12</f>
        <v>72</v>
      </c>
      <c r="F69" s="197">
        <f t="shared" si="33"/>
        <v>836.42400000000009</v>
      </c>
      <c r="G69" s="918">
        <f>'Energy Inputs'!$D$10</f>
        <v>175.95</v>
      </c>
      <c r="H69" s="197">
        <f t="shared" si="34"/>
        <v>1012.374</v>
      </c>
      <c r="I69" s="197"/>
      <c r="J69" s="947">
        <f>IF(ISERROR(IF(MOD(IF(AND(B69&gt;='Energy margins'!$T$44,B69&lt;='Energy margins'!$U$44),B69-'Energy margins'!$T$44,""),'Energy margins'!$V$44)=0,'Energy margins'!$S$44,0)),0,IF(MOD(IF(AND(B69&gt;='Energy margins'!$T$44,B69&lt;='Energy margins'!$U$44),B69-'Energy margins'!$T$44,""),'Energy margins'!$V$44)=0,'Energy margins'!$S$44,0))</f>
        <v>0</v>
      </c>
      <c r="K69" s="918">
        <f>IF(ISERROR(IF(MOD(IF(AND(B69&gt;='Energy margins'!$T$45,B69&lt;='Energy margins'!$U$45),B69-'Energy margins'!$T$45,""),'Energy margins'!$V$45)=0,'Energy margins'!$S$45,0)),0,IF(MOD(IF(AND(B69&gt;='Energy margins'!$T$45,B69&lt;='Energy margins'!$U$45),B69-'Energy margins'!$T$45,""),'Energy margins'!$V$45)=0,'Energy margins'!$S$45,0))</f>
        <v>0</v>
      </c>
      <c r="L69" s="918">
        <f>IF(ISERROR(IF(MOD(IF(AND(B69&gt;='Energy margins'!$T$46,B69&lt;='Energy margins'!$U$46),B69-'Energy margins'!$T$46,""),'Energy margins'!$V$46)=0,'Energy margins'!$S$46,0)),0,IF(MOD(IF(AND(B69&gt;='Energy margins'!$T$46,B69&lt;='Energy margins'!$U$46),B69-'Energy margins'!$T$46,""),'Energy margins'!$V$46)=0,'Energy margins'!$S$46,0))</f>
        <v>0</v>
      </c>
      <c r="M69" s="918">
        <f>IF(ISERROR(IF(MOD(IF(AND(B69&gt;='Energy margins'!$T$47,B69&lt;='Energy margins'!$U$47),B69-'Energy margins'!$T$47,""),'Energy margins'!$V$47)=0,'Energy margins'!$S$47,0)),0,IF(MOD(IF(AND(B69&gt;='Energy margins'!$T$47,B69&lt;='Energy margins'!$U$47),B69-'Energy margins'!$T$47,""),'Energy margins'!$V$47)=0,'Energy margins'!$S$47,0))</f>
        <v>19.974783999999993</v>
      </c>
      <c r="N69" s="918">
        <f>IF(ISERROR(IF(MOD(IF(AND(B69&gt;='Energy margins'!$T$50,B69&lt;='Energy margins'!$U$50),B69-'Energy margins'!$T$50,""),'Energy margins'!$V$50)=0,'Energy margins'!$S$50,0)),0,IF(MOD(IF(AND(B69&gt;='Energy margins'!$T$50,B69&lt;='Energy margins'!$U$50),B69-'Energy margins'!$T$50,""),'Energy margins'!$V$50)=0,'Energy margins'!$S$50,0))</f>
        <v>60.4</v>
      </c>
      <c r="O69" s="918">
        <f>IF(ISERROR(IF(MOD(IF(AND(B69&gt;='Energy margins'!$T$53,B69&lt;='Energy margins'!$U$53),B69-'Energy margins'!$T$53,""),'Energy margins'!$V$53)=0,'Energy margins'!$S$53,0)),0,IF(MOD(IF(AND(B69&gt;='Energy margins'!$T$53,B69&lt;='Energy margins'!$U$53),B69-'Energy margins'!$T$53,""),'Energy margins'!$V$53)=0,'Energy margins'!$S$53,0))</f>
        <v>89.24</v>
      </c>
      <c r="P69" s="918">
        <f>IF(ISERROR(IF(MOD(IF(AND(B69&gt;='Energy margins'!$T$56,B69&lt;='Energy margins'!$U$56),B69-'Energy margins'!$T$56,""),'Energy margins'!$V$56)=0,'Energy margins'!$S$56,0)),0,IF(MOD(IF(AND(B69&gt;='Energy margins'!$T$56,B69&lt;='Energy margins'!$U$56),B69-'Energy margins'!$T$56,""),'Energy margins'!$V$56)=0,'Energy margins'!$S$56,0))</f>
        <v>26.964000000000002</v>
      </c>
      <c r="Q69" s="918">
        <f>IF(ISERROR(IF(MOD(IF(AND(B69&gt;='Energy margins'!$T$59,B69&lt;='Energy margins'!$U$59),B69-'Energy margins'!$T$59,""),'Energy margins'!$V$59)=0,'Energy margins'!$S$59,0)),0,IF(MOD(IF(AND(B69&gt;='Energy margins'!$T$59,B69&lt;='Energy margins'!$U$59),B69-'Energy margins'!$T$59,""),'Energy margins'!$V$59)=0,'Energy margins'!$S$59,0))</f>
        <v>112.99999999999999</v>
      </c>
      <c r="R69" s="918">
        <f>IF(ISERROR(IF(MOD(IF(AND(B69&gt;='Energy margins'!$T$60,B69&lt;='Energy margins'!$U$60),B69-'Energy margins'!$T$60,""),'Energy margins'!$V$60)=0,'Energy margins'!$S$60,0)),0,IF(MOD(IF(AND(B69&gt;='Energy margins'!$T$60,B69&lt;='Energy margins'!$U$60),B69-'Energy margins'!$T$60,""),'Energy margins'!$V$60)=0,'Energy margins'!$S$60,0))</f>
        <v>0</v>
      </c>
      <c r="S69" s="918">
        <f>IF(ISERROR(IF(MOD(IF(AND(B69&gt;='Energy margins'!$T$61,B69&lt;='Energy margins'!$U$61),B69-'Energy margins'!$T$61,""),'Energy margins'!$V$61)=0,'Energy margins'!$S$61,0)),0,IF(MOD(IF(AND(B69&gt;='Energy margins'!$T$61,B69&lt;='Energy margins'!$U$61),B69-'Energy margins'!$T$61,""),'Energy margins'!$V$61)=0,'Energy margins'!$S$61,0))</f>
        <v>0</v>
      </c>
      <c r="T69" s="918">
        <f>IF(ISERROR(IF(MOD(IF(AND(B69&gt;='Energy margins'!$T$62,B69&lt;='Energy margins'!$U$62),B69-'Energy margins'!$T$62,""),'Energy margins'!$V$62)=0,'Energy margins'!$S$62,0)),0,IF(MOD(IF(AND(B69&gt;='Energy margins'!$T$62,B69&lt;='Energy margins'!$U$62),B69-'Energy margins'!$T$62,""),'Energy margins'!$V$62)=0,'Energy margins'!$S$62,0))</f>
        <v>0</v>
      </c>
      <c r="U69" s="944">
        <f t="shared" si="35"/>
        <v>309.57878399999998</v>
      </c>
      <c r="V69" s="197"/>
      <c r="W69" s="197">
        <f t="shared" si="36"/>
        <v>309.57878399999998</v>
      </c>
      <c r="X69" s="197">
        <f t="shared" si="30"/>
        <v>526.84521600000016</v>
      </c>
      <c r="Y69" s="197">
        <f t="shared" si="31"/>
        <v>702.79521599999998</v>
      </c>
      <c r="Z69" s="973">
        <f t="shared" si="37"/>
        <v>714.97874067784733</v>
      </c>
      <c r="AA69" s="974">
        <f t="shared" si="38"/>
        <v>150.40279741168024</v>
      </c>
      <c r="AB69" s="974">
        <f t="shared" si="39"/>
        <v>264.6292420170862</v>
      </c>
      <c r="AC69" s="974">
        <f t="shared" si="40"/>
        <v>450.34949866076124</v>
      </c>
      <c r="AD69" s="974">
        <f t="shared" si="41"/>
        <v>600.75229607244137</v>
      </c>
      <c r="AE69" s="973">
        <f t="shared" si="46"/>
        <v>2905.8219564265955</v>
      </c>
      <c r="AF69" s="974">
        <f t="shared" si="42"/>
        <v>814.63006470799337</v>
      </c>
      <c r="AG69" s="974">
        <f t="shared" si="43"/>
        <v>7317.2097377148548</v>
      </c>
      <c r="AH69" s="974">
        <f t="shared" si="44"/>
        <v>-4411.3877812882611</v>
      </c>
      <c r="AI69" s="975">
        <f t="shared" si="45"/>
        <v>-3596.7577165802663</v>
      </c>
    </row>
    <row r="70" spans="2:35" x14ac:dyDescent="0.3">
      <c r="B70" s="900">
        <v>6</v>
      </c>
      <c r="C70" s="922">
        <f>'Energy Inputs'!F35</f>
        <v>1</v>
      </c>
      <c r="D70" s="918">
        <f>C70*'Energy Inputs'!$F$24</f>
        <v>11.617000000000001</v>
      </c>
      <c r="E70" s="197">
        <f>'Energy margins'!$S$12</f>
        <v>72</v>
      </c>
      <c r="F70" s="197">
        <f t="shared" si="33"/>
        <v>836.42400000000009</v>
      </c>
      <c r="G70" s="918">
        <f>'Energy Inputs'!$D$10</f>
        <v>175.95</v>
      </c>
      <c r="H70" s="197">
        <f t="shared" si="34"/>
        <v>1012.374</v>
      </c>
      <c r="I70" s="197"/>
      <c r="J70" s="947">
        <f>IF(ISERROR(IF(MOD(IF(AND(B70&gt;='Energy margins'!$T$44,B70&lt;='Energy margins'!$U$44),B70-'Energy margins'!$T$44,""),'Energy margins'!$V$44)=0,'Energy margins'!$S$44,0)),0,IF(MOD(IF(AND(B70&gt;='Energy margins'!$T$44,B70&lt;='Energy margins'!$U$44),B70-'Energy margins'!$T$44,""),'Energy margins'!$V$44)=0,'Energy margins'!$S$44,0))</f>
        <v>0</v>
      </c>
      <c r="K70" s="918">
        <f>IF(ISERROR(IF(MOD(IF(AND(B70&gt;='Energy margins'!$T$45,B70&lt;='Energy margins'!$U$45),B70-'Energy margins'!$T$45,""),'Energy margins'!$V$45)=0,'Energy margins'!$S$45,0)),0,IF(MOD(IF(AND(B70&gt;='Energy margins'!$T$45,B70&lt;='Energy margins'!$U$45),B70-'Energy margins'!$T$45,""),'Energy margins'!$V$45)=0,'Energy margins'!$S$45,0))</f>
        <v>0</v>
      </c>
      <c r="L70" s="918">
        <f>IF(ISERROR(IF(MOD(IF(AND(B70&gt;='Energy margins'!$T$46,B70&lt;='Energy margins'!$U$46),B70-'Energy margins'!$T$46,""),'Energy margins'!$V$46)=0,'Energy margins'!$S$46,0)),0,IF(MOD(IF(AND(B70&gt;='Energy margins'!$T$46,B70&lt;='Energy margins'!$U$46),B70-'Energy margins'!$T$46,""),'Energy margins'!$V$46)=0,'Energy margins'!$S$46,0))</f>
        <v>0</v>
      </c>
      <c r="M70" s="918">
        <f>IF(ISERROR(IF(MOD(IF(AND(B70&gt;='Energy margins'!$T$47,B70&lt;='Energy margins'!$U$47),B70-'Energy margins'!$T$47,""),'Energy margins'!$V$47)=0,'Energy margins'!$S$47,0)),0,IF(MOD(IF(AND(B70&gt;='Energy margins'!$T$47,B70&lt;='Energy margins'!$U$47),B70-'Energy margins'!$T$47,""),'Energy margins'!$V$47)=0,'Energy margins'!$S$47,0))</f>
        <v>19.974783999999993</v>
      </c>
      <c r="N70" s="918">
        <f>IF(ISERROR(IF(MOD(IF(AND(B70&gt;='Energy margins'!$T$50,B70&lt;='Energy margins'!$U$50),B70-'Energy margins'!$T$50,""),'Energy margins'!$V$50)=0,'Energy margins'!$S$50,0)),0,IF(MOD(IF(AND(B70&gt;='Energy margins'!$T$50,B70&lt;='Energy margins'!$U$50),B70-'Energy margins'!$T$50,""),'Energy margins'!$V$50)=0,'Energy margins'!$S$50,0))</f>
        <v>60.4</v>
      </c>
      <c r="O70" s="918">
        <f>IF(ISERROR(IF(MOD(IF(AND(B70&gt;='Energy margins'!$T$53,B70&lt;='Energy margins'!$U$53),B70-'Energy margins'!$T$53,""),'Energy margins'!$V$53)=0,'Energy margins'!$S$53,0)),0,IF(MOD(IF(AND(B70&gt;='Energy margins'!$T$53,B70&lt;='Energy margins'!$U$53),B70-'Energy margins'!$T$53,""),'Energy margins'!$V$53)=0,'Energy margins'!$S$53,0))</f>
        <v>89.24</v>
      </c>
      <c r="P70" s="918">
        <f>IF(ISERROR(IF(MOD(IF(AND(B70&gt;='Energy margins'!$T$56,B70&lt;='Energy margins'!$U$56),B70-'Energy margins'!$T$56,""),'Energy margins'!$V$56)=0,'Energy margins'!$S$56,0)),0,IF(MOD(IF(AND(B70&gt;='Energy margins'!$T$56,B70&lt;='Energy margins'!$U$56),B70-'Energy margins'!$T$56,""),'Energy margins'!$V$56)=0,'Energy margins'!$S$56,0))</f>
        <v>26.964000000000002</v>
      </c>
      <c r="Q70" s="918">
        <f>IF(ISERROR(IF(MOD(IF(AND(B70&gt;='Energy margins'!$T$59,B70&lt;='Energy margins'!$U$59),B70-'Energy margins'!$T$59,""),'Energy margins'!$V$59)=0,'Energy margins'!$S$59,0)),0,IF(MOD(IF(AND(B70&gt;='Energy margins'!$T$59,B70&lt;='Energy margins'!$U$59),B70-'Energy margins'!$T$59,""),'Energy margins'!$V$59)=0,'Energy margins'!$S$59,0))</f>
        <v>112.99999999999999</v>
      </c>
      <c r="R70" s="918">
        <f>IF(ISERROR(IF(MOD(IF(AND(B70&gt;='Energy margins'!$T$60,B70&lt;='Energy margins'!$U$60),B70-'Energy margins'!$T$60,""),'Energy margins'!$V$60)=0,'Energy margins'!$S$60,0)),0,IF(MOD(IF(AND(B70&gt;='Energy margins'!$T$60,B70&lt;='Energy margins'!$U$60),B70-'Energy margins'!$T$60,""),'Energy margins'!$V$60)=0,'Energy margins'!$S$60,0))</f>
        <v>0</v>
      </c>
      <c r="S70" s="918">
        <f>IF(ISERROR(IF(MOD(IF(AND(B70&gt;='Energy margins'!$T$61,B70&lt;='Energy margins'!$U$61),B70-'Energy margins'!$T$61,""),'Energy margins'!$V$61)=0,'Energy margins'!$S$61,0)),0,IF(MOD(IF(AND(B70&gt;='Energy margins'!$T$61,B70&lt;='Energy margins'!$U$61),B70-'Energy margins'!$T$61,""),'Energy margins'!$V$61)=0,'Energy margins'!$S$61,0))</f>
        <v>0</v>
      </c>
      <c r="T70" s="918">
        <f>IF(ISERROR(IF(MOD(IF(AND(B70&gt;='Energy margins'!$T$62,B70&lt;='Energy margins'!$U$62),B70-'Energy margins'!$T$62,""),'Energy margins'!$V$62)=0,'Energy margins'!$S$62,0)),0,IF(MOD(IF(AND(B70&gt;='Energy margins'!$T$62,B70&lt;='Energy margins'!$U$62),B70-'Energy margins'!$T$62,""),'Energy margins'!$V$62)=0,'Energy margins'!$S$62,0))</f>
        <v>0</v>
      </c>
      <c r="U70" s="944">
        <f t="shared" si="35"/>
        <v>309.57878399999998</v>
      </c>
      <c r="V70" s="197"/>
      <c r="W70" s="197">
        <f t="shared" si="36"/>
        <v>309.57878399999998</v>
      </c>
      <c r="X70" s="197">
        <f t="shared" si="30"/>
        <v>526.84521600000016</v>
      </c>
      <c r="Y70" s="197">
        <f t="shared" si="31"/>
        <v>702.79521599999998</v>
      </c>
      <c r="Z70" s="973">
        <f t="shared" si="37"/>
        <v>687.4795583440839</v>
      </c>
      <c r="AA70" s="974">
        <f t="shared" si="38"/>
        <v>144.61807443430789</v>
      </c>
      <c r="AB70" s="974">
        <f t="shared" si="39"/>
        <v>254.45119424719823</v>
      </c>
      <c r="AC70" s="974">
        <f t="shared" si="40"/>
        <v>433.02836409688575</v>
      </c>
      <c r="AD70" s="974">
        <f t="shared" si="41"/>
        <v>577.64643853119355</v>
      </c>
      <c r="AE70" s="973">
        <f t="shared" si="46"/>
        <v>3593.3015147706792</v>
      </c>
      <c r="AF70" s="974">
        <f t="shared" si="42"/>
        <v>959.24813914230128</v>
      </c>
      <c r="AG70" s="974">
        <f t="shared" si="43"/>
        <v>7571.6609319620529</v>
      </c>
      <c r="AH70" s="974">
        <f t="shared" si="44"/>
        <v>-3978.3594171913755</v>
      </c>
      <c r="AI70" s="975">
        <f t="shared" si="45"/>
        <v>-3019.111278049073</v>
      </c>
    </row>
    <row r="71" spans="2:35" x14ac:dyDescent="0.3">
      <c r="B71" s="900">
        <v>7</v>
      </c>
      <c r="C71" s="922">
        <f>'Energy Inputs'!F36</f>
        <v>1</v>
      </c>
      <c r="D71" s="918">
        <f>C71*'Energy Inputs'!$F$24</f>
        <v>11.617000000000001</v>
      </c>
      <c r="E71" s="197">
        <f>'Energy margins'!$S$12</f>
        <v>72</v>
      </c>
      <c r="F71" s="197">
        <f t="shared" si="33"/>
        <v>836.42400000000009</v>
      </c>
      <c r="G71" s="918">
        <f>'Energy Inputs'!$D$10</f>
        <v>175.95</v>
      </c>
      <c r="H71" s="197">
        <f t="shared" si="34"/>
        <v>1012.374</v>
      </c>
      <c r="I71" s="197"/>
      <c r="J71" s="947">
        <f>IF(ISERROR(IF(MOD(IF(AND(B71&gt;='Energy margins'!$T$44,B71&lt;='Energy margins'!$U$44),B71-'Energy margins'!$T$44,""),'Energy margins'!$V$44)=0,'Energy margins'!$S$44,0)),0,IF(MOD(IF(AND(B71&gt;='Energy margins'!$T$44,B71&lt;='Energy margins'!$U$44),B71-'Energy margins'!$T$44,""),'Energy margins'!$V$44)=0,'Energy margins'!$S$44,0))</f>
        <v>0</v>
      </c>
      <c r="K71" s="918">
        <f>IF(ISERROR(IF(MOD(IF(AND(B71&gt;='Energy margins'!$T$45,B71&lt;='Energy margins'!$U$45),B71-'Energy margins'!$T$45,""),'Energy margins'!$V$45)=0,'Energy margins'!$S$45,0)),0,IF(MOD(IF(AND(B71&gt;='Energy margins'!$T$45,B71&lt;='Energy margins'!$U$45),B71-'Energy margins'!$T$45,""),'Energy margins'!$V$45)=0,'Energy margins'!$S$45,0))</f>
        <v>0</v>
      </c>
      <c r="L71" s="918">
        <f>IF(ISERROR(IF(MOD(IF(AND(B71&gt;='Energy margins'!$T$46,B71&lt;='Energy margins'!$U$46),B71-'Energy margins'!$T$46,""),'Energy margins'!$V$46)=0,'Energy margins'!$S$46,0)),0,IF(MOD(IF(AND(B71&gt;='Energy margins'!$T$46,B71&lt;='Energy margins'!$U$46),B71-'Energy margins'!$T$46,""),'Energy margins'!$V$46)=0,'Energy margins'!$S$46,0))</f>
        <v>0</v>
      </c>
      <c r="M71" s="918">
        <f>IF(ISERROR(IF(MOD(IF(AND(B71&gt;='Energy margins'!$T$47,B71&lt;='Energy margins'!$U$47),B71-'Energy margins'!$T$47,""),'Energy margins'!$V$47)=0,'Energy margins'!$S$47,0)),0,IF(MOD(IF(AND(B71&gt;='Energy margins'!$T$47,B71&lt;='Energy margins'!$U$47),B71-'Energy margins'!$T$47,""),'Energy margins'!$V$47)=0,'Energy margins'!$S$47,0))</f>
        <v>19.974783999999993</v>
      </c>
      <c r="N71" s="918">
        <f>IF(ISERROR(IF(MOD(IF(AND(B71&gt;='Energy margins'!$T$50,B71&lt;='Energy margins'!$U$50),B71-'Energy margins'!$T$50,""),'Energy margins'!$V$50)=0,'Energy margins'!$S$50,0)),0,IF(MOD(IF(AND(B71&gt;='Energy margins'!$T$50,B71&lt;='Energy margins'!$U$50),B71-'Energy margins'!$T$50,""),'Energy margins'!$V$50)=0,'Energy margins'!$S$50,0))</f>
        <v>60.4</v>
      </c>
      <c r="O71" s="918">
        <f>IF(ISERROR(IF(MOD(IF(AND(B71&gt;='Energy margins'!$T$53,B71&lt;='Energy margins'!$U$53),B71-'Energy margins'!$T$53,""),'Energy margins'!$V$53)=0,'Energy margins'!$S$53,0)),0,IF(MOD(IF(AND(B71&gt;='Energy margins'!$T$53,B71&lt;='Energy margins'!$U$53),B71-'Energy margins'!$T$53,""),'Energy margins'!$V$53)=0,'Energy margins'!$S$53,0))</f>
        <v>89.24</v>
      </c>
      <c r="P71" s="918">
        <f>IF(ISERROR(IF(MOD(IF(AND(B71&gt;='Energy margins'!$T$56,B71&lt;='Energy margins'!$U$56),B71-'Energy margins'!$T$56,""),'Energy margins'!$V$56)=0,'Energy margins'!$S$56,0)),0,IF(MOD(IF(AND(B71&gt;='Energy margins'!$T$56,B71&lt;='Energy margins'!$U$56),B71-'Energy margins'!$T$56,""),'Energy margins'!$V$56)=0,'Energy margins'!$S$56,0))</f>
        <v>26.964000000000002</v>
      </c>
      <c r="Q71" s="918">
        <f>IF(ISERROR(IF(MOD(IF(AND(B71&gt;='Energy margins'!$T$59,B71&lt;='Energy margins'!$U$59),B71-'Energy margins'!$T$59,""),'Energy margins'!$V$59)=0,'Energy margins'!$S$59,0)),0,IF(MOD(IF(AND(B71&gt;='Energy margins'!$T$59,B71&lt;='Energy margins'!$U$59),B71-'Energy margins'!$T$59,""),'Energy margins'!$V$59)=0,'Energy margins'!$S$59,0))</f>
        <v>112.99999999999999</v>
      </c>
      <c r="R71" s="918">
        <f>IF(ISERROR(IF(MOD(IF(AND(B71&gt;='Energy margins'!$T$60,B71&lt;='Energy margins'!$U$60),B71-'Energy margins'!$T$60,""),'Energy margins'!$V$60)=0,'Energy margins'!$S$60,0)),0,IF(MOD(IF(AND(B71&gt;='Energy margins'!$T$60,B71&lt;='Energy margins'!$U$60),B71-'Energy margins'!$T$60,""),'Energy margins'!$V$60)=0,'Energy margins'!$S$60,0))</f>
        <v>0</v>
      </c>
      <c r="S71" s="918">
        <f>IF(ISERROR(IF(MOD(IF(AND(B71&gt;='Energy margins'!$T$61,B71&lt;='Energy margins'!$U$61),B71-'Energy margins'!$T$61,""),'Energy margins'!$V$61)=0,'Energy margins'!$S$61,0)),0,IF(MOD(IF(AND(B71&gt;='Energy margins'!$T$61,B71&lt;='Energy margins'!$U$61),B71-'Energy margins'!$T$61,""),'Energy margins'!$V$61)=0,'Energy margins'!$S$61,0))</f>
        <v>0</v>
      </c>
      <c r="T71" s="918">
        <f>IF(ISERROR(IF(MOD(IF(AND(B71&gt;='Energy margins'!$T$62,B71&lt;='Energy margins'!$U$62),B71-'Energy margins'!$T$62,""),'Energy margins'!$V$62)=0,'Energy margins'!$S$62,0)),0,IF(MOD(IF(AND(B71&gt;='Energy margins'!$T$62,B71&lt;='Energy margins'!$U$62),B71-'Energy margins'!$T$62,""),'Energy margins'!$V$62)=0,'Energy margins'!$S$62,0))</f>
        <v>0</v>
      </c>
      <c r="U71" s="944">
        <f t="shared" si="35"/>
        <v>309.57878399999998</v>
      </c>
      <c r="V71" s="197"/>
      <c r="W71" s="197">
        <f t="shared" si="36"/>
        <v>309.57878399999998</v>
      </c>
      <c r="X71" s="197">
        <f t="shared" si="30"/>
        <v>526.84521600000016</v>
      </c>
      <c r="Y71" s="197">
        <f t="shared" si="31"/>
        <v>702.79521599999998</v>
      </c>
      <c r="Z71" s="973">
        <f t="shared" si="37"/>
        <v>661.03803686931144</v>
      </c>
      <c r="AA71" s="974">
        <f t="shared" si="38"/>
        <v>139.05584080221914</v>
      </c>
      <c r="AB71" s="974">
        <f t="shared" si="39"/>
        <v>244.66460985307521</v>
      </c>
      <c r="AC71" s="974">
        <f t="shared" si="40"/>
        <v>416.37342701623629</v>
      </c>
      <c r="AD71" s="974">
        <f t="shared" si="41"/>
        <v>555.42926781845529</v>
      </c>
      <c r="AE71" s="973">
        <f t="shared" si="46"/>
        <v>4254.3395516399905</v>
      </c>
      <c r="AF71" s="974">
        <f t="shared" si="42"/>
        <v>1098.3039799445205</v>
      </c>
      <c r="AG71" s="974">
        <f t="shared" si="43"/>
        <v>7816.3255418151284</v>
      </c>
      <c r="AH71" s="974">
        <f t="shared" si="44"/>
        <v>-3561.9859901751392</v>
      </c>
      <c r="AI71" s="975">
        <f t="shared" si="45"/>
        <v>-2463.6820102306178</v>
      </c>
    </row>
    <row r="72" spans="2:35" x14ac:dyDescent="0.3">
      <c r="B72" s="900">
        <v>8</v>
      </c>
      <c r="C72" s="922">
        <f>'Energy Inputs'!F37</f>
        <v>1</v>
      </c>
      <c r="D72" s="918">
        <f>C72*'Energy Inputs'!$F$24</f>
        <v>11.617000000000001</v>
      </c>
      <c r="E72" s="197">
        <f>'Energy margins'!$S$12</f>
        <v>72</v>
      </c>
      <c r="F72" s="197">
        <f t="shared" si="33"/>
        <v>836.42400000000009</v>
      </c>
      <c r="G72" s="918">
        <f>'Energy Inputs'!$D$10</f>
        <v>175.95</v>
      </c>
      <c r="H72" s="197">
        <f t="shared" si="34"/>
        <v>1012.374</v>
      </c>
      <c r="I72" s="197"/>
      <c r="J72" s="947">
        <f>IF(ISERROR(IF(MOD(IF(AND(B72&gt;='Energy margins'!$T$44,B72&lt;='Energy margins'!$U$44),B72-'Energy margins'!$T$44,""),'Energy margins'!$V$44)=0,'Energy margins'!$S$44,0)),0,IF(MOD(IF(AND(B72&gt;='Energy margins'!$T$44,B72&lt;='Energy margins'!$U$44),B72-'Energy margins'!$T$44,""),'Energy margins'!$V$44)=0,'Energy margins'!$S$44,0))</f>
        <v>0</v>
      </c>
      <c r="K72" s="918">
        <f>IF(ISERROR(IF(MOD(IF(AND(B72&gt;='Energy margins'!$T$45,B72&lt;='Energy margins'!$U$45),B72-'Energy margins'!$T$45,""),'Energy margins'!$V$45)=0,'Energy margins'!$S$45,0)),0,IF(MOD(IF(AND(B72&gt;='Energy margins'!$T$45,B72&lt;='Energy margins'!$U$45),B72-'Energy margins'!$T$45,""),'Energy margins'!$V$45)=0,'Energy margins'!$S$45,0))</f>
        <v>0</v>
      </c>
      <c r="L72" s="918">
        <f>IF(ISERROR(IF(MOD(IF(AND(B72&gt;='Energy margins'!$T$46,B72&lt;='Energy margins'!$U$46),B72-'Energy margins'!$T$46,""),'Energy margins'!$V$46)=0,'Energy margins'!$S$46,0)),0,IF(MOD(IF(AND(B72&gt;='Energy margins'!$T$46,B72&lt;='Energy margins'!$U$46),B72-'Energy margins'!$T$46,""),'Energy margins'!$V$46)=0,'Energy margins'!$S$46,0))</f>
        <v>0</v>
      </c>
      <c r="M72" s="918">
        <f>IF(ISERROR(IF(MOD(IF(AND(B72&gt;='Energy margins'!$T$47,B72&lt;='Energy margins'!$U$47),B72-'Energy margins'!$T$47,""),'Energy margins'!$V$47)=0,'Energy margins'!$S$47,0)),0,IF(MOD(IF(AND(B72&gt;='Energy margins'!$T$47,B72&lt;='Energy margins'!$U$47),B72-'Energy margins'!$T$47,""),'Energy margins'!$V$47)=0,'Energy margins'!$S$47,0))</f>
        <v>19.974783999999993</v>
      </c>
      <c r="N72" s="918">
        <f>IF(ISERROR(IF(MOD(IF(AND(B72&gt;='Energy margins'!$T$50,B72&lt;='Energy margins'!$U$50),B72-'Energy margins'!$T$50,""),'Energy margins'!$V$50)=0,'Energy margins'!$S$50,0)),0,IF(MOD(IF(AND(B72&gt;='Energy margins'!$T$50,B72&lt;='Energy margins'!$U$50),B72-'Energy margins'!$T$50,""),'Energy margins'!$V$50)=0,'Energy margins'!$S$50,0))</f>
        <v>60.4</v>
      </c>
      <c r="O72" s="918">
        <f>IF(ISERROR(IF(MOD(IF(AND(B72&gt;='Energy margins'!$T$53,B72&lt;='Energy margins'!$U$53),B72-'Energy margins'!$T$53,""),'Energy margins'!$V$53)=0,'Energy margins'!$S$53,0)),0,IF(MOD(IF(AND(B72&gt;='Energy margins'!$T$53,B72&lt;='Energy margins'!$U$53),B72-'Energy margins'!$T$53,""),'Energy margins'!$V$53)=0,'Energy margins'!$S$53,0))</f>
        <v>89.24</v>
      </c>
      <c r="P72" s="918">
        <f>IF(ISERROR(IF(MOD(IF(AND(B72&gt;='Energy margins'!$T$56,B72&lt;='Energy margins'!$U$56),B72-'Energy margins'!$T$56,""),'Energy margins'!$V$56)=0,'Energy margins'!$S$56,0)),0,IF(MOD(IF(AND(B72&gt;='Energy margins'!$T$56,B72&lt;='Energy margins'!$U$56),B72-'Energy margins'!$T$56,""),'Energy margins'!$V$56)=0,'Energy margins'!$S$56,0))</f>
        <v>26.964000000000002</v>
      </c>
      <c r="Q72" s="918">
        <f>IF(ISERROR(IF(MOD(IF(AND(B72&gt;='Energy margins'!$T$59,B72&lt;='Energy margins'!$U$59),B72-'Energy margins'!$T$59,""),'Energy margins'!$V$59)=0,'Energy margins'!$S$59,0)),0,IF(MOD(IF(AND(B72&gt;='Energy margins'!$T$59,B72&lt;='Energy margins'!$U$59),B72-'Energy margins'!$T$59,""),'Energy margins'!$V$59)=0,'Energy margins'!$S$59,0))</f>
        <v>112.99999999999999</v>
      </c>
      <c r="R72" s="918">
        <f>IF(ISERROR(IF(MOD(IF(AND(B72&gt;='Energy margins'!$T$60,B72&lt;='Energy margins'!$U$60),B72-'Energy margins'!$T$60,""),'Energy margins'!$V$60)=0,'Energy margins'!$S$60,0)),0,IF(MOD(IF(AND(B72&gt;='Energy margins'!$T$60,B72&lt;='Energy margins'!$U$60),B72-'Energy margins'!$T$60,""),'Energy margins'!$V$60)=0,'Energy margins'!$S$60,0))</f>
        <v>0</v>
      </c>
      <c r="S72" s="918">
        <f>IF(ISERROR(IF(MOD(IF(AND(B72&gt;='Energy margins'!$T$61,B72&lt;='Energy margins'!$U$61),B72-'Energy margins'!$T$61,""),'Energy margins'!$V$61)=0,'Energy margins'!$S$61,0)),0,IF(MOD(IF(AND(B72&gt;='Energy margins'!$T$61,B72&lt;='Energy margins'!$U$61),B72-'Energy margins'!$T$61,""),'Energy margins'!$V$61)=0,'Energy margins'!$S$61,0))</f>
        <v>0</v>
      </c>
      <c r="T72" s="918">
        <f>IF(ISERROR(IF(MOD(IF(AND(B72&gt;='Energy margins'!$T$62,B72&lt;='Energy margins'!$U$62),B72-'Energy margins'!$T$62,""),'Energy margins'!$V$62)=0,'Energy margins'!$S$62,0)),0,IF(MOD(IF(AND(B72&gt;='Energy margins'!$T$62,B72&lt;='Energy margins'!$U$62),B72-'Energy margins'!$T$62,""),'Energy margins'!$V$62)=0,'Energy margins'!$S$62,0))</f>
        <v>0</v>
      </c>
      <c r="U72" s="944">
        <f t="shared" si="35"/>
        <v>309.57878399999998</v>
      </c>
      <c r="V72" s="197"/>
      <c r="W72" s="197">
        <f t="shared" si="36"/>
        <v>309.57878399999998</v>
      </c>
      <c r="X72" s="197">
        <f t="shared" si="30"/>
        <v>526.84521600000016</v>
      </c>
      <c r="Y72" s="197">
        <f t="shared" si="31"/>
        <v>702.79521599999998</v>
      </c>
      <c r="Z72" s="973">
        <f t="shared" si="37"/>
        <v>635.61349698972265</v>
      </c>
      <c r="AA72" s="974">
        <f t="shared" si="38"/>
        <v>133.70753923290303</v>
      </c>
      <c r="AB72" s="974">
        <f t="shared" si="39"/>
        <v>235.25443255103389</v>
      </c>
      <c r="AC72" s="974">
        <f t="shared" si="40"/>
        <v>400.35906443868879</v>
      </c>
      <c r="AD72" s="974">
        <f t="shared" si="41"/>
        <v>534.06660367159168</v>
      </c>
      <c r="AE72" s="973">
        <f t="shared" si="46"/>
        <v>4889.9530486297135</v>
      </c>
      <c r="AF72" s="974">
        <f t="shared" si="42"/>
        <v>1232.0115191774235</v>
      </c>
      <c r="AG72" s="974">
        <f t="shared" si="43"/>
        <v>8051.5799743661619</v>
      </c>
      <c r="AH72" s="974">
        <f t="shared" si="44"/>
        <v>-3161.6269257364506</v>
      </c>
      <c r="AI72" s="975">
        <f t="shared" si="45"/>
        <v>-1929.6154065590263</v>
      </c>
    </row>
    <row r="73" spans="2:35" x14ac:dyDescent="0.3">
      <c r="B73" s="900">
        <v>9</v>
      </c>
      <c r="C73" s="922">
        <f>'Energy Inputs'!F38</f>
        <v>1</v>
      </c>
      <c r="D73" s="918">
        <f>C73*'Energy Inputs'!$F$24</f>
        <v>11.617000000000001</v>
      </c>
      <c r="E73" s="197">
        <f>'Energy margins'!$S$12</f>
        <v>72</v>
      </c>
      <c r="F73" s="197">
        <f t="shared" si="33"/>
        <v>836.42400000000009</v>
      </c>
      <c r="G73" s="918">
        <f>'Energy Inputs'!$D$10</f>
        <v>175.95</v>
      </c>
      <c r="H73" s="197">
        <f t="shared" si="34"/>
        <v>1012.374</v>
      </c>
      <c r="I73" s="197"/>
      <c r="J73" s="947">
        <f>IF(ISERROR(IF(MOD(IF(AND(B73&gt;='Energy margins'!$T$44,B73&lt;='Energy margins'!$U$44),B73-'Energy margins'!$T$44,""),'Energy margins'!$V$44)=0,'Energy margins'!$S$44,0)),0,IF(MOD(IF(AND(B73&gt;='Energy margins'!$T$44,B73&lt;='Energy margins'!$U$44),B73-'Energy margins'!$T$44,""),'Energy margins'!$V$44)=0,'Energy margins'!$S$44,0))</f>
        <v>0</v>
      </c>
      <c r="K73" s="918">
        <f>IF(ISERROR(IF(MOD(IF(AND(B73&gt;='Energy margins'!$T$45,B73&lt;='Energy margins'!$U$45),B73-'Energy margins'!$T$45,""),'Energy margins'!$V$45)=0,'Energy margins'!$S$45,0)),0,IF(MOD(IF(AND(B73&gt;='Energy margins'!$T$45,B73&lt;='Energy margins'!$U$45),B73-'Energy margins'!$T$45,""),'Energy margins'!$V$45)=0,'Energy margins'!$S$45,0))</f>
        <v>0</v>
      </c>
      <c r="L73" s="918">
        <f>IF(ISERROR(IF(MOD(IF(AND(B73&gt;='Energy margins'!$T$46,B73&lt;='Energy margins'!$U$46),B73-'Energy margins'!$T$46,""),'Energy margins'!$V$46)=0,'Energy margins'!$S$46,0)),0,IF(MOD(IF(AND(B73&gt;='Energy margins'!$T$46,B73&lt;='Energy margins'!$U$46),B73-'Energy margins'!$T$46,""),'Energy margins'!$V$46)=0,'Energy margins'!$S$46,0))</f>
        <v>0</v>
      </c>
      <c r="M73" s="918">
        <f>IF(ISERROR(IF(MOD(IF(AND(B73&gt;='Energy margins'!$T$47,B73&lt;='Energy margins'!$U$47),B73-'Energy margins'!$T$47,""),'Energy margins'!$V$47)=0,'Energy margins'!$S$47,0)),0,IF(MOD(IF(AND(B73&gt;='Energy margins'!$T$47,B73&lt;='Energy margins'!$U$47),B73-'Energy margins'!$T$47,""),'Energy margins'!$V$47)=0,'Energy margins'!$S$47,0))</f>
        <v>19.974783999999993</v>
      </c>
      <c r="N73" s="918">
        <f>IF(ISERROR(IF(MOD(IF(AND(B73&gt;='Energy margins'!$T$50,B73&lt;='Energy margins'!$U$50),B73-'Energy margins'!$T$50,""),'Energy margins'!$V$50)=0,'Energy margins'!$S$50,0)),0,IF(MOD(IF(AND(B73&gt;='Energy margins'!$T$50,B73&lt;='Energy margins'!$U$50),B73-'Energy margins'!$T$50,""),'Energy margins'!$V$50)=0,'Energy margins'!$S$50,0))</f>
        <v>60.4</v>
      </c>
      <c r="O73" s="918">
        <f>IF(ISERROR(IF(MOD(IF(AND(B73&gt;='Energy margins'!$T$53,B73&lt;='Energy margins'!$U$53),B73-'Energy margins'!$T$53,""),'Energy margins'!$V$53)=0,'Energy margins'!$S$53,0)),0,IF(MOD(IF(AND(B73&gt;='Energy margins'!$T$53,B73&lt;='Energy margins'!$U$53),B73-'Energy margins'!$T$53,""),'Energy margins'!$V$53)=0,'Energy margins'!$S$53,0))</f>
        <v>89.24</v>
      </c>
      <c r="P73" s="918">
        <f>IF(ISERROR(IF(MOD(IF(AND(B73&gt;='Energy margins'!$T$56,B73&lt;='Energy margins'!$U$56),B73-'Energy margins'!$T$56,""),'Energy margins'!$V$56)=0,'Energy margins'!$S$56,0)),0,IF(MOD(IF(AND(B73&gt;='Energy margins'!$T$56,B73&lt;='Energy margins'!$U$56),B73-'Energy margins'!$T$56,""),'Energy margins'!$V$56)=0,'Energy margins'!$S$56,0))</f>
        <v>26.964000000000002</v>
      </c>
      <c r="Q73" s="918">
        <f>IF(ISERROR(IF(MOD(IF(AND(B73&gt;='Energy margins'!$T$59,B73&lt;='Energy margins'!$U$59),B73-'Energy margins'!$T$59,""),'Energy margins'!$V$59)=0,'Energy margins'!$S$59,0)),0,IF(MOD(IF(AND(B73&gt;='Energy margins'!$T$59,B73&lt;='Energy margins'!$U$59),B73-'Energy margins'!$T$59,""),'Energy margins'!$V$59)=0,'Energy margins'!$S$59,0))</f>
        <v>112.99999999999999</v>
      </c>
      <c r="R73" s="918">
        <f>IF(ISERROR(IF(MOD(IF(AND(B73&gt;='Energy margins'!$T$60,B73&lt;='Energy margins'!$U$60),B73-'Energy margins'!$T$60,""),'Energy margins'!$V$60)=0,'Energy margins'!$S$60,0)),0,IF(MOD(IF(AND(B73&gt;='Energy margins'!$T$60,B73&lt;='Energy margins'!$U$60),B73-'Energy margins'!$T$60,""),'Energy margins'!$V$60)=0,'Energy margins'!$S$60,0))</f>
        <v>0</v>
      </c>
      <c r="S73" s="918">
        <f>IF(ISERROR(IF(MOD(IF(AND(B73&gt;='Energy margins'!$T$61,B73&lt;='Energy margins'!$U$61),B73-'Energy margins'!$T$61,""),'Energy margins'!$V$61)=0,'Energy margins'!$S$61,0)),0,IF(MOD(IF(AND(B73&gt;='Energy margins'!$T$61,B73&lt;='Energy margins'!$U$61),B73-'Energy margins'!$T$61,""),'Energy margins'!$V$61)=0,'Energy margins'!$S$61,0))</f>
        <v>0</v>
      </c>
      <c r="T73" s="918">
        <f>IF(ISERROR(IF(MOD(IF(AND(B73&gt;='Energy margins'!$T$62,B73&lt;='Energy margins'!$U$62),B73-'Energy margins'!$T$62,""),'Energy margins'!$V$62)=0,'Energy margins'!$S$62,0)),0,IF(MOD(IF(AND(B73&gt;='Energy margins'!$T$62,B73&lt;='Energy margins'!$U$62),B73-'Energy margins'!$T$62,""),'Energy margins'!$V$62)=0,'Energy margins'!$S$62,0))</f>
        <v>0</v>
      </c>
      <c r="U73" s="944">
        <f t="shared" si="35"/>
        <v>309.57878399999998</v>
      </c>
      <c r="V73" s="197"/>
      <c r="W73" s="197">
        <f t="shared" si="36"/>
        <v>309.57878399999998</v>
      </c>
      <c r="X73" s="197">
        <f t="shared" si="30"/>
        <v>526.84521600000016</v>
      </c>
      <c r="Y73" s="197">
        <f t="shared" si="31"/>
        <v>702.79521599999998</v>
      </c>
      <c r="Z73" s="973">
        <f t="shared" si="37"/>
        <v>611.1668240285793</v>
      </c>
      <c r="AA73" s="974">
        <f t="shared" si="38"/>
        <v>128.56494157009902</v>
      </c>
      <c r="AB73" s="974">
        <f t="shared" si="39"/>
        <v>226.20618514522485</v>
      </c>
      <c r="AC73" s="974">
        <f t="shared" si="40"/>
        <v>384.96063888335453</v>
      </c>
      <c r="AD73" s="974">
        <f t="shared" si="41"/>
        <v>513.52558045345347</v>
      </c>
      <c r="AE73" s="973">
        <f t="shared" si="46"/>
        <v>5501.1198726582925</v>
      </c>
      <c r="AF73" s="974">
        <f t="shared" si="42"/>
        <v>1360.5764607475226</v>
      </c>
      <c r="AG73" s="974">
        <f t="shared" si="43"/>
        <v>8277.7861595113864</v>
      </c>
      <c r="AH73" s="974">
        <f t="shared" si="44"/>
        <v>-2776.6662868530962</v>
      </c>
      <c r="AI73" s="975">
        <f t="shared" si="45"/>
        <v>-1416.0898261055727</v>
      </c>
    </row>
    <row r="74" spans="2:35" x14ac:dyDescent="0.3">
      <c r="B74" s="900">
        <v>10</v>
      </c>
      <c r="C74" s="922">
        <f>'Energy Inputs'!F39</f>
        <v>1</v>
      </c>
      <c r="D74" s="918">
        <f>C74*'Energy Inputs'!$F$24</f>
        <v>11.617000000000001</v>
      </c>
      <c r="E74" s="197">
        <f>'Energy margins'!$S$12</f>
        <v>72</v>
      </c>
      <c r="F74" s="197">
        <f t="shared" si="33"/>
        <v>836.42400000000009</v>
      </c>
      <c r="G74" s="918">
        <f>'Energy Inputs'!$D$10</f>
        <v>175.95</v>
      </c>
      <c r="H74" s="197">
        <f t="shared" si="34"/>
        <v>1012.374</v>
      </c>
      <c r="I74" s="197"/>
      <c r="J74" s="947">
        <f>IF(ISERROR(IF(MOD(IF(AND(B74&gt;='Energy margins'!$T$44,B74&lt;='Energy margins'!$U$44),B74-'Energy margins'!$T$44,""),'Energy margins'!$V$44)=0,'Energy margins'!$S$44,0)),0,IF(MOD(IF(AND(B74&gt;='Energy margins'!$T$44,B74&lt;='Energy margins'!$U$44),B74-'Energy margins'!$T$44,""),'Energy margins'!$V$44)=0,'Energy margins'!$S$44,0))</f>
        <v>0</v>
      </c>
      <c r="K74" s="918">
        <f>IF(ISERROR(IF(MOD(IF(AND(B74&gt;='Energy margins'!$T$45,B74&lt;='Energy margins'!$U$45),B74-'Energy margins'!$T$45,""),'Energy margins'!$V$45)=0,'Energy margins'!$S$45,0)),0,IF(MOD(IF(AND(B74&gt;='Energy margins'!$T$45,B74&lt;='Energy margins'!$U$45),B74-'Energy margins'!$T$45,""),'Energy margins'!$V$45)=0,'Energy margins'!$S$45,0))</f>
        <v>0</v>
      </c>
      <c r="L74" s="918">
        <f>IF(ISERROR(IF(MOD(IF(AND(B74&gt;='Energy margins'!$T$46,B74&lt;='Energy margins'!$U$46),B74-'Energy margins'!$T$46,""),'Energy margins'!$V$46)=0,'Energy margins'!$S$46,0)),0,IF(MOD(IF(AND(B74&gt;='Energy margins'!$T$46,B74&lt;='Energy margins'!$U$46),B74-'Energy margins'!$T$46,""),'Energy margins'!$V$46)=0,'Energy margins'!$S$46,0))</f>
        <v>0</v>
      </c>
      <c r="M74" s="918">
        <f>IF(ISERROR(IF(MOD(IF(AND(B74&gt;='Energy margins'!$T$47,B74&lt;='Energy margins'!$U$47),B74-'Energy margins'!$T$47,""),'Energy margins'!$V$47)=0,'Energy margins'!$S$47,0)),0,IF(MOD(IF(AND(B74&gt;='Energy margins'!$T$47,B74&lt;='Energy margins'!$U$47),B74-'Energy margins'!$T$47,""),'Energy margins'!$V$47)=0,'Energy margins'!$S$47,0))</f>
        <v>19.974783999999993</v>
      </c>
      <c r="N74" s="918">
        <f>IF(ISERROR(IF(MOD(IF(AND(B74&gt;='Energy margins'!$T$50,B74&lt;='Energy margins'!$U$50),B74-'Energy margins'!$T$50,""),'Energy margins'!$V$50)=0,'Energy margins'!$S$50,0)),0,IF(MOD(IF(AND(B74&gt;='Energy margins'!$T$50,B74&lt;='Energy margins'!$U$50),B74-'Energy margins'!$T$50,""),'Energy margins'!$V$50)=0,'Energy margins'!$S$50,0))</f>
        <v>60.4</v>
      </c>
      <c r="O74" s="918">
        <f>IF(ISERROR(IF(MOD(IF(AND(B74&gt;='Energy margins'!$T$53,B74&lt;='Energy margins'!$U$53),B74-'Energy margins'!$T$53,""),'Energy margins'!$V$53)=0,'Energy margins'!$S$53,0)),0,IF(MOD(IF(AND(B74&gt;='Energy margins'!$T$53,B74&lt;='Energy margins'!$U$53),B74-'Energy margins'!$T$53,""),'Energy margins'!$V$53)=0,'Energy margins'!$S$53,0))</f>
        <v>89.24</v>
      </c>
      <c r="P74" s="918">
        <f>IF(ISERROR(IF(MOD(IF(AND(B74&gt;='Energy margins'!$T$56,B74&lt;='Energy margins'!$U$56),B74-'Energy margins'!$T$56,""),'Energy margins'!$V$56)=0,'Energy margins'!$S$56,0)),0,IF(MOD(IF(AND(B74&gt;='Energy margins'!$T$56,B74&lt;='Energy margins'!$U$56),B74-'Energy margins'!$T$56,""),'Energy margins'!$V$56)=0,'Energy margins'!$S$56,0))</f>
        <v>26.964000000000002</v>
      </c>
      <c r="Q74" s="918">
        <f>IF(ISERROR(IF(MOD(IF(AND(B74&gt;='Energy margins'!$T$59,B74&lt;='Energy margins'!$U$59),B74-'Energy margins'!$T$59,""),'Energy margins'!$V$59)=0,'Energy margins'!$S$59,0)),0,IF(MOD(IF(AND(B74&gt;='Energy margins'!$T$59,B74&lt;='Energy margins'!$U$59),B74-'Energy margins'!$T$59,""),'Energy margins'!$V$59)=0,'Energy margins'!$S$59,0))</f>
        <v>112.99999999999999</v>
      </c>
      <c r="R74" s="918">
        <f>IF(ISERROR(IF(MOD(IF(AND(B74&gt;='Energy margins'!$T$60,B74&lt;='Energy margins'!$U$60),B74-'Energy margins'!$T$60,""),'Energy margins'!$V$60)=0,'Energy margins'!$S$60,0)),0,IF(MOD(IF(AND(B74&gt;='Energy margins'!$T$60,B74&lt;='Energy margins'!$U$60),B74-'Energy margins'!$T$60,""),'Energy margins'!$V$60)=0,'Energy margins'!$S$60,0))</f>
        <v>0</v>
      </c>
      <c r="S74" s="918">
        <f>IF(ISERROR(IF(MOD(IF(AND(B74&gt;='Energy margins'!$T$61,B74&lt;='Energy margins'!$U$61),B74-'Energy margins'!$T$61,""),'Energy margins'!$V$61)=0,'Energy margins'!$S$61,0)),0,IF(MOD(IF(AND(B74&gt;='Energy margins'!$T$61,B74&lt;='Energy margins'!$U$61),B74-'Energy margins'!$T$61,""),'Energy margins'!$V$61)=0,'Energy margins'!$S$61,0))</f>
        <v>0</v>
      </c>
      <c r="T74" s="918">
        <f>IF(ISERROR(IF(MOD(IF(AND(B74&gt;='Energy margins'!$T$62,B74&lt;='Energy margins'!$U$62),B74-'Energy margins'!$T$62,""),'Energy margins'!$V$62)=0,'Energy margins'!$S$62,0)),0,IF(MOD(IF(AND(B74&gt;='Energy margins'!$T$62,B74&lt;='Energy margins'!$U$62),B74-'Energy margins'!$T$62,""),'Energy margins'!$V$62)=0,'Energy margins'!$S$62,0))</f>
        <v>0</v>
      </c>
      <c r="U74" s="944">
        <f t="shared" si="35"/>
        <v>309.57878399999998</v>
      </c>
      <c r="V74" s="197"/>
      <c r="W74" s="197">
        <f t="shared" si="36"/>
        <v>309.57878399999998</v>
      </c>
      <c r="X74" s="197">
        <f t="shared" si="30"/>
        <v>526.84521600000016</v>
      </c>
      <c r="Y74" s="197">
        <f t="shared" si="31"/>
        <v>702.79521599999998</v>
      </c>
      <c r="Z74" s="973">
        <f t="shared" si="37"/>
        <v>587.66040771978783</v>
      </c>
      <c r="AA74" s="974">
        <f t="shared" si="38"/>
        <v>123.62013612509521</v>
      </c>
      <c r="AB74" s="974">
        <f t="shared" si="39"/>
        <v>217.50594725502387</v>
      </c>
      <c r="AC74" s="974">
        <f t="shared" si="40"/>
        <v>370.15446046476393</v>
      </c>
      <c r="AD74" s="974">
        <f t="shared" si="41"/>
        <v>493.77459658985907</v>
      </c>
      <c r="AE74" s="973">
        <f t="shared" si="46"/>
        <v>6088.7802803780805</v>
      </c>
      <c r="AF74" s="974">
        <f t="shared" si="42"/>
        <v>1484.1965968726179</v>
      </c>
      <c r="AG74" s="974">
        <f t="shared" si="43"/>
        <v>8495.2921067664101</v>
      </c>
      <c r="AH74" s="974">
        <f t="shared" si="44"/>
        <v>-2406.5118263883323</v>
      </c>
      <c r="AI74" s="975">
        <f t="shared" si="45"/>
        <v>-922.31522951571355</v>
      </c>
    </row>
    <row r="75" spans="2:35" x14ac:dyDescent="0.3">
      <c r="B75" s="900">
        <v>11</v>
      </c>
      <c r="C75" s="922">
        <f>'Energy Inputs'!F40</f>
        <v>1</v>
      </c>
      <c r="D75" s="918">
        <f>C75*'Energy Inputs'!$F$24</f>
        <v>11.617000000000001</v>
      </c>
      <c r="E75" s="197">
        <f>'Energy margins'!$S$12</f>
        <v>72</v>
      </c>
      <c r="F75" s="197">
        <f t="shared" si="33"/>
        <v>836.42400000000009</v>
      </c>
      <c r="G75" s="918">
        <f>'Energy Inputs'!$D$10</f>
        <v>175.95</v>
      </c>
      <c r="H75" s="197">
        <f t="shared" si="34"/>
        <v>1012.374</v>
      </c>
      <c r="I75" s="197"/>
      <c r="J75" s="947">
        <f>IF(ISERROR(IF(MOD(IF(AND(B75&gt;='Energy margins'!$T$44,B75&lt;='Energy margins'!$U$44),B75-'Energy margins'!$T$44,""),'Energy margins'!$V$44)=0,'Energy margins'!$S$44,0)),0,IF(MOD(IF(AND(B75&gt;='Energy margins'!$T$44,B75&lt;='Energy margins'!$U$44),B75-'Energy margins'!$T$44,""),'Energy margins'!$V$44)=0,'Energy margins'!$S$44,0))</f>
        <v>0</v>
      </c>
      <c r="K75" s="918">
        <f>IF(ISERROR(IF(MOD(IF(AND(B75&gt;='Energy margins'!$T$45,B75&lt;='Energy margins'!$U$45),B75-'Energy margins'!$T$45,""),'Energy margins'!$V$45)=0,'Energy margins'!$S$45,0)),0,IF(MOD(IF(AND(B75&gt;='Energy margins'!$T$45,B75&lt;='Energy margins'!$U$45),B75-'Energy margins'!$T$45,""),'Energy margins'!$V$45)=0,'Energy margins'!$S$45,0))</f>
        <v>0</v>
      </c>
      <c r="L75" s="918">
        <f>IF(ISERROR(IF(MOD(IF(AND(B75&gt;='Energy margins'!$T$46,B75&lt;='Energy margins'!$U$46),B75-'Energy margins'!$T$46,""),'Energy margins'!$V$46)=0,'Energy margins'!$S$46,0)),0,IF(MOD(IF(AND(B75&gt;='Energy margins'!$T$46,B75&lt;='Energy margins'!$U$46),B75-'Energy margins'!$T$46,""),'Energy margins'!$V$46)=0,'Energy margins'!$S$46,0))</f>
        <v>0</v>
      </c>
      <c r="M75" s="918">
        <f>IF(ISERROR(IF(MOD(IF(AND(B75&gt;='Energy margins'!$T$47,B75&lt;='Energy margins'!$U$47),B75-'Energy margins'!$T$47,""),'Energy margins'!$V$47)=0,'Energy margins'!$S$47,0)),0,IF(MOD(IF(AND(B75&gt;='Energy margins'!$T$47,B75&lt;='Energy margins'!$U$47),B75-'Energy margins'!$T$47,""),'Energy margins'!$V$47)=0,'Energy margins'!$S$47,0))</f>
        <v>19.974783999999993</v>
      </c>
      <c r="N75" s="918">
        <f>IF(ISERROR(IF(MOD(IF(AND(B75&gt;='Energy margins'!$T$50,B75&lt;='Energy margins'!$U$50),B75-'Energy margins'!$T$50,""),'Energy margins'!$V$50)=0,'Energy margins'!$S$50,0)),0,IF(MOD(IF(AND(B75&gt;='Energy margins'!$T$50,B75&lt;='Energy margins'!$U$50),B75-'Energy margins'!$T$50,""),'Energy margins'!$V$50)=0,'Energy margins'!$S$50,0))</f>
        <v>60.4</v>
      </c>
      <c r="O75" s="918">
        <f>IF(ISERROR(IF(MOD(IF(AND(B75&gt;='Energy margins'!$T$53,B75&lt;='Energy margins'!$U$53),B75-'Energy margins'!$T$53,""),'Energy margins'!$V$53)=0,'Energy margins'!$S$53,0)),0,IF(MOD(IF(AND(B75&gt;='Energy margins'!$T$53,B75&lt;='Energy margins'!$U$53),B75-'Energy margins'!$T$53,""),'Energy margins'!$V$53)=0,'Energy margins'!$S$53,0))</f>
        <v>89.24</v>
      </c>
      <c r="P75" s="918">
        <f>IF(ISERROR(IF(MOD(IF(AND(B75&gt;='Energy margins'!$T$56,B75&lt;='Energy margins'!$U$56),B75-'Energy margins'!$T$56,""),'Energy margins'!$V$56)=0,'Energy margins'!$S$56,0)),0,IF(MOD(IF(AND(B75&gt;='Energy margins'!$T$56,B75&lt;='Energy margins'!$U$56),B75-'Energy margins'!$T$56,""),'Energy margins'!$V$56)=0,'Energy margins'!$S$56,0))</f>
        <v>26.964000000000002</v>
      </c>
      <c r="Q75" s="918">
        <f>IF(ISERROR(IF(MOD(IF(AND(B75&gt;='Energy margins'!$T$59,B75&lt;='Energy margins'!$U$59),B75-'Energy margins'!$T$59,""),'Energy margins'!$V$59)=0,'Energy margins'!$S$59,0)),0,IF(MOD(IF(AND(B75&gt;='Energy margins'!$T$59,B75&lt;='Energy margins'!$U$59),B75-'Energy margins'!$T$59,""),'Energy margins'!$V$59)=0,'Energy margins'!$S$59,0))</f>
        <v>112.99999999999999</v>
      </c>
      <c r="R75" s="918">
        <f>IF(ISERROR(IF(MOD(IF(AND(B75&gt;='Energy margins'!$T$60,B75&lt;='Energy margins'!$U$60),B75-'Energy margins'!$T$60,""),'Energy margins'!$V$60)=0,'Energy margins'!$S$60,0)),0,IF(MOD(IF(AND(B75&gt;='Energy margins'!$T$60,B75&lt;='Energy margins'!$U$60),B75-'Energy margins'!$T$60,""),'Energy margins'!$V$60)=0,'Energy margins'!$S$60,0))</f>
        <v>0</v>
      </c>
      <c r="S75" s="918">
        <f>IF(ISERROR(IF(MOD(IF(AND(B75&gt;='Energy margins'!$T$61,B75&lt;='Energy margins'!$U$61),B75-'Energy margins'!$T$61,""),'Energy margins'!$V$61)=0,'Energy margins'!$S$61,0)),0,IF(MOD(IF(AND(B75&gt;='Energy margins'!$T$61,B75&lt;='Energy margins'!$U$61),B75-'Energy margins'!$T$61,""),'Energy margins'!$V$61)=0,'Energy margins'!$S$61,0))</f>
        <v>0</v>
      </c>
      <c r="T75" s="918">
        <f>IF(ISERROR(IF(MOD(IF(AND(B75&gt;='Energy margins'!$T$62,B75&lt;='Energy margins'!$U$62),B75-'Energy margins'!$T$62,""),'Energy margins'!$V$62)=0,'Energy margins'!$S$62,0)),0,IF(MOD(IF(AND(B75&gt;='Energy margins'!$T$62,B75&lt;='Energy margins'!$U$62),B75-'Energy margins'!$T$62,""),'Energy margins'!$V$62)=0,'Energy margins'!$S$62,0))</f>
        <v>0</v>
      </c>
      <c r="U75" s="944">
        <f t="shared" si="35"/>
        <v>309.57878399999998</v>
      </c>
      <c r="V75" s="197"/>
      <c r="W75" s="197">
        <f t="shared" si="36"/>
        <v>309.57878399999998</v>
      </c>
      <c r="X75" s="197">
        <f t="shared" si="30"/>
        <v>526.84521600000016</v>
      </c>
      <c r="Y75" s="197">
        <f t="shared" si="31"/>
        <v>702.79521599999998</v>
      </c>
      <c r="Z75" s="973">
        <f t="shared" si="37"/>
        <v>565.05808434594974</v>
      </c>
      <c r="AA75" s="974">
        <f t="shared" si="38"/>
        <v>118.86551550489925</v>
      </c>
      <c r="AB75" s="974">
        <f t="shared" si="39"/>
        <v>209.1403338990614</v>
      </c>
      <c r="AC75" s="974">
        <f t="shared" si="40"/>
        <v>355.91775044688842</v>
      </c>
      <c r="AD75" s="974">
        <f t="shared" si="41"/>
        <v>474.78326595178754</v>
      </c>
      <c r="AE75" s="973">
        <f t="shared" si="46"/>
        <v>6653.8383647240298</v>
      </c>
      <c r="AF75" s="974">
        <f t="shared" si="42"/>
        <v>1603.0621123775172</v>
      </c>
      <c r="AG75" s="974">
        <f t="shared" si="43"/>
        <v>8704.4324406654723</v>
      </c>
      <c r="AH75" s="974">
        <f t="shared" si="44"/>
        <v>-2050.5940759414439</v>
      </c>
      <c r="AI75" s="975">
        <f t="shared" si="45"/>
        <v>-447.53196356392601</v>
      </c>
    </row>
    <row r="76" spans="2:35" x14ac:dyDescent="0.3">
      <c r="B76" s="900">
        <v>12</v>
      </c>
      <c r="C76" s="922">
        <f>'Energy Inputs'!F41</f>
        <v>1</v>
      </c>
      <c r="D76" s="918">
        <f>C76*'Energy Inputs'!$F$24</f>
        <v>11.617000000000001</v>
      </c>
      <c r="E76" s="197">
        <f>'Energy margins'!$S$12</f>
        <v>72</v>
      </c>
      <c r="F76" s="197">
        <f t="shared" si="33"/>
        <v>836.42400000000009</v>
      </c>
      <c r="G76" s="918">
        <f>'Energy Inputs'!$D$10</f>
        <v>175.95</v>
      </c>
      <c r="H76" s="197">
        <f t="shared" si="34"/>
        <v>1012.374</v>
      </c>
      <c r="I76" s="197"/>
      <c r="J76" s="947">
        <f>IF(ISERROR(IF(MOD(IF(AND(B76&gt;='Energy margins'!$T$44,B76&lt;='Energy margins'!$U$44),B76-'Energy margins'!$T$44,""),'Energy margins'!$V$44)=0,'Energy margins'!$S$44,0)),0,IF(MOD(IF(AND(B76&gt;='Energy margins'!$T$44,B76&lt;='Energy margins'!$U$44),B76-'Energy margins'!$T$44,""),'Energy margins'!$V$44)=0,'Energy margins'!$S$44,0))</f>
        <v>0</v>
      </c>
      <c r="K76" s="918">
        <f>IF(ISERROR(IF(MOD(IF(AND(B76&gt;='Energy margins'!$T$45,B76&lt;='Energy margins'!$U$45),B76-'Energy margins'!$T$45,""),'Energy margins'!$V$45)=0,'Energy margins'!$S$45,0)),0,IF(MOD(IF(AND(B76&gt;='Energy margins'!$T$45,B76&lt;='Energy margins'!$U$45),B76-'Energy margins'!$T$45,""),'Energy margins'!$V$45)=0,'Energy margins'!$S$45,0))</f>
        <v>0</v>
      </c>
      <c r="L76" s="918">
        <f>IF(ISERROR(IF(MOD(IF(AND(B76&gt;='Energy margins'!$T$46,B76&lt;='Energy margins'!$U$46),B76-'Energy margins'!$T$46,""),'Energy margins'!$V$46)=0,'Energy margins'!$S$46,0)),0,IF(MOD(IF(AND(B76&gt;='Energy margins'!$T$46,B76&lt;='Energy margins'!$U$46),B76-'Energy margins'!$T$46,""),'Energy margins'!$V$46)=0,'Energy margins'!$S$46,0))</f>
        <v>0</v>
      </c>
      <c r="M76" s="918">
        <f>IF(ISERROR(IF(MOD(IF(AND(B76&gt;='Energy margins'!$T$47,B76&lt;='Energy margins'!$U$47),B76-'Energy margins'!$T$47,""),'Energy margins'!$V$47)=0,'Energy margins'!$S$47,0)),0,IF(MOD(IF(AND(B76&gt;='Energy margins'!$T$47,B76&lt;='Energy margins'!$U$47),B76-'Energy margins'!$T$47,""),'Energy margins'!$V$47)=0,'Energy margins'!$S$47,0))</f>
        <v>19.974783999999993</v>
      </c>
      <c r="N76" s="918">
        <f>IF(ISERROR(IF(MOD(IF(AND(B76&gt;='Energy margins'!$T$50,B76&lt;='Energy margins'!$U$50),B76-'Energy margins'!$T$50,""),'Energy margins'!$V$50)=0,'Energy margins'!$S$50,0)),0,IF(MOD(IF(AND(B76&gt;='Energy margins'!$T$50,B76&lt;='Energy margins'!$U$50),B76-'Energy margins'!$T$50,""),'Energy margins'!$V$50)=0,'Energy margins'!$S$50,0))</f>
        <v>60.4</v>
      </c>
      <c r="O76" s="918">
        <f>IF(ISERROR(IF(MOD(IF(AND(B76&gt;='Energy margins'!$T$53,B76&lt;='Energy margins'!$U$53),B76-'Energy margins'!$T$53,""),'Energy margins'!$V$53)=0,'Energy margins'!$S$53,0)),0,IF(MOD(IF(AND(B76&gt;='Energy margins'!$T$53,B76&lt;='Energy margins'!$U$53),B76-'Energy margins'!$T$53,""),'Energy margins'!$V$53)=0,'Energy margins'!$S$53,0))</f>
        <v>89.24</v>
      </c>
      <c r="P76" s="918">
        <f>IF(ISERROR(IF(MOD(IF(AND(B76&gt;='Energy margins'!$T$56,B76&lt;='Energy margins'!$U$56),B76-'Energy margins'!$T$56,""),'Energy margins'!$V$56)=0,'Energy margins'!$S$56,0)),0,IF(MOD(IF(AND(B76&gt;='Energy margins'!$T$56,B76&lt;='Energy margins'!$U$56),B76-'Energy margins'!$T$56,""),'Energy margins'!$V$56)=0,'Energy margins'!$S$56,0))</f>
        <v>26.964000000000002</v>
      </c>
      <c r="Q76" s="918">
        <f>IF(ISERROR(IF(MOD(IF(AND(B76&gt;='Energy margins'!$T$59,B76&lt;='Energy margins'!$U$59),B76-'Energy margins'!$T$59,""),'Energy margins'!$V$59)=0,'Energy margins'!$S$59,0)),0,IF(MOD(IF(AND(B76&gt;='Energy margins'!$T$59,B76&lt;='Energy margins'!$U$59),B76-'Energy margins'!$T$59,""),'Energy margins'!$V$59)=0,'Energy margins'!$S$59,0))</f>
        <v>112.99999999999999</v>
      </c>
      <c r="R76" s="918">
        <f>IF(ISERROR(IF(MOD(IF(AND(B76&gt;='Energy margins'!$T$60,B76&lt;='Energy margins'!$U$60),B76-'Energy margins'!$T$60,""),'Energy margins'!$V$60)=0,'Energy margins'!$S$60,0)),0,IF(MOD(IF(AND(B76&gt;='Energy margins'!$T$60,B76&lt;='Energy margins'!$U$60),B76-'Energy margins'!$T$60,""),'Energy margins'!$V$60)=0,'Energy margins'!$S$60,0))</f>
        <v>0</v>
      </c>
      <c r="S76" s="918">
        <f>IF(ISERROR(IF(MOD(IF(AND(B76&gt;='Energy margins'!$T$61,B76&lt;='Energy margins'!$U$61),B76-'Energy margins'!$T$61,""),'Energy margins'!$V$61)=0,'Energy margins'!$S$61,0)),0,IF(MOD(IF(AND(B76&gt;='Energy margins'!$T$61,B76&lt;='Energy margins'!$U$61),B76-'Energy margins'!$T$61,""),'Energy margins'!$V$61)=0,'Energy margins'!$S$61,0))</f>
        <v>0</v>
      </c>
      <c r="T76" s="918">
        <f>IF(ISERROR(IF(MOD(IF(AND(B76&gt;='Energy margins'!$T$62,B76&lt;='Energy margins'!$U$62),B76-'Energy margins'!$T$62,""),'Energy margins'!$V$62)=0,'Energy margins'!$S$62,0)),0,IF(MOD(IF(AND(B76&gt;='Energy margins'!$T$62,B76&lt;='Energy margins'!$U$62),B76-'Energy margins'!$T$62,""),'Energy margins'!$V$62)=0,'Energy margins'!$S$62,0))</f>
        <v>0</v>
      </c>
      <c r="U76" s="944">
        <f t="shared" si="35"/>
        <v>309.57878399999998</v>
      </c>
      <c r="V76" s="197"/>
      <c r="W76" s="197">
        <f t="shared" si="36"/>
        <v>309.57878399999998</v>
      </c>
      <c r="X76" s="197">
        <f t="shared" si="30"/>
        <v>526.84521600000016</v>
      </c>
      <c r="Y76" s="197">
        <f t="shared" si="31"/>
        <v>702.79521599999998</v>
      </c>
      <c r="Z76" s="973">
        <f t="shared" si="37"/>
        <v>543.32508110187484</v>
      </c>
      <c r="AA76" s="974">
        <f t="shared" si="38"/>
        <v>114.29376490855698</v>
      </c>
      <c r="AB76" s="974">
        <f t="shared" si="39"/>
        <v>201.09647490294367</v>
      </c>
      <c r="AC76" s="974">
        <f t="shared" si="40"/>
        <v>342.22860619893117</v>
      </c>
      <c r="AD76" s="974">
        <f t="shared" si="41"/>
        <v>456.52237110748808</v>
      </c>
      <c r="AE76" s="973">
        <f t="shared" si="46"/>
        <v>7197.163445825905</v>
      </c>
      <c r="AF76" s="974">
        <f t="shared" si="42"/>
        <v>1717.3558772860742</v>
      </c>
      <c r="AG76" s="974">
        <f t="shared" si="43"/>
        <v>8905.5289155684168</v>
      </c>
      <c r="AH76" s="974">
        <f t="shared" si="44"/>
        <v>-1708.3654697425127</v>
      </c>
      <c r="AI76" s="975">
        <f t="shared" si="45"/>
        <v>8.9904075435620712</v>
      </c>
    </row>
    <row r="77" spans="2:35" x14ac:dyDescent="0.3">
      <c r="B77" s="900">
        <v>13</v>
      </c>
      <c r="C77" s="922">
        <f>'Energy Inputs'!F42</f>
        <v>1</v>
      </c>
      <c r="D77" s="918">
        <f>C77*'Energy Inputs'!$F$24</f>
        <v>11.617000000000001</v>
      </c>
      <c r="E77" s="197">
        <f>'Energy margins'!$S$12</f>
        <v>72</v>
      </c>
      <c r="F77" s="197">
        <f t="shared" si="33"/>
        <v>836.42400000000009</v>
      </c>
      <c r="G77" s="918">
        <f>'Energy Inputs'!$D$10</f>
        <v>175.95</v>
      </c>
      <c r="H77" s="197">
        <f t="shared" si="34"/>
        <v>1012.374</v>
      </c>
      <c r="I77" s="197"/>
      <c r="J77" s="947">
        <f>IF(ISERROR(IF(MOD(IF(AND(B77&gt;='Energy margins'!$T$44,B77&lt;='Energy margins'!$U$44),B77-'Energy margins'!$T$44,""),'Energy margins'!$V$44)=0,'Energy margins'!$S$44,0)),0,IF(MOD(IF(AND(B77&gt;='Energy margins'!$T$44,B77&lt;='Energy margins'!$U$44),B77-'Energy margins'!$T$44,""),'Energy margins'!$V$44)=0,'Energy margins'!$S$44,0))</f>
        <v>0</v>
      </c>
      <c r="K77" s="918">
        <f>IF(ISERROR(IF(MOD(IF(AND(B77&gt;='Energy margins'!$T$45,B77&lt;='Energy margins'!$U$45),B77-'Energy margins'!$T$45,""),'Energy margins'!$V$45)=0,'Energy margins'!$S$45,0)),0,IF(MOD(IF(AND(B77&gt;='Energy margins'!$T$45,B77&lt;='Energy margins'!$U$45),B77-'Energy margins'!$T$45,""),'Energy margins'!$V$45)=0,'Energy margins'!$S$45,0))</f>
        <v>0</v>
      </c>
      <c r="L77" s="918">
        <f>IF(ISERROR(IF(MOD(IF(AND(B77&gt;='Energy margins'!$T$46,B77&lt;='Energy margins'!$U$46),B77-'Energy margins'!$T$46,""),'Energy margins'!$V$46)=0,'Energy margins'!$S$46,0)),0,IF(MOD(IF(AND(B77&gt;='Energy margins'!$T$46,B77&lt;='Energy margins'!$U$46),B77-'Energy margins'!$T$46,""),'Energy margins'!$V$46)=0,'Energy margins'!$S$46,0))</f>
        <v>0</v>
      </c>
      <c r="M77" s="918">
        <f>IF(ISERROR(IF(MOD(IF(AND(B77&gt;='Energy margins'!$T$47,B77&lt;='Energy margins'!$U$47),B77-'Energy margins'!$T$47,""),'Energy margins'!$V$47)=0,'Energy margins'!$S$47,0)),0,IF(MOD(IF(AND(B77&gt;='Energy margins'!$T$47,B77&lt;='Energy margins'!$U$47),B77-'Energy margins'!$T$47,""),'Energy margins'!$V$47)=0,'Energy margins'!$S$47,0))</f>
        <v>19.974783999999993</v>
      </c>
      <c r="N77" s="918">
        <f>IF(ISERROR(IF(MOD(IF(AND(B77&gt;='Energy margins'!$T$50,B77&lt;='Energy margins'!$U$50),B77-'Energy margins'!$T$50,""),'Energy margins'!$V$50)=0,'Energy margins'!$S$50,0)),0,IF(MOD(IF(AND(B77&gt;='Energy margins'!$T$50,B77&lt;='Energy margins'!$U$50),B77-'Energy margins'!$T$50,""),'Energy margins'!$V$50)=0,'Energy margins'!$S$50,0))</f>
        <v>60.4</v>
      </c>
      <c r="O77" s="918">
        <f>IF(ISERROR(IF(MOD(IF(AND(B77&gt;='Energy margins'!$T$53,B77&lt;='Energy margins'!$U$53),B77-'Energy margins'!$T$53,""),'Energy margins'!$V$53)=0,'Energy margins'!$S$53,0)),0,IF(MOD(IF(AND(B77&gt;='Energy margins'!$T$53,B77&lt;='Energy margins'!$U$53),B77-'Energy margins'!$T$53,""),'Energy margins'!$V$53)=0,'Energy margins'!$S$53,0))</f>
        <v>89.24</v>
      </c>
      <c r="P77" s="918">
        <f>IF(ISERROR(IF(MOD(IF(AND(B77&gt;='Energy margins'!$T$56,B77&lt;='Energy margins'!$U$56),B77-'Energy margins'!$T$56,""),'Energy margins'!$V$56)=0,'Energy margins'!$S$56,0)),0,IF(MOD(IF(AND(B77&gt;='Energy margins'!$T$56,B77&lt;='Energy margins'!$U$56),B77-'Energy margins'!$T$56,""),'Energy margins'!$V$56)=0,'Energy margins'!$S$56,0))</f>
        <v>26.964000000000002</v>
      </c>
      <c r="Q77" s="918">
        <f>IF(ISERROR(IF(MOD(IF(AND(B77&gt;='Energy margins'!$T$59,B77&lt;='Energy margins'!$U$59),B77-'Energy margins'!$T$59,""),'Energy margins'!$V$59)=0,'Energy margins'!$S$59,0)),0,IF(MOD(IF(AND(B77&gt;='Energy margins'!$T$59,B77&lt;='Energy margins'!$U$59),B77-'Energy margins'!$T$59,""),'Energy margins'!$V$59)=0,'Energy margins'!$S$59,0))</f>
        <v>112.99999999999999</v>
      </c>
      <c r="R77" s="918">
        <f>IF(ISERROR(IF(MOD(IF(AND(B77&gt;='Energy margins'!$T$60,B77&lt;='Energy margins'!$U$60),B77-'Energy margins'!$T$60,""),'Energy margins'!$V$60)=0,'Energy margins'!$S$60,0)),0,IF(MOD(IF(AND(B77&gt;='Energy margins'!$T$60,B77&lt;='Energy margins'!$U$60),B77-'Energy margins'!$T$60,""),'Energy margins'!$V$60)=0,'Energy margins'!$S$60,0))</f>
        <v>0</v>
      </c>
      <c r="S77" s="918">
        <f>IF(ISERROR(IF(MOD(IF(AND(B77&gt;='Energy margins'!$T$61,B77&lt;='Energy margins'!$U$61),B77-'Energy margins'!$T$61,""),'Energy margins'!$V$61)=0,'Energy margins'!$S$61,0)),0,IF(MOD(IF(AND(B77&gt;='Energy margins'!$T$61,B77&lt;='Energy margins'!$U$61),B77-'Energy margins'!$T$61,""),'Energy margins'!$V$61)=0,'Energy margins'!$S$61,0))</f>
        <v>0</v>
      </c>
      <c r="T77" s="918">
        <f>IF(ISERROR(IF(MOD(IF(AND(B77&gt;='Energy margins'!$T$62,B77&lt;='Energy margins'!$U$62),B77-'Energy margins'!$T$62,""),'Energy margins'!$V$62)=0,'Energy margins'!$S$62,0)),0,IF(MOD(IF(AND(B77&gt;='Energy margins'!$T$62,B77&lt;='Energy margins'!$U$62),B77-'Energy margins'!$T$62,""),'Energy margins'!$V$62)=0,'Energy margins'!$S$62,0))</f>
        <v>0</v>
      </c>
      <c r="U77" s="944">
        <f t="shared" si="35"/>
        <v>309.57878399999998</v>
      </c>
      <c r="V77" s="197"/>
      <c r="W77" s="197">
        <f t="shared" si="36"/>
        <v>309.57878399999998</v>
      </c>
      <c r="X77" s="197">
        <f t="shared" si="30"/>
        <v>526.84521600000016</v>
      </c>
      <c r="Y77" s="197">
        <f t="shared" si="31"/>
        <v>702.79521599999998</v>
      </c>
      <c r="Z77" s="973">
        <f t="shared" si="37"/>
        <v>522.42796259795648</v>
      </c>
      <c r="AA77" s="974">
        <f t="shared" si="38"/>
        <v>109.89785087361246</v>
      </c>
      <c r="AB77" s="974">
        <f t="shared" si="39"/>
        <v>193.36199509898427</v>
      </c>
      <c r="AC77" s="974">
        <f t="shared" si="40"/>
        <v>329.06596749897221</v>
      </c>
      <c r="AD77" s="974">
        <f t="shared" si="41"/>
        <v>438.96381837258457</v>
      </c>
      <c r="AE77" s="973">
        <f t="shared" si="46"/>
        <v>7719.5914084238611</v>
      </c>
      <c r="AF77" s="974">
        <f t="shared" si="42"/>
        <v>1827.2537281596867</v>
      </c>
      <c r="AG77" s="974">
        <f t="shared" si="43"/>
        <v>9098.8909106674018</v>
      </c>
      <c r="AH77" s="974">
        <f t="shared" si="44"/>
        <v>-1379.2995022435405</v>
      </c>
      <c r="AI77" s="975">
        <f t="shared" si="45"/>
        <v>447.95422591614664</v>
      </c>
    </row>
    <row r="78" spans="2:35" x14ac:dyDescent="0.3">
      <c r="B78" s="900">
        <v>14</v>
      </c>
      <c r="C78" s="922">
        <f>'Energy Inputs'!F43</f>
        <v>1</v>
      </c>
      <c r="D78" s="918">
        <f>C78*'Energy Inputs'!$F$24</f>
        <v>11.617000000000001</v>
      </c>
      <c r="E78" s="197">
        <f>'Energy margins'!$S$12</f>
        <v>72</v>
      </c>
      <c r="F78" s="197">
        <f t="shared" si="33"/>
        <v>836.42400000000009</v>
      </c>
      <c r="G78" s="918">
        <f>'Energy Inputs'!$D$10</f>
        <v>175.95</v>
      </c>
      <c r="H78" s="197">
        <f t="shared" si="34"/>
        <v>1012.374</v>
      </c>
      <c r="I78" s="197"/>
      <c r="J78" s="947">
        <f>IF(ISERROR(IF(MOD(IF(AND(B78&gt;='Energy margins'!$T$44,B78&lt;='Energy margins'!$U$44),B78-'Energy margins'!$T$44,""),'Energy margins'!$V$44)=0,'Energy margins'!$S$44,0)),0,IF(MOD(IF(AND(B78&gt;='Energy margins'!$T$44,B78&lt;='Energy margins'!$U$44),B78-'Energy margins'!$T$44,""),'Energy margins'!$V$44)=0,'Energy margins'!$S$44,0))</f>
        <v>0</v>
      </c>
      <c r="K78" s="918">
        <f>IF(ISERROR(IF(MOD(IF(AND(B78&gt;='Energy margins'!$T$45,B78&lt;='Energy margins'!$U$45),B78-'Energy margins'!$T$45,""),'Energy margins'!$V$45)=0,'Energy margins'!$S$45,0)),0,IF(MOD(IF(AND(B78&gt;='Energy margins'!$T$45,B78&lt;='Energy margins'!$U$45),B78-'Energy margins'!$T$45,""),'Energy margins'!$V$45)=0,'Energy margins'!$S$45,0))</f>
        <v>0</v>
      </c>
      <c r="L78" s="918">
        <f>IF(ISERROR(IF(MOD(IF(AND(B78&gt;='Energy margins'!$T$46,B78&lt;='Energy margins'!$U$46),B78-'Energy margins'!$T$46,""),'Energy margins'!$V$46)=0,'Energy margins'!$S$46,0)),0,IF(MOD(IF(AND(B78&gt;='Energy margins'!$T$46,B78&lt;='Energy margins'!$U$46),B78-'Energy margins'!$T$46,""),'Energy margins'!$V$46)=0,'Energy margins'!$S$46,0))</f>
        <v>0</v>
      </c>
      <c r="M78" s="918">
        <f>IF(ISERROR(IF(MOD(IF(AND(B78&gt;='Energy margins'!$T$47,B78&lt;='Energy margins'!$U$47),B78-'Energy margins'!$T$47,""),'Energy margins'!$V$47)=0,'Energy margins'!$S$47,0)),0,IF(MOD(IF(AND(B78&gt;='Energy margins'!$T$47,B78&lt;='Energy margins'!$U$47),B78-'Energy margins'!$T$47,""),'Energy margins'!$V$47)=0,'Energy margins'!$S$47,0))</f>
        <v>19.974783999999993</v>
      </c>
      <c r="N78" s="918">
        <f>IF(ISERROR(IF(MOD(IF(AND(B78&gt;='Energy margins'!$T$50,B78&lt;='Energy margins'!$U$50),B78-'Energy margins'!$T$50,""),'Energy margins'!$V$50)=0,'Energy margins'!$S$50,0)),0,IF(MOD(IF(AND(B78&gt;='Energy margins'!$T$50,B78&lt;='Energy margins'!$U$50),B78-'Energy margins'!$T$50,""),'Energy margins'!$V$50)=0,'Energy margins'!$S$50,0))</f>
        <v>60.4</v>
      </c>
      <c r="O78" s="918">
        <f>IF(ISERROR(IF(MOD(IF(AND(B78&gt;='Energy margins'!$T$53,B78&lt;='Energy margins'!$U$53),B78-'Energy margins'!$T$53,""),'Energy margins'!$V$53)=0,'Energy margins'!$S$53,0)),0,IF(MOD(IF(AND(B78&gt;='Energy margins'!$T$53,B78&lt;='Energy margins'!$U$53),B78-'Energy margins'!$T$53,""),'Energy margins'!$V$53)=0,'Energy margins'!$S$53,0))</f>
        <v>89.24</v>
      </c>
      <c r="P78" s="918">
        <f>IF(ISERROR(IF(MOD(IF(AND(B78&gt;='Energy margins'!$T$56,B78&lt;='Energy margins'!$U$56),B78-'Energy margins'!$T$56,""),'Energy margins'!$V$56)=0,'Energy margins'!$S$56,0)),0,IF(MOD(IF(AND(B78&gt;='Energy margins'!$T$56,B78&lt;='Energy margins'!$U$56),B78-'Energy margins'!$T$56,""),'Energy margins'!$V$56)=0,'Energy margins'!$S$56,0))</f>
        <v>26.964000000000002</v>
      </c>
      <c r="Q78" s="918">
        <f>IF(ISERROR(IF(MOD(IF(AND(B78&gt;='Energy margins'!$T$59,B78&lt;='Energy margins'!$U$59),B78-'Energy margins'!$T$59,""),'Energy margins'!$V$59)=0,'Energy margins'!$S$59,0)),0,IF(MOD(IF(AND(B78&gt;='Energy margins'!$T$59,B78&lt;='Energy margins'!$U$59),B78-'Energy margins'!$T$59,""),'Energy margins'!$V$59)=0,'Energy margins'!$S$59,0))</f>
        <v>112.99999999999999</v>
      </c>
      <c r="R78" s="918">
        <f>IF(ISERROR(IF(MOD(IF(AND(B78&gt;='Energy margins'!$T$60,B78&lt;='Energy margins'!$U$60),B78-'Energy margins'!$T$60,""),'Energy margins'!$V$60)=0,'Energy margins'!$S$60,0)),0,IF(MOD(IF(AND(B78&gt;='Energy margins'!$T$60,B78&lt;='Energy margins'!$U$60),B78-'Energy margins'!$T$60,""),'Energy margins'!$V$60)=0,'Energy margins'!$S$60,0))</f>
        <v>0</v>
      </c>
      <c r="S78" s="918">
        <f>IF(ISERROR(IF(MOD(IF(AND(B78&gt;='Energy margins'!$T$61,B78&lt;='Energy margins'!$U$61),B78-'Energy margins'!$T$61,""),'Energy margins'!$V$61)=0,'Energy margins'!$S$61,0)),0,IF(MOD(IF(AND(B78&gt;='Energy margins'!$T$61,B78&lt;='Energy margins'!$U$61),B78-'Energy margins'!$T$61,""),'Energy margins'!$V$61)=0,'Energy margins'!$S$61,0))</f>
        <v>0</v>
      </c>
      <c r="T78" s="918">
        <f>IF(ISERROR(IF(MOD(IF(AND(B78&gt;='Energy margins'!$T$62,B78&lt;='Energy margins'!$U$62),B78-'Energy margins'!$T$62,""),'Energy margins'!$V$62)=0,'Energy margins'!$S$62,0)),0,IF(MOD(IF(AND(B78&gt;='Energy margins'!$T$62,B78&lt;='Energy margins'!$U$62),B78-'Energy margins'!$T$62,""),'Energy margins'!$V$62)=0,'Energy margins'!$S$62,0))</f>
        <v>0</v>
      </c>
      <c r="U78" s="944">
        <f t="shared" si="35"/>
        <v>309.57878399999998</v>
      </c>
      <c r="V78" s="197"/>
      <c r="W78" s="197">
        <f t="shared" si="36"/>
        <v>309.57878399999998</v>
      </c>
      <c r="X78" s="197">
        <f t="shared" si="30"/>
        <v>526.84521600000016</v>
      </c>
      <c r="Y78" s="197">
        <f t="shared" si="31"/>
        <v>702.79521599999998</v>
      </c>
      <c r="Z78" s="973">
        <f t="shared" si="37"/>
        <v>502.33457942111198</v>
      </c>
      <c r="AA78" s="974">
        <f t="shared" si="38"/>
        <v>105.67101045539658</v>
      </c>
      <c r="AB78" s="974">
        <f t="shared" si="39"/>
        <v>185.92499528748488</v>
      </c>
      <c r="AC78" s="974">
        <f t="shared" si="40"/>
        <v>316.40958413362716</v>
      </c>
      <c r="AD78" s="974">
        <f t="shared" si="41"/>
        <v>422.08059458902363</v>
      </c>
      <c r="AE78" s="973">
        <f t="shared" si="46"/>
        <v>8221.9259878449739</v>
      </c>
      <c r="AF78" s="974">
        <f t="shared" si="42"/>
        <v>1932.9247386150832</v>
      </c>
      <c r="AG78" s="974">
        <f t="shared" si="43"/>
        <v>9284.8159059548871</v>
      </c>
      <c r="AH78" s="974">
        <f t="shared" si="44"/>
        <v>-1062.8899181099132</v>
      </c>
      <c r="AI78" s="975">
        <f t="shared" si="45"/>
        <v>870.03482050517027</v>
      </c>
    </row>
    <row r="79" spans="2:35" x14ac:dyDescent="0.3">
      <c r="B79" s="900">
        <v>15</v>
      </c>
      <c r="C79" s="922">
        <f>'Energy Inputs'!F44</f>
        <v>1</v>
      </c>
      <c r="D79" s="918">
        <f>C79*'Energy Inputs'!$F$24</f>
        <v>11.617000000000001</v>
      </c>
      <c r="E79" s="197">
        <f>'Energy margins'!$S$12</f>
        <v>72</v>
      </c>
      <c r="F79" s="197">
        <f t="shared" si="33"/>
        <v>836.42400000000009</v>
      </c>
      <c r="G79" s="918">
        <f>'Energy Inputs'!$D$10</f>
        <v>175.95</v>
      </c>
      <c r="H79" s="197">
        <f t="shared" si="34"/>
        <v>1012.374</v>
      </c>
      <c r="I79" s="197"/>
      <c r="J79" s="947">
        <f>IF(ISERROR(IF(MOD(IF(AND(B79&gt;='Energy margins'!$T$44,B79&lt;='Energy margins'!$U$44),B79-'Energy margins'!$T$44,""),'Energy margins'!$V$44)=0,'Energy margins'!$S$44,0)),0,IF(MOD(IF(AND(B79&gt;='Energy margins'!$T$44,B79&lt;='Energy margins'!$U$44),B79-'Energy margins'!$T$44,""),'Energy margins'!$V$44)=0,'Energy margins'!$S$44,0))</f>
        <v>0</v>
      </c>
      <c r="K79" s="918">
        <f>IF(ISERROR(IF(MOD(IF(AND(B79&gt;='Energy margins'!$T$45,B79&lt;='Energy margins'!$U$45),B79-'Energy margins'!$T$45,""),'Energy margins'!$V$45)=0,'Energy margins'!$S$45,0)),0,IF(MOD(IF(AND(B79&gt;='Energy margins'!$T$45,B79&lt;='Energy margins'!$U$45),B79-'Energy margins'!$T$45,""),'Energy margins'!$V$45)=0,'Energy margins'!$S$45,0))</f>
        <v>0</v>
      </c>
      <c r="L79" s="918">
        <f>IF(ISERROR(IF(MOD(IF(AND(B79&gt;='Energy margins'!$T$46,B79&lt;='Energy margins'!$U$46),B79-'Energy margins'!$T$46,""),'Energy margins'!$V$46)=0,'Energy margins'!$S$46,0)),0,IF(MOD(IF(AND(B79&gt;='Energy margins'!$T$46,B79&lt;='Energy margins'!$U$46),B79-'Energy margins'!$T$46,""),'Energy margins'!$V$46)=0,'Energy margins'!$S$46,0))</f>
        <v>0</v>
      </c>
      <c r="M79" s="918">
        <f>IF(ISERROR(IF(MOD(IF(AND(B79&gt;='Energy margins'!$T$47,B79&lt;='Energy margins'!$U$47),B79-'Energy margins'!$T$47,""),'Energy margins'!$V$47)=0,'Energy margins'!$S$47,0)),0,IF(MOD(IF(AND(B79&gt;='Energy margins'!$T$47,B79&lt;='Energy margins'!$U$47),B79-'Energy margins'!$T$47,""),'Energy margins'!$V$47)=0,'Energy margins'!$S$47,0))</f>
        <v>19.974783999999993</v>
      </c>
      <c r="N79" s="918">
        <f>IF(ISERROR(IF(MOD(IF(AND(B79&gt;='Energy margins'!$T$50,B79&lt;='Energy margins'!$U$50),B79-'Energy margins'!$T$50,""),'Energy margins'!$V$50)=0,'Energy margins'!$S$50,0)),0,IF(MOD(IF(AND(B79&gt;='Energy margins'!$T$50,B79&lt;='Energy margins'!$U$50),B79-'Energy margins'!$T$50,""),'Energy margins'!$V$50)=0,'Energy margins'!$S$50,0))</f>
        <v>60.4</v>
      </c>
      <c r="O79" s="918">
        <f>IF(ISERROR(IF(MOD(IF(AND(B79&gt;='Energy margins'!$T$53,B79&lt;='Energy margins'!$U$53),B79-'Energy margins'!$T$53,""),'Energy margins'!$V$53)=0,'Energy margins'!$S$53,0)),0,IF(MOD(IF(AND(B79&gt;='Energy margins'!$T$53,B79&lt;='Energy margins'!$U$53),B79-'Energy margins'!$T$53,""),'Energy margins'!$V$53)=0,'Energy margins'!$S$53,0))</f>
        <v>89.24</v>
      </c>
      <c r="P79" s="918">
        <f>IF(ISERROR(IF(MOD(IF(AND(B79&gt;='Energy margins'!$T$56,B79&lt;='Energy margins'!$U$56),B79-'Energy margins'!$T$56,""),'Energy margins'!$V$56)=0,'Energy margins'!$S$56,0)),0,IF(MOD(IF(AND(B79&gt;='Energy margins'!$T$56,B79&lt;='Energy margins'!$U$56),B79-'Energy margins'!$T$56,""),'Energy margins'!$V$56)=0,'Energy margins'!$S$56,0))</f>
        <v>26.964000000000002</v>
      </c>
      <c r="Q79" s="918">
        <f>IF(ISERROR(IF(MOD(IF(AND(B79&gt;='Energy margins'!$T$59,B79&lt;='Energy margins'!$U$59),B79-'Energy margins'!$T$59,""),'Energy margins'!$V$59)=0,'Energy margins'!$S$59,0)),0,IF(MOD(IF(AND(B79&gt;='Energy margins'!$T$59,B79&lt;='Energy margins'!$U$59),B79-'Energy margins'!$T$59,""),'Energy margins'!$V$59)=0,'Energy margins'!$S$59,0))</f>
        <v>112.99999999999999</v>
      </c>
      <c r="R79" s="918">
        <f>IF(ISERROR(IF(MOD(IF(AND(B79&gt;='Energy margins'!$T$60,B79&lt;='Energy margins'!$U$60),B79-'Energy margins'!$T$60,""),'Energy margins'!$V$60)=0,'Energy margins'!$S$60,0)),0,IF(MOD(IF(AND(B79&gt;='Energy margins'!$T$60,B79&lt;='Energy margins'!$U$60),B79-'Energy margins'!$T$60,""),'Energy margins'!$V$60)=0,'Energy margins'!$S$60,0))</f>
        <v>0</v>
      </c>
      <c r="S79" s="918">
        <f>IF(ISERROR(IF(MOD(IF(AND(B79&gt;='Energy margins'!$T$61,B79&lt;='Energy margins'!$U$61),B79-'Energy margins'!$T$61,""),'Energy margins'!$V$61)=0,'Energy margins'!$S$61,0)),0,IF(MOD(IF(AND(B79&gt;='Energy margins'!$T$61,B79&lt;='Energy margins'!$U$61),B79-'Energy margins'!$T$61,""),'Energy margins'!$V$61)=0,'Energy margins'!$S$61,0))</f>
        <v>0</v>
      </c>
      <c r="T79" s="918">
        <f>IF(ISERROR(IF(MOD(IF(AND(B79&gt;='Energy margins'!$T$62,B79&lt;='Energy margins'!$U$62),B79-'Energy margins'!$T$62,""),'Energy margins'!$V$62)=0,'Energy margins'!$S$62,0)),0,IF(MOD(IF(AND(B79&gt;='Energy margins'!$T$62,B79&lt;='Energy margins'!$U$62),B79-'Energy margins'!$T$62,""),'Energy margins'!$V$62)=0,'Energy margins'!$S$62,0))</f>
        <v>0</v>
      </c>
      <c r="U79" s="944">
        <f t="shared" si="35"/>
        <v>309.57878399999998</v>
      </c>
      <c r="V79" s="197"/>
      <c r="W79" s="197">
        <f t="shared" si="36"/>
        <v>309.57878399999998</v>
      </c>
      <c r="X79" s="197">
        <f t="shared" si="30"/>
        <v>526.84521600000016</v>
      </c>
      <c r="Y79" s="197">
        <f t="shared" si="31"/>
        <v>702.79521599999998</v>
      </c>
      <c r="Z79" s="973">
        <f t="shared" si="37"/>
        <v>483.01401867414614</v>
      </c>
      <c r="AA79" s="974">
        <f t="shared" si="38"/>
        <v>101.60674082249672</v>
      </c>
      <c r="AB79" s="974">
        <f t="shared" si="39"/>
        <v>178.7740339302739</v>
      </c>
      <c r="AC79" s="974">
        <f t="shared" si="40"/>
        <v>304.23998474387224</v>
      </c>
      <c r="AD79" s="974">
        <f t="shared" si="41"/>
        <v>405.84672556636889</v>
      </c>
      <c r="AE79" s="973">
        <f t="shared" si="46"/>
        <v>8704.9400065191203</v>
      </c>
      <c r="AF79" s="974">
        <f t="shared" si="42"/>
        <v>2034.5314794375799</v>
      </c>
      <c r="AG79" s="974">
        <f t="shared" si="43"/>
        <v>9463.5899398851616</v>
      </c>
      <c r="AH79" s="974">
        <f t="shared" si="44"/>
        <v>-758.64993336604095</v>
      </c>
      <c r="AI79" s="975">
        <f t="shared" si="45"/>
        <v>1275.8815460715391</v>
      </c>
    </row>
    <row r="80" spans="2:35" x14ac:dyDescent="0.3">
      <c r="B80" s="901">
        <v>16</v>
      </c>
      <c r="C80" s="919">
        <f>'Energy Inputs'!F45</f>
        <v>1</v>
      </c>
      <c r="D80" s="919">
        <f>C80*'Energy Inputs'!$F$24</f>
        <v>11.617000000000001</v>
      </c>
      <c r="E80" s="207">
        <f>'Energy margins'!$S$12</f>
        <v>72</v>
      </c>
      <c r="F80" s="207">
        <f t="shared" si="33"/>
        <v>836.42400000000009</v>
      </c>
      <c r="G80" s="919">
        <f>'Energy Inputs'!$D$10</f>
        <v>175.95</v>
      </c>
      <c r="H80" s="207">
        <f t="shared" si="34"/>
        <v>1012.374</v>
      </c>
      <c r="I80" s="207"/>
      <c r="J80" s="948">
        <f>IF(ISERROR(IF(MOD(IF(AND(B80&gt;='Energy margins'!$T$44,B80&lt;='Energy margins'!$U$44),B80-'Energy margins'!$T$44,""),'Energy margins'!$V$44)=0,'Energy margins'!$S$44,0)),0,IF(MOD(IF(AND(B80&gt;='Energy margins'!$T$44,B80&lt;='Energy margins'!$U$44),B80-'Energy margins'!$T$44,""),'Energy margins'!$V$44)=0,'Energy margins'!$S$44,0))</f>
        <v>0</v>
      </c>
      <c r="K80" s="919">
        <f>IF(ISERROR(IF(MOD(IF(AND(B80&gt;='Energy margins'!$T$45,B80&lt;='Energy margins'!$U$45),B80-'Energy margins'!$T$45,""),'Energy margins'!$V$45)=0,'Energy margins'!$S$45,0)),0,IF(MOD(IF(AND(B80&gt;='Energy margins'!$T$45,B80&lt;='Energy margins'!$U$45),B80-'Energy margins'!$T$45,""),'Energy margins'!$V$45)=0,'Energy margins'!$S$45,0))</f>
        <v>0</v>
      </c>
      <c r="L80" s="919">
        <f>IF(ISERROR(IF(MOD(IF(AND(B80&gt;='Energy margins'!$T$46,B80&lt;='Energy margins'!$U$46),B80-'Energy margins'!$T$46,""),'Energy margins'!$V$46)=0,'Energy margins'!$S$46,0)),0,IF(MOD(IF(AND(B80&gt;='Energy margins'!$T$46,B80&lt;='Energy margins'!$U$46),B80-'Energy margins'!$T$46,""),'Energy margins'!$V$46)=0,'Energy margins'!$S$46,0))</f>
        <v>0</v>
      </c>
      <c r="M80" s="919">
        <f>IF(ISERROR(IF(MOD(IF(AND(B80&gt;='Energy margins'!$T$47,B80&lt;='Energy margins'!$U$47),B80-'Energy margins'!$T$47,""),'Energy margins'!$V$47)=0,'Energy margins'!$S$47,0)),0,IF(MOD(IF(AND(B80&gt;='Energy margins'!$T$47,B80&lt;='Energy margins'!$U$47),B80-'Energy margins'!$T$47,""),'Energy margins'!$V$47)=0,'Energy margins'!$S$47,0))</f>
        <v>19.974783999999993</v>
      </c>
      <c r="N80" s="919">
        <f>IF(ISERROR(IF(MOD(IF(AND(B80&gt;='Energy margins'!$T$50,B80&lt;='Energy margins'!$U$50),B80-'Energy margins'!$T$50,""),'Energy margins'!$V$50)=0,'Energy margins'!$S$50,0)),0,IF(MOD(IF(AND(B80&gt;='Energy margins'!$T$50,B80&lt;='Energy margins'!$U$50),B80-'Energy margins'!$T$50,""),'Energy margins'!$V$50)=0,'Energy margins'!$S$50,0))</f>
        <v>60.4</v>
      </c>
      <c r="O80" s="919">
        <f>IF(ISERROR(IF(MOD(IF(AND(B80&gt;='Energy margins'!$T$53,B80&lt;='Energy margins'!$U$53),B80-'Energy margins'!$T$53,""),'Energy margins'!$V$53)=0,'Energy margins'!$S$53,0)),0,IF(MOD(IF(AND(B80&gt;='Energy margins'!$T$53,B80&lt;='Energy margins'!$U$53),B80-'Energy margins'!$T$53,""),'Energy margins'!$V$53)=0,'Energy margins'!$S$53,0))</f>
        <v>89.24</v>
      </c>
      <c r="P80" s="919">
        <f>IF(ISERROR(IF(MOD(IF(AND(B80&gt;='Energy margins'!$T$56,B80&lt;='Energy margins'!$U$56),B80-'Energy margins'!$T$56,""),'Energy margins'!$V$56)=0,'Energy margins'!$S$56,0)),0,IF(MOD(IF(AND(B80&gt;='Energy margins'!$T$56,B80&lt;='Energy margins'!$U$56),B80-'Energy margins'!$T$56,""),'Energy margins'!$V$56)=0,'Energy margins'!$S$56,0))</f>
        <v>26.964000000000002</v>
      </c>
      <c r="Q80" s="919">
        <f>IF(ISERROR(IF(MOD(IF(AND(B80&gt;='Energy margins'!$T$59,B80&lt;='Energy margins'!$U$59),B80-'Energy margins'!$T$59,""),'Energy margins'!$V$59)=0,'Energy margins'!$S$59,0)),0,IF(MOD(IF(AND(B80&gt;='Energy margins'!$T$59,B80&lt;='Energy margins'!$U$59),B80-'Energy margins'!$T$59,""),'Energy margins'!$V$59)=0,'Energy margins'!$S$59,0))</f>
        <v>0</v>
      </c>
      <c r="R80" s="919">
        <f>IF(ISERROR(IF(MOD(IF(AND(B80&gt;='Energy margins'!$T$60,B80&lt;='Energy margins'!$U$60),B80-'Energy margins'!$T$60,""),'Energy margins'!$V$60)=0,'Energy margins'!$S$60,0)),0,IF(MOD(IF(AND(B80&gt;='Energy margins'!$T$60,B80&lt;='Energy margins'!$U$60),B80-'Energy margins'!$T$60,""),'Energy margins'!$V$60)=0,'Energy margins'!$S$60,0))</f>
        <v>0</v>
      </c>
      <c r="S80" s="919">
        <f>IF(ISERROR(IF(MOD(IF(AND(B80&gt;='Energy margins'!$T$61,B80&lt;='Energy margins'!$U$61),B80-'Energy margins'!$T$61,""),'Energy margins'!$V$61)=0,'Energy margins'!$S$61,0)),0,IF(MOD(IF(AND(B80&gt;='Energy margins'!$T$61,B80&lt;='Energy margins'!$U$61),B80-'Energy margins'!$T$61,""),'Energy margins'!$V$61)=0,'Energy margins'!$S$61,0))</f>
        <v>0</v>
      </c>
      <c r="T80" s="919">
        <f>IF(ISERROR(IF(MOD(IF(AND(B80&gt;='Energy margins'!$T$62,B80&lt;='Energy margins'!$U$62),B80-'Energy margins'!$T$62,""),'Energy margins'!$V$62)=0,'Energy margins'!$S$62,0)),0,IF(MOD(IF(AND(B80&gt;='Energy margins'!$T$62,B80&lt;='Energy margins'!$U$62),B80-'Energy margins'!$T$62,""),'Energy margins'!$V$62)=0,'Energy margins'!$S$62,0))</f>
        <v>0</v>
      </c>
      <c r="U80" s="946">
        <f t="shared" si="35"/>
        <v>196.57878399999998</v>
      </c>
      <c r="V80" s="207">
        <f>'Energy margins'!X67</f>
        <v>192.1</v>
      </c>
      <c r="W80" s="207">
        <f t="shared" si="36"/>
        <v>388.67878399999995</v>
      </c>
      <c r="X80" s="207">
        <f t="shared" si="30"/>
        <v>447.74521600000014</v>
      </c>
      <c r="Y80" s="207">
        <f t="shared" si="31"/>
        <v>623.69521600000007</v>
      </c>
      <c r="Z80" s="976">
        <f t="shared" si="37"/>
        <v>464.43655641744823</v>
      </c>
      <c r="AA80" s="977">
        <f t="shared" si="38"/>
        <v>97.698789252400701</v>
      </c>
      <c r="AB80" s="977">
        <f t="shared" si="39"/>
        <v>215.81953171296033</v>
      </c>
      <c r="AC80" s="977">
        <f t="shared" si="40"/>
        <v>248.6170247044879</v>
      </c>
      <c r="AD80" s="978">
        <f t="shared" si="41"/>
        <v>346.31581395688858</v>
      </c>
      <c r="AE80" s="976">
        <f t="shared" si="46"/>
        <v>9169.376562936568</v>
      </c>
      <c r="AF80" s="977">
        <f t="shared" si="42"/>
        <v>2132.2302686899807</v>
      </c>
      <c r="AG80" s="977">
        <f t="shared" si="43"/>
        <v>9679.4094715981228</v>
      </c>
      <c r="AH80" s="977">
        <f t="shared" si="44"/>
        <v>-510.03290866155305</v>
      </c>
      <c r="AI80" s="978">
        <f t="shared" si="45"/>
        <v>1622.1973600284277</v>
      </c>
    </row>
    <row r="83" spans="2:35" x14ac:dyDescent="0.3">
      <c r="J83" t="s">
        <v>578</v>
      </c>
      <c r="K83" t="s">
        <v>582</v>
      </c>
    </row>
    <row r="84" spans="2:35" x14ac:dyDescent="0.3">
      <c r="J84" t="s">
        <v>579</v>
      </c>
      <c r="K84" t="s">
        <v>583</v>
      </c>
    </row>
    <row r="85" spans="2:35" x14ac:dyDescent="0.3">
      <c r="J85" t="s">
        <v>580</v>
      </c>
      <c r="K85" t="s">
        <v>584</v>
      </c>
    </row>
    <row r="86" spans="2:35" x14ac:dyDescent="0.3">
      <c r="J86" t="s">
        <v>581</v>
      </c>
      <c r="K86" t="s">
        <v>585</v>
      </c>
    </row>
    <row r="87" spans="2:35" x14ac:dyDescent="0.3">
      <c r="B87" s="228" t="s">
        <v>451</v>
      </c>
      <c r="C87" s="231"/>
      <c r="D87" s="231"/>
      <c r="E87" s="231"/>
      <c r="F87" s="194"/>
      <c r="G87" s="193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</row>
    <row r="88" spans="2:35" x14ac:dyDescent="0.3">
      <c r="B88" s="203"/>
      <c r="C88" s="148"/>
      <c r="D88" s="148"/>
      <c r="E88" s="148"/>
      <c r="F88" s="1086"/>
      <c r="G88" s="1086"/>
      <c r="H88" s="1086"/>
      <c r="I88" s="148"/>
      <c r="J88" s="930" t="s">
        <v>88</v>
      </c>
      <c r="K88" s="931"/>
      <c r="L88" s="931"/>
      <c r="M88" s="931"/>
      <c r="N88" s="931"/>
      <c r="O88" s="931"/>
      <c r="P88" s="931"/>
      <c r="Q88" s="931"/>
      <c r="R88" s="931"/>
      <c r="S88" s="931"/>
      <c r="T88" s="931"/>
      <c r="U88" s="932"/>
      <c r="V88" s="1086"/>
      <c r="W88" s="1086"/>
      <c r="X88" s="148"/>
      <c r="Y88" s="148"/>
      <c r="Z88" s="1087" t="s">
        <v>275</v>
      </c>
      <c r="AA88" s="1088"/>
      <c r="AB88" s="1088"/>
      <c r="AC88" s="1088"/>
      <c r="AD88" s="1089"/>
      <c r="AE88" s="1087" t="s">
        <v>276</v>
      </c>
      <c r="AF88" s="1088"/>
      <c r="AG88" s="1088"/>
      <c r="AH88" s="1088"/>
      <c r="AI88" s="1089"/>
    </row>
    <row r="89" spans="2:35" ht="51" x14ac:dyDescent="0.3">
      <c r="B89" s="204" t="s">
        <v>277</v>
      </c>
      <c r="C89" s="205" t="s">
        <v>565</v>
      </c>
      <c r="D89" s="205" t="s">
        <v>303</v>
      </c>
      <c r="E89" s="205" t="s">
        <v>304</v>
      </c>
      <c r="F89" s="171" t="s">
        <v>675</v>
      </c>
      <c r="G89" s="171" t="s">
        <v>666</v>
      </c>
      <c r="H89" s="171" t="s">
        <v>676</v>
      </c>
      <c r="I89" s="205" t="s">
        <v>301</v>
      </c>
      <c r="J89" s="955" t="s">
        <v>255</v>
      </c>
      <c r="K89" s="956" t="s">
        <v>35</v>
      </c>
      <c r="L89" s="956" t="s">
        <v>548</v>
      </c>
      <c r="M89" s="956" t="s">
        <v>147</v>
      </c>
      <c r="N89" s="957" t="s">
        <v>571</v>
      </c>
      <c r="O89" s="957" t="s">
        <v>572</v>
      </c>
      <c r="P89" s="957" t="s">
        <v>573</v>
      </c>
      <c r="Q89" s="958" t="s">
        <v>182</v>
      </c>
      <c r="R89" s="958" t="s">
        <v>478</v>
      </c>
      <c r="S89" s="959" t="s">
        <v>479</v>
      </c>
      <c r="T89" s="958" t="s">
        <v>480</v>
      </c>
      <c r="U89" s="960" t="s">
        <v>302</v>
      </c>
      <c r="V89" s="205" t="s">
        <v>305</v>
      </c>
      <c r="W89" s="171" t="s">
        <v>283</v>
      </c>
      <c r="X89" s="171" t="s">
        <v>677</v>
      </c>
      <c r="Y89" s="171" t="s">
        <v>678</v>
      </c>
      <c r="Z89" s="195" t="s">
        <v>286</v>
      </c>
      <c r="AA89" s="171" t="s">
        <v>679</v>
      </c>
      <c r="AB89" s="171" t="s">
        <v>288</v>
      </c>
      <c r="AC89" s="171" t="s">
        <v>680</v>
      </c>
      <c r="AD89" s="198" t="s">
        <v>290</v>
      </c>
      <c r="AE89" s="195" t="s">
        <v>291</v>
      </c>
      <c r="AF89" s="171" t="s">
        <v>681</v>
      </c>
      <c r="AG89" s="171" t="s">
        <v>293</v>
      </c>
      <c r="AH89" s="171" t="s">
        <v>682</v>
      </c>
      <c r="AI89" s="198" t="s">
        <v>295</v>
      </c>
    </row>
    <row r="90" spans="2:35" x14ac:dyDescent="0.3">
      <c r="B90" s="173"/>
      <c r="C90" s="226" t="s">
        <v>566</v>
      </c>
      <c r="D90" s="226" t="s">
        <v>341</v>
      </c>
      <c r="E90" s="226" t="s">
        <v>601</v>
      </c>
      <c r="F90" s="226" t="s">
        <v>599</v>
      </c>
      <c r="G90" s="226" t="s">
        <v>599</v>
      </c>
      <c r="H90" s="226" t="s">
        <v>599</v>
      </c>
      <c r="I90" s="226" t="s">
        <v>599</v>
      </c>
      <c r="J90" s="951" t="s">
        <v>599</v>
      </c>
      <c r="K90" s="952" t="s">
        <v>599</v>
      </c>
      <c r="L90" s="952" t="s">
        <v>599</v>
      </c>
      <c r="M90" s="952" t="s">
        <v>599</v>
      </c>
      <c r="N90" s="952" t="s">
        <v>599</v>
      </c>
      <c r="O90" s="952" t="s">
        <v>599</v>
      </c>
      <c r="P90" s="952" t="s">
        <v>599</v>
      </c>
      <c r="Q90" s="953" t="s">
        <v>599</v>
      </c>
      <c r="R90" s="953" t="s">
        <v>599</v>
      </c>
      <c r="S90" s="953" t="s">
        <v>599</v>
      </c>
      <c r="T90" s="953" t="s">
        <v>601</v>
      </c>
      <c r="U90" s="954" t="s">
        <v>599</v>
      </c>
      <c r="V90" s="226" t="s">
        <v>599</v>
      </c>
      <c r="W90" s="226" t="s">
        <v>599</v>
      </c>
      <c r="X90" s="226" t="s">
        <v>599</v>
      </c>
      <c r="Y90" s="730" t="s">
        <v>599</v>
      </c>
      <c r="Z90" s="226" t="s">
        <v>599</v>
      </c>
      <c r="AA90" s="226" t="s">
        <v>599</v>
      </c>
      <c r="AB90" s="226" t="s">
        <v>599</v>
      </c>
      <c r="AC90" s="226" t="s">
        <v>599</v>
      </c>
      <c r="AD90" s="730" t="s">
        <v>599</v>
      </c>
      <c r="AE90" s="226" t="s">
        <v>599</v>
      </c>
      <c r="AF90" s="226" t="s">
        <v>599</v>
      </c>
      <c r="AG90" s="226" t="s">
        <v>599</v>
      </c>
      <c r="AH90" s="226" t="s">
        <v>599</v>
      </c>
      <c r="AI90" s="730" t="s">
        <v>599</v>
      </c>
    </row>
    <row r="91" spans="2:35" x14ac:dyDescent="0.3">
      <c r="B91" s="899">
        <v>1</v>
      </c>
      <c r="C91" s="922">
        <f>'Energy Inputs'!G30</f>
        <v>0</v>
      </c>
      <c r="D91" s="918">
        <f>C91*'Energy Inputs'!$G$24</f>
        <v>0</v>
      </c>
      <c r="E91" s="197">
        <f>'Energy margins'!$Z$12</f>
        <v>72</v>
      </c>
      <c r="F91" s="197">
        <f>D91*E91</f>
        <v>0</v>
      </c>
      <c r="G91" s="928">
        <f>'Energy Inputs'!$D$10</f>
        <v>175.95</v>
      </c>
      <c r="H91" s="197">
        <f>F91+G91</f>
        <v>175.95</v>
      </c>
      <c r="I91" s="197">
        <f>'Margins summary'!V20</f>
        <v>2234.4822840000002</v>
      </c>
      <c r="J91" s="964">
        <f>IF(ISERROR(IF(MOD(IF(AND(B91&gt;='Energy margins'!$AA$44,B91&lt;='Energy margins'!$AB$44),B91-'Energy margins'!$AA$44,""),'Energy margins'!$AC$44)=0,'Energy margins'!$Z$44,0)),0,IF(MOD(IF(AND(B91&gt;='Energy margins'!$AA$44,B91&lt;='Energy margins'!$AB$44),B91-'Energy margins'!$AA$44,""),'Energy margins'!$AC$44)=0,'Energy margins'!$Z$44,0))</f>
        <v>0</v>
      </c>
      <c r="K91" s="928">
        <f>IF(ISERROR(IF(MOD(IF(AND(B91&gt;='Energy margins'!$AA$45,B91&lt;='Energy margins'!$AB$45),B91-'Energy margins'!$AA$45,""),'Energy margins'!$AC$45)=0,'Energy margins'!$Z$45,0)),0,IF(MOD(IF(AND(B91&gt;='Energy margins'!$AA$45,B91&lt;='Energy margins'!$AB$45),B91-'Energy margins'!$AA$45,""),'Energy margins'!$AC$45)=0,'Energy margins'!$Z$45,0))</f>
        <v>0</v>
      </c>
      <c r="L91" s="928">
        <f>IF(ISERROR(IF(MOD(IF(AND(B91&gt;='Energy margins'!$AA$46,B91&lt;='Energy margins'!$AB$46),B91-'Energy margins'!$AA$46,""),'Energy margins'!$AC$46)=0,'Energy margins'!$Z$46,0)),0,IF(MOD(IF(AND(B91&gt;='Energy margins'!$AA$46,B91&lt;='Energy margins'!$AB$46),B91-'Energy margins'!$AA$46,""),'Energy margins'!$AC$46)=0,'Energy margins'!$Z$46,0))</f>
        <v>0</v>
      </c>
      <c r="M91" s="928">
        <f>IF(ISERROR(IF(MOD(IF(AND(B91&gt;='Energy margins'!$AA$47,B91&lt;='Energy margins'!$AB$47),B91-'Energy margins'!$AA$47,""),'Energy margins'!$AC$47)=0,'Energy margins'!$Z$47,0)),0,IF(MOD(IF(AND(B91&gt;='Energy margins'!$AA$47,B91&lt;='Energy margins'!$AB$47),B91-'Energy margins'!$AA$47,""),'Energy margins'!$AC$47)=0,'Energy margins'!$Z$47,0))</f>
        <v>0</v>
      </c>
      <c r="N91" s="928">
        <f>IF(ISERROR(IF(MOD(IF(AND(B91&gt;='Energy margins'!$AA$50,B91&lt;='Energy margins'!$AB$50),B91-'Energy margins'!$AA$50,""),'Energy margins'!$AC$50)=0,'Energy margins'!$Z$50,0)),0,IF(MOD(IF(AND(B91&gt;='Energy margins'!$AA$50,B91&lt;='Energy margins'!$AB$50),B91-'Energy margins'!$AA$50,""),'Energy margins'!$AC$50)=0,'Energy margins'!$Z$50,0))</f>
        <v>0</v>
      </c>
      <c r="O91" s="928">
        <f>IF(ISERROR(IF(MOD(IF(AND(B91&gt;='Energy margins'!$AA$53,B91&lt;='Energy margins'!$AB$53),B91-'Energy margins'!$AA$53,""),'Energy margins'!$AC$53)=0,'Energy margins'!$Z$53,0)),0,IF(MOD(IF(AND(B91&gt;='Energy margins'!$AA$53,B91&lt;='Energy margins'!$AB$53),B91-'Energy margins'!$AA$53,""),'Energy margins'!$AC$53)=0,'Energy margins'!$Z$53,0))</f>
        <v>0</v>
      </c>
      <c r="P91" s="928">
        <f>IF(ISERROR(IF(MOD(IF(AND(B91&gt;='Energy margins'!$AA$56,B91&lt;='Energy margins'!$AB$56),B91-'Energy margins'!$AA$56,""),'Energy margins'!$AC$56)=0,'Energy margins'!$Z$56,0)),0,IF(MOD(IF(AND(B91&gt;='Energy margins'!$AA$56,B91&lt;='Energy margins'!$AB$56),B91-'Energy margins'!$AA$56,""),'Energy margins'!$AC$56)=0,'Energy margins'!$Z$56,0))</f>
        <v>0</v>
      </c>
      <c r="Q91" s="928">
        <f>IF(ISERROR(IF(MOD(IF(AND(B91&gt;='Energy margins'!$AA$59,B91&lt;='Energy margins'!$AB$59),B91-'Energy margins'!$AA$59,""),'Energy margins'!$AC$59)=0,'Energy margins'!$Z$59,0)),0,IF(MOD(IF(AND(B91&gt;='Energy margins'!$AA$59,B91&lt;='Energy margins'!$AB$59),B91-'Energy margins'!$AA$59,""),'Energy margins'!$AC$59)=0,'Energy margins'!$Z$59,0))</f>
        <v>0</v>
      </c>
      <c r="R91" s="928">
        <f>IF(ISERROR(IF(MOD(IF(AND(B91&gt;='Energy margins'!$AA$60,B91&lt;='Energy margins'!$AB$60),B91-'Energy margins'!$AA$60,""),'Energy margins'!$AC$60)=0,'Energy margins'!$Z$60,0)),0,IF(MOD(IF(AND(B91&gt;='Energy margins'!$AA$60,B91&lt;='Energy margins'!$AB$60),B91-'Energy margins'!$AA$60,""),'Energy margins'!$AC$60)=0,'Energy margins'!$Z$60,0))</f>
        <v>0</v>
      </c>
      <c r="S91" s="928">
        <f>IF(ISERROR(IF(MOD(IF(AND(B91&gt;='Energy margins'!$AA$61,B91&lt;='Energy margins'!$AB$61),B91-'Energy margins'!$AA$61,""),'Energy margins'!$AC$61)=0,'Energy margins'!$Z$61,0)),0,IF(MOD(IF(AND(B91&gt;='Energy margins'!$AA$61,B91&lt;='Energy margins'!$AB$61),B91-'Energy margins'!$AA$61,""),'Energy margins'!$AC$61)=0,'Energy margins'!$Z$61,0))</f>
        <v>0</v>
      </c>
      <c r="T91" s="928">
        <f>IF(ISERROR(IF(MOD(IF(AND(B91&gt;='Energy margins'!$AA$62,B91&lt;='Energy margins'!$AB$62),B91-'Energy margins'!$AA$62,""),'Energy margins'!$AC$62)=0,'Energy margins'!$Z$62,0)),0,IF(MOD(IF(AND(B91&gt;='Energy margins'!$AA$62,B91&lt;='Energy margins'!$AB$62),B91-'Energy margins'!$AA$62,""),'Energy margins'!$AC$62)=0,'Energy margins'!$Z$62,0))</f>
        <v>0</v>
      </c>
      <c r="U91" s="942">
        <f t="shared" ref="U91:U106" si="47">SUM(J91:T91)</f>
        <v>0</v>
      </c>
      <c r="V91" s="197"/>
      <c r="W91" s="197">
        <f>I91+U91+V91</f>
        <v>2234.4822840000002</v>
      </c>
      <c r="X91" s="197">
        <f t="shared" ref="X91:X106" si="48">F91-W91</f>
        <v>-2234.4822840000002</v>
      </c>
      <c r="Y91" s="197">
        <f t="shared" ref="Y91:Y106" si="49">H91-W91</f>
        <v>-2058.5322840000003</v>
      </c>
      <c r="Z91" s="973">
        <f>F91/(1+$C$6)^($B91-1)</f>
        <v>0</v>
      </c>
      <c r="AA91" s="974">
        <f>G91/((1+$C$6)^($B91-1))</f>
        <v>175.95</v>
      </c>
      <c r="AB91" s="974">
        <f>W91/(1+$C$6)^($B91-1)</f>
        <v>2234.4822840000002</v>
      </c>
      <c r="AC91" s="974">
        <f t="shared" ref="AC91:AD91" si="50">X91/(1+$C$6)^($B91-1)</f>
        <v>-2234.4822840000002</v>
      </c>
      <c r="AD91" s="974">
        <f t="shared" si="50"/>
        <v>-2058.5322840000003</v>
      </c>
      <c r="AE91" s="973">
        <f>Z91</f>
        <v>0</v>
      </c>
      <c r="AF91" s="974">
        <f>AA91</f>
        <v>175.95</v>
      </c>
      <c r="AG91" s="974">
        <f>AB91</f>
        <v>2234.4822840000002</v>
      </c>
      <c r="AH91" s="974">
        <f>AC91</f>
        <v>-2234.4822840000002</v>
      </c>
      <c r="AI91" s="975">
        <f>AD91</f>
        <v>-2058.5322840000003</v>
      </c>
    </row>
    <row r="92" spans="2:35" x14ac:dyDescent="0.3">
      <c r="B92" s="900">
        <v>2</v>
      </c>
      <c r="C92" s="922">
        <f>'Energy Inputs'!G31</f>
        <v>0.60940695296523517</v>
      </c>
      <c r="D92" s="918">
        <f>C92*'Energy Inputs'!$G$24</f>
        <v>9.9333333333333336</v>
      </c>
      <c r="E92" s="197">
        <f>'Energy margins'!$Z$12</f>
        <v>72</v>
      </c>
      <c r="F92" s="197">
        <f>D92*E92</f>
        <v>715.2</v>
      </c>
      <c r="G92" s="918">
        <f>'Energy Inputs'!$D$10</f>
        <v>175.95</v>
      </c>
      <c r="H92" s="197">
        <f t="shared" ref="H92:H106" si="51">F92+G92</f>
        <v>891.15000000000009</v>
      </c>
      <c r="I92" s="197"/>
      <c r="J92" s="947">
        <f>IF(ISERROR(IF(MOD(IF(AND(B92&gt;='Energy margins'!$AA$44,B92&lt;='Energy margins'!$AB$44),B92-'Energy margins'!$AA$44,""),'Energy margins'!$AC$44)=0,'Energy margins'!$Z$44,0)),0,IF(MOD(IF(AND(B92&gt;='Energy margins'!$AA$44,B92&lt;='Energy margins'!$AB$44),B92-'Energy margins'!$AA$44,""),'Energy margins'!$AC$44)=0,'Energy margins'!$Z$44,0))</f>
        <v>181.92999999999998</v>
      </c>
      <c r="K92" s="918">
        <f>IF(ISERROR(IF(MOD(IF(AND(B92&gt;='Energy margins'!$AA$45,B92&lt;='Energy margins'!$AB$45),B92-'Energy margins'!$AA$45,""),'Energy margins'!$AC$45)=0,'Energy margins'!$Z$45,0)),0,IF(MOD(IF(AND(B92&gt;='Energy margins'!$AA$45,B92&lt;='Energy margins'!$AB$45),B92-'Energy margins'!$AA$45,""),'Energy margins'!$AC$45)=0,'Energy margins'!$Z$45,0))</f>
        <v>0</v>
      </c>
      <c r="L92" s="918">
        <f>IF(ISERROR(IF(MOD(IF(AND(B92&gt;='Energy margins'!$AA$46,B92&lt;='Energy margins'!$AB$46),B92-'Energy margins'!$AA$46,""),'Energy margins'!$AC$46)=0,'Energy margins'!$Z$46,0)),0,IF(MOD(IF(AND(B92&gt;='Energy margins'!$AA$46,B92&lt;='Energy margins'!$AB$46),B92-'Energy margins'!$AA$46,""),'Energy margins'!$AC$46)=0,'Energy margins'!$Z$46,0))</f>
        <v>0</v>
      </c>
      <c r="M92" s="918">
        <f>IF(ISERROR(IF(MOD(IF(AND(B92&gt;='Energy margins'!$AA$47,B92&lt;='Energy margins'!$AB$47),B92-'Energy margins'!$AA$47,""),'Energy margins'!$AC$47)=0,'Energy margins'!$Z$47,0)),0,IF(MOD(IF(AND(B92&gt;='Energy margins'!$AA$47,B92&lt;='Energy margins'!$AB$47),B92-'Energy margins'!$AA$47,""),'Energy margins'!$AC$47)=0,'Energy margins'!$Z$47,0))</f>
        <v>19.974783999999993</v>
      </c>
      <c r="N92" s="918">
        <f>IF(ISERROR(IF(MOD(IF(AND(B92&gt;='Energy margins'!$AA$50,B92&lt;='Energy margins'!$AB$50),B92-'Energy margins'!$AA$50,""),'Energy margins'!$AC$50)=0,'Energy margins'!$Z$50,0)),0,IF(MOD(IF(AND(B92&gt;='Energy margins'!$AA$50,B92&lt;='Energy margins'!$AB$50),B92-'Energy margins'!$AA$50,""),'Energy margins'!$AC$50)=0,'Energy margins'!$Z$50,0))</f>
        <v>72.48</v>
      </c>
      <c r="O92" s="918">
        <f>IF(ISERROR(IF(MOD(IF(AND(B92&gt;='Energy margins'!$AA$53,B92&lt;='Energy margins'!$AB$53),B92-'Energy margins'!$AA$53,""),'Energy margins'!$AC$53)=0,'Energy margins'!$Z$53,0)),0,IF(MOD(IF(AND(B92&gt;='Energy margins'!$AA$53,B92&lt;='Energy margins'!$AB$53),B92-'Energy margins'!$AA$53,""),'Energy margins'!$AC$53)=0,'Energy margins'!$Z$53,0))</f>
        <v>89.24</v>
      </c>
      <c r="P92" s="918">
        <f>IF(ISERROR(IF(MOD(IF(AND(B92&gt;='Energy margins'!$AA$56,B92&lt;='Energy margins'!$AB$56),B92-'Energy margins'!$AA$56,""),'Energy margins'!$AC$56)=0,'Energy margins'!$Z$56,0)),0,IF(MOD(IF(AND(B92&gt;='Energy margins'!$AA$56,B92&lt;='Energy margins'!$AB$56),B92-'Energy margins'!$AA$56,""),'Energy margins'!$AC$56)=0,'Energy margins'!$Z$56,0))</f>
        <v>28.89</v>
      </c>
      <c r="Q92" s="918">
        <f>IF(ISERROR(IF(MOD(IF(AND(B92&gt;='Energy margins'!$AA$59,B92&lt;='Energy margins'!$AB$59),B92-'Energy margins'!$AA$59,""),'Energy margins'!$AC$59)=0,'Energy margins'!$Z$59,0)),0,IF(MOD(IF(AND(B92&gt;='Energy margins'!$AA$59,B92&lt;='Energy margins'!$AB$59),B92-'Energy margins'!$AA$59,""),'Energy margins'!$AC$59)=0,'Energy margins'!$Z$59,0))</f>
        <v>0</v>
      </c>
      <c r="R92" s="918">
        <f>IF(ISERROR(IF(MOD(IF(AND(B92&gt;='Energy margins'!$AA$60,B92&lt;='Energy margins'!$AB$60),B92-'Energy margins'!$AA$60,""),'Energy margins'!$AC$60)=0,'Energy margins'!$Z$60,0)),0,IF(MOD(IF(AND(B92&gt;='Energy margins'!$AA$60,B92&lt;='Energy margins'!$AB$60),B92-'Energy margins'!$AA$60,""),'Energy margins'!$AC$60)=0,'Energy margins'!$Z$60,0))</f>
        <v>0</v>
      </c>
      <c r="S92" s="918">
        <f>IF(ISERROR(IF(MOD(IF(AND(B92&gt;='Energy margins'!$AA$61,B92&lt;='Energy margins'!$AB$61),B92-'Energy margins'!$AA$61,""),'Energy margins'!$AC$61)=0,'Energy margins'!$Z$61,0)),0,IF(MOD(IF(AND(B92&gt;='Energy margins'!$AA$61,B92&lt;='Energy margins'!$AB$61),B92-'Energy margins'!$AA$61,""),'Energy margins'!$AC$61)=0,'Energy margins'!$Z$61,0))</f>
        <v>197.74999999999997</v>
      </c>
      <c r="T92" s="918">
        <f>IF(ISERROR(IF(MOD(IF(AND(B92&gt;='Energy margins'!$AA$62,B92&lt;='Energy margins'!$AB$62),B92-'Energy margins'!$AA$62,""),'Energy margins'!$AC$62)=0,'Energy margins'!$Z$62,0)),0,IF(MOD(IF(AND(B92&gt;='Energy margins'!$AA$62,B92&lt;='Energy margins'!$AB$62),B92-'Energy margins'!$AA$62,""),'Energy margins'!$AC$62)=0,'Energy margins'!$Z$62,0))</f>
        <v>0</v>
      </c>
      <c r="U92" s="944">
        <f t="shared" si="47"/>
        <v>590.26478399999996</v>
      </c>
      <c r="V92" s="197"/>
      <c r="W92" s="197">
        <f t="shared" ref="W92:W106" si="52">I92+U92+V92</f>
        <v>590.26478399999996</v>
      </c>
      <c r="X92" s="197">
        <f t="shared" si="48"/>
        <v>124.93521600000008</v>
      </c>
      <c r="Y92" s="197">
        <f t="shared" si="49"/>
        <v>300.88521600000013</v>
      </c>
      <c r="Z92" s="973">
        <f t="shared" ref="Z92:Z106" si="53">F92/(1+$C$6)^($B92-1)</f>
        <v>687.69230769230774</v>
      </c>
      <c r="AA92" s="974">
        <f t="shared" ref="AA92:AA106" si="54">G92/((1+$C$6)^($B92-1))</f>
        <v>169.18269230769229</v>
      </c>
      <c r="AB92" s="974">
        <f t="shared" ref="AB92:AB106" si="55">W92/(1+$C$6)^($B92-1)</f>
        <v>567.56229230769225</v>
      </c>
      <c r="AC92" s="974">
        <f t="shared" ref="AC92:AC106" si="56">X92/(1+$C$6)^($B92-1)</f>
        <v>120.13001538461546</v>
      </c>
      <c r="AD92" s="974">
        <f t="shared" ref="AD92:AD106" si="57">Y92/(1+$C$6)^($B92-1)</f>
        <v>289.31270769230781</v>
      </c>
      <c r="AE92" s="973">
        <f>AE91+Z92</f>
        <v>687.69230769230774</v>
      </c>
      <c r="AF92" s="974">
        <f t="shared" ref="AF92:AF106" si="58">AF91+AA92</f>
        <v>345.13269230769231</v>
      </c>
      <c r="AG92" s="974">
        <f t="shared" ref="AG92:AG106" si="59">AG91+AB92</f>
        <v>2802.0445763076923</v>
      </c>
      <c r="AH92" s="974">
        <f t="shared" ref="AH92:AH106" si="60">AH91+AC92</f>
        <v>-2114.3522686153847</v>
      </c>
      <c r="AI92" s="975">
        <f t="shared" ref="AI92:AI106" si="61">AI91+AD92</f>
        <v>-1769.2195763076925</v>
      </c>
    </row>
    <row r="93" spans="2:35" x14ac:dyDescent="0.3">
      <c r="B93" s="900">
        <v>3</v>
      </c>
      <c r="C93" s="922">
        <f>'Energy Inputs'!G32</f>
        <v>0.90184049079754602</v>
      </c>
      <c r="D93" s="918">
        <f>C93*'Energy Inputs'!$G$24</f>
        <v>14.700000000000001</v>
      </c>
      <c r="E93" s="197">
        <f>'Energy margins'!$Z$12</f>
        <v>72</v>
      </c>
      <c r="F93" s="197">
        <f t="shared" ref="F93:F106" si="62">D93*E93</f>
        <v>1058.4000000000001</v>
      </c>
      <c r="G93" s="918">
        <f>'Energy Inputs'!$D$10</f>
        <v>175.95</v>
      </c>
      <c r="H93" s="197">
        <f t="shared" si="51"/>
        <v>1234.3500000000001</v>
      </c>
      <c r="I93" s="197"/>
      <c r="J93" s="947">
        <f>IF(ISERROR(IF(MOD(IF(AND(B93&gt;='Energy margins'!$AA$44,B93&lt;='Energy margins'!$AB$44),B93-'Energy margins'!$AA$44,""),'Energy margins'!$AC$44)=0,'Energy margins'!$Z$44,0)),0,IF(MOD(IF(AND(B93&gt;='Energy margins'!$AA$44,B93&lt;='Energy margins'!$AB$44),B93-'Energy margins'!$AA$44,""),'Energy margins'!$AC$44)=0,'Energy margins'!$Z$44,0))</f>
        <v>181.92999999999998</v>
      </c>
      <c r="K93" s="918">
        <f>IF(ISERROR(IF(MOD(IF(AND(B93&gt;='Energy margins'!$AA$45,B93&lt;='Energy margins'!$AB$45),B93-'Energy margins'!$AA$45,""),'Energy margins'!$AC$45)=0,'Energy margins'!$Z$45,0)),0,IF(MOD(IF(AND(B93&gt;='Energy margins'!$AA$45,B93&lt;='Energy margins'!$AB$45),B93-'Energy margins'!$AA$45,""),'Energy margins'!$AC$45)=0,'Energy margins'!$Z$45,0))</f>
        <v>0</v>
      </c>
      <c r="L93" s="918">
        <f>IF(ISERROR(IF(MOD(IF(AND(B93&gt;='Energy margins'!$AA$46,B93&lt;='Energy margins'!$AB$46),B93-'Energy margins'!$AA$46,""),'Energy margins'!$AC$46)=0,'Energy margins'!$Z$46,0)),0,IF(MOD(IF(AND(B93&gt;='Energy margins'!$AA$46,B93&lt;='Energy margins'!$AB$46),B93-'Energy margins'!$AA$46,""),'Energy margins'!$AC$46)=0,'Energy margins'!$Z$46,0))</f>
        <v>0</v>
      </c>
      <c r="M93" s="918">
        <f>IF(ISERROR(IF(MOD(IF(AND(B93&gt;='Energy margins'!$AA$47,B93&lt;='Energy margins'!$AB$47),B93-'Energy margins'!$AA$47,""),'Energy margins'!$AC$47)=0,'Energy margins'!$Z$47,0)),0,IF(MOD(IF(AND(B93&gt;='Energy margins'!$AA$47,B93&lt;='Energy margins'!$AB$47),B93-'Energy margins'!$AA$47,""),'Energy margins'!$AC$47)=0,'Energy margins'!$Z$47,0))</f>
        <v>19.974783999999993</v>
      </c>
      <c r="N93" s="918">
        <f>IF(ISERROR(IF(MOD(IF(AND(B93&gt;='Energy margins'!$AA$50,B93&lt;='Energy margins'!$AB$50),B93-'Energy margins'!$AA$50,""),'Energy margins'!$AC$50)=0,'Energy margins'!$Z$50,0)),0,IF(MOD(IF(AND(B93&gt;='Energy margins'!$AA$50,B93&lt;='Energy margins'!$AB$50),B93-'Energy margins'!$AA$50,""),'Energy margins'!$AC$50)=0,'Energy margins'!$Z$50,0))</f>
        <v>72.48</v>
      </c>
      <c r="O93" s="918">
        <f>IF(ISERROR(IF(MOD(IF(AND(B93&gt;='Energy margins'!$AA$53,B93&lt;='Energy margins'!$AB$53),B93-'Energy margins'!$AA$53,""),'Energy margins'!$AC$53)=0,'Energy margins'!$Z$53,0)),0,IF(MOD(IF(AND(B93&gt;='Energy margins'!$AA$53,B93&lt;='Energy margins'!$AB$53),B93-'Energy margins'!$AA$53,""),'Energy margins'!$AC$53)=0,'Energy margins'!$Z$53,0))</f>
        <v>89.24</v>
      </c>
      <c r="P93" s="918">
        <f>IF(ISERROR(IF(MOD(IF(AND(B93&gt;='Energy margins'!$AA$56,B93&lt;='Energy margins'!$AB$56),B93-'Energy margins'!$AA$56,""),'Energy margins'!$AC$56)=0,'Energy margins'!$Z$56,0)),0,IF(MOD(IF(AND(B93&gt;='Energy margins'!$AA$56,B93&lt;='Energy margins'!$AB$56),B93-'Energy margins'!$AA$56,""),'Energy margins'!$AC$56)=0,'Energy margins'!$Z$56,0))</f>
        <v>28.89</v>
      </c>
      <c r="Q93" s="918">
        <f>IF(ISERROR(IF(MOD(IF(AND(B93&gt;='Energy margins'!$AA$59,B93&lt;='Energy margins'!$AB$59),B93-'Energy margins'!$AA$59,""),'Energy margins'!$AC$59)=0,'Energy margins'!$Z$59,0)),0,IF(MOD(IF(AND(B93&gt;='Energy margins'!$AA$59,B93&lt;='Energy margins'!$AB$59),B93-'Energy margins'!$AA$59,""),'Energy margins'!$AC$59)=0,'Energy margins'!$Z$59,0))</f>
        <v>0</v>
      </c>
      <c r="R93" s="918">
        <f>IF(ISERROR(IF(MOD(IF(AND(B93&gt;='Energy margins'!$AA$60,B93&lt;='Energy margins'!$AB$60),B93-'Energy margins'!$AA$60,""),'Energy margins'!$AC$60)=0,'Energy margins'!$Z$60,0)),0,IF(MOD(IF(AND(B93&gt;='Energy margins'!$AA$60,B93&lt;='Energy margins'!$AB$60),B93-'Energy margins'!$AA$60,""),'Energy margins'!$AC$60)=0,'Energy margins'!$Z$60,0))</f>
        <v>0</v>
      </c>
      <c r="S93" s="918">
        <f>IF(ISERROR(IF(MOD(IF(AND(B93&gt;='Energy margins'!$AA$61,B93&lt;='Energy margins'!$AB$61),B93-'Energy margins'!$AA$61,""),'Energy margins'!$AC$61)=0,'Energy margins'!$Z$61,0)),0,IF(MOD(IF(AND(B93&gt;='Energy margins'!$AA$61,B93&lt;='Energy margins'!$AB$61),B93-'Energy margins'!$AA$61,""),'Energy margins'!$AC$61)=0,'Energy margins'!$Z$61,0))</f>
        <v>197.74999999999997</v>
      </c>
      <c r="T93" s="918">
        <f>IF(ISERROR(IF(MOD(IF(AND(B93&gt;='Energy margins'!$AA$62,B93&lt;='Energy margins'!$AB$62),B93-'Energy margins'!$AA$62,""),'Energy margins'!$AC$62)=0,'Energy margins'!$Z$62,0)),0,IF(MOD(IF(AND(B93&gt;='Energy margins'!$AA$62,B93&lt;='Energy margins'!$AB$62),B93-'Energy margins'!$AA$62,""),'Energy margins'!$AC$62)=0,'Energy margins'!$Z$62,0))</f>
        <v>0</v>
      </c>
      <c r="U93" s="944">
        <f t="shared" si="47"/>
        <v>590.26478399999996</v>
      </c>
      <c r="V93" s="197"/>
      <c r="W93" s="197">
        <f t="shared" si="52"/>
        <v>590.26478399999996</v>
      </c>
      <c r="X93" s="197">
        <f t="shared" si="48"/>
        <v>468.13521600000013</v>
      </c>
      <c r="Y93" s="197">
        <f t="shared" si="49"/>
        <v>644.08521600000017</v>
      </c>
      <c r="Z93" s="973">
        <f t="shared" si="53"/>
        <v>978.55029585798809</v>
      </c>
      <c r="AA93" s="974">
        <f t="shared" si="54"/>
        <v>162.67566568047334</v>
      </c>
      <c r="AB93" s="974">
        <f t="shared" si="55"/>
        <v>545.73297337278098</v>
      </c>
      <c r="AC93" s="974">
        <f t="shared" si="56"/>
        <v>432.81732248520717</v>
      </c>
      <c r="AD93" s="974">
        <f t="shared" si="57"/>
        <v>595.49298816568057</v>
      </c>
      <c r="AE93" s="973">
        <f t="shared" ref="AE93:AE106" si="63">AE92+Z93</f>
        <v>1666.2426035502958</v>
      </c>
      <c r="AF93" s="974">
        <f t="shared" si="58"/>
        <v>507.80835798816565</v>
      </c>
      <c r="AG93" s="974">
        <f t="shared" si="59"/>
        <v>3347.7775496804734</v>
      </c>
      <c r="AH93" s="974">
        <f t="shared" si="60"/>
        <v>-1681.5349461301776</v>
      </c>
      <c r="AI93" s="975">
        <f t="shared" si="61"/>
        <v>-1173.7265881420119</v>
      </c>
    </row>
    <row r="94" spans="2:35" x14ac:dyDescent="0.3">
      <c r="B94" s="900">
        <v>4</v>
      </c>
      <c r="C94" s="922">
        <f>'Energy Inputs'!G33</f>
        <v>0.96523517382413093</v>
      </c>
      <c r="D94" s="918">
        <f>C94*'Energy Inputs'!$G$24</f>
        <v>15.733333333333334</v>
      </c>
      <c r="E94" s="197">
        <f>'Energy margins'!$Z$12</f>
        <v>72</v>
      </c>
      <c r="F94" s="197">
        <f t="shared" si="62"/>
        <v>1132.8000000000002</v>
      </c>
      <c r="G94" s="918">
        <f>'Energy Inputs'!$D$10</f>
        <v>175.95</v>
      </c>
      <c r="H94" s="197">
        <f t="shared" si="51"/>
        <v>1308.7500000000002</v>
      </c>
      <c r="I94" s="197"/>
      <c r="J94" s="947">
        <f>IF(ISERROR(IF(MOD(IF(AND(B94&gt;='Energy margins'!$AA$44,B94&lt;='Energy margins'!$AB$44),B94-'Energy margins'!$AA$44,""),'Energy margins'!$AC$44)=0,'Energy margins'!$Z$44,0)),0,IF(MOD(IF(AND(B94&gt;='Energy margins'!$AA$44,B94&lt;='Energy margins'!$AB$44),B94-'Energy margins'!$AA$44,""),'Energy margins'!$AC$44)=0,'Energy margins'!$Z$44,0))</f>
        <v>0</v>
      </c>
      <c r="K94" s="918">
        <f>IF(ISERROR(IF(MOD(IF(AND(B94&gt;='Energy margins'!$AA$45,B94&lt;='Energy margins'!$AB$45),B94-'Energy margins'!$AA$45,""),'Energy margins'!$AC$45)=0,'Energy margins'!$Z$45,0)),0,IF(MOD(IF(AND(B94&gt;='Energy margins'!$AA$45,B94&lt;='Energy margins'!$AB$45),B94-'Energy margins'!$AA$45,""),'Energy margins'!$AC$45)=0,'Energy margins'!$Z$45,0))</f>
        <v>0</v>
      </c>
      <c r="L94" s="918">
        <f>IF(ISERROR(IF(MOD(IF(AND(B94&gt;='Energy margins'!$AA$46,B94&lt;='Energy margins'!$AB$46),B94-'Energy margins'!$AA$46,""),'Energy margins'!$AC$46)=0,'Energy margins'!$Z$46,0)),0,IF(MOD(IF(AND(B94&gt;='Energy margins'!$AA$46,B94&lt;='Energy margins'!$AB$46),B94-'Energy margins'!$AA$46,""),'Energy margins'!$AC$46)=0,'Energy margins'!$Z$46,0))</f>
        <v>0</v>
      </c>
      <c r="M94" s="918">
        <f>IF(ISERROR(IF(MOD(IF(AND(B94&gt;='Energy margins'!$AA$47,B94&lt;='Energy margins'!$AB$47),B94-'Energy margins'!$AA$47,""),'Energy margins'!$AC$47)=0,'Energy margins'!$Z$47,0)),0,IF(MOD(IF(AND(B94&gt;='Energy margins'!$AA$47,B94&lt;='Energy margins'!$AB$47),B94-'Energy margins'!$AA$47,""),'Energy margins'!$AC$47)=0,'Energy margins'!$Z$47,0))</f>
        <v>19.974783999999993</v>
      </c>
      <c r="N94" s="918">
        <f>IF(ISERROR(IF(MOD(IF(AND(B94&gt;='Energy margins'!$AA$50,B94&lt;='Energy margins'!$AB$50),B94-'Energy margins'!$AA$50,""),'Energy margins'!$AC$50)=0,'Energy margins'!$Z$50,0)),0,IF(MOD(IF(AND(B94&gt;='Energy margins'!$AA$50,B94&lt;='Energy margins'!$AB$50),B94-'Energy margins'!$AA$50,""),'Energy margins'!$AC$50)=0,'Energy margins'!$Z$50,0))</f>
        <v>72.48</v>
      </c>
      <c r="O94" s="918">
        <f>IF(ISERROR(IF(MOD(IF(AND(B94&gt;='Energy margins'!$AA$53,B94&lt;='Energy margins'!$AB$53),B94-'Energy margins'!$AA$53,""),'Energy margins'!$AC$53)=0,'Energy margins'!$Z$53,0)),0,IF(MOD(IF(AND(B94&gt;='Energy margins'!$AA$53,B94&lt;='Energy margins'!$AB$53),B94-'Energy margins'!$AA$53,""),'Energy margins'!$AC$53)=0,'Energy margins'!$Z$53,0))</f>
        <v>89.24</v>
      </c>
      <c r="P94" s="918">
        <f>IF(ISERROR(IF(MOD(IF(AND(B94&gt;='Energy margins'!$AA$56,B94&lt;='Energy margins'!$AB$56),B94-'Energy margins'!$AA$56,""),'Energy margins'!$AC$56)=0,'Energy margins'!$Z$56,0)),0,IF(MOD(IF(AND(B94&gt;='Energy margins'!$AA$56,B94&lt;='Energy margins'!$AB$56),B94-'Energy margins'!$AA$56,""),'Energy margins'!$AC$56)=0,'Energy margins'!$Z$56,0))</f>
        <v>28.89</v>
      </c>
      <c r="Q94" s="918">
        <f>IF(ISERROR(IF(MOD(IF(AND(B94&gt;='Energy margins'!$AA$59,B94&lt;='Energy margins'!$AB$59),B94-'Energy margins'!$AA$59,""),'Energy margins'!$AC$59)=0,'Energy margins'!$Z$59,0)),0,IF(MOD(IF(AND(B94&gt;='Energy margins'!$AA$59,B94&lt;='Energy margins'!$AB$59),B94-'Energy margins'!$AA$59,""),'Energy margins'!$AC$59)=0,'Energy margins'!$Z$59,0))</f>
        <v>0</v>
      </c>
      <c r="R94" s="918">
        <f>IF(ISERROR(IF(MOD(IF(AND(B94&gt;='Energy margins'!$AA$60,B94&lt;='Energy margins'!$AB$60),B94-'Energy margins'!$AA$60,""),'Energy margins'!$AC$60)=0,'Energy margins'!$Z$60,0)),0,IF(MOD(IF(AND(B94&gt;='Energy margins'!$AA$60,B94&lt;='Energy margins'!$AB$60),B94-'Energy margins'!$AA$60,""),'Energy margins'!$AC$60)=0,'Energy margins'!$Z$60,0))</f>
        <v>0</v>
      </c>
      <c r="S94" s="918">
        <f>IF(ISERROR(IF(MOD(IF(AND(B94&gt;='Energy margins'!$AA$61,B94&lt;='Energy margins'!$AB$61),B94-'Energy margins'!$AA$61,""),'Energy margins'!$AC$61)=0,'Energy margins'!$Z$61,0)),0,IF(MOD(IF(AND(B94&gt;='Energy margins'!$AA$61,B94&lt;='Energy margins'!$AB$61),B94-'Energy margins'!$AA$61,""),'Energy margins'!$AC$61)=0,'Energy margins'!$Z$61,0))</f>
        <v>197.74999999999997</v>
      </c>
      <c r="T94" s="918">
        <f>IF(ISERROR(IF(MOD(IF(AND(B94&gt;='Energy margins'!$AA$62,B94&lt;='Energy margins'!$AB$62),B94-'Energy margins'!$AA$62,""),'Energy margins'!$AC$62)=0,'Energy margins'!$Z$62,0)),0,IF(MOD(IF(AND(B94&gt;='Energy margins'!$AA$62,B94&lt;='Energy margins'!$AB$62),B94-'Energy margins'!$AA$62,""),'Energy margins'!$AC$62)=0,'Energy margins'!$Z$62,0))</f>
        <v>0</v>
      </c>
      <c r="U94" s="944">
        <f t="shared" si="47"/>
        <v>408.3347839999999</v>
      </c>
      <c r="V94" s="197"/>
      <c r="W94" s="197">
        <f t="shared" si="52"/>
        <v>408.3347839999999</v>
      </c>
      <c r="X94" s="197">
        <f t="shared" si="48"/>
        <v>724.46521600000028</v>
      </c>
      <c r="Y94" s="197">
        <f t="shared" si="49"/>
        <v>900.41521600000033</v>
      </c>
      <c r="Z94" s="973">
        <f t="shared" si="53"/>
        <v>1007.0550751024125</v>
      </c>
      <c r="AA94" s="974">
        <f t="shared" si="54"/>
        <v>156.41890930814745</v>
      </c>
      <c r="AB94" s="974">
        <f t="shared" si="55"/>
        <v>363.00813609467446</v>
      </c>
      <c r="AC94" s="974">
        <f t="shared" si="56"/>
        <v>644.04693900773805</v>
      </c>
      <c r="AD94" s="974">
        <f t="shared" si="57"/>
        <v>800.46584831588552</v>
      </c>
      <c r="AE94" s="973">
        <f t="shared" si="63"/>
        <v>2673.2976786527083</v>
      </c>
      <c r="AF94" s="974">
        <f t="shared" si="58"/>
        <v>664.22726729631313</v>
      </c>
      <c r="AG94" s="974">
        <f t="shared" si="59"/>
        <v>3710.7856857751476</v>
      </c>
      <c r="AH94" s="974">
        <f t="shared" si="60"/>
        <v>-1037.4880071224395</v>
      </c>
      <c r="AI94" s="975">
        <f t="shared" si="61"/>
        <v>-373.26073982612638</v>
      </c>
    </row>
    <row r="95" spans="2:35" x14ac:dyDescent="0.3">
      <c r="B95" s="900">
        <v>5</v>
      </c>
      <c r="C95" s="922">
        <f>'Energy Inputs'!G34</f>
        <v>1</v>
      </c>
      <c r="D95" s="918">
        <f>C95*'Energy Inputs'!$G$24</f>
        <v>16.3</v>
      </c>
      <c r="E95" s="197">
        <f>'Energy margins'!$Z$12</f>
        <v>72</v>
      </c>
      <c r="F95" s="197">
        <f t="shared" si="62"/>
        <v>1173.6000000000001</v>
      </c>
      <c r="G95" s="918">
        <f>'Energy Inputs'!$D$10</f>
        <v>175.95</v>
      </c>
      <c r="H95" s="197">
        <f t="shared" si="51"/>
        <v>1349.5500000000002</v>
      </c>
      <c r="I95" s="197"/>
      <c r="J95" s="947">
        <f>IF(ISERROR(IF(MOD(IF(AND(B95&gt;='Energy margins'!$AA$44,B95&lt;='Energy margins'!$AB$44),B95-'Energy margins'!$AA$44,""),'Energy margins'!$AC$44)=0,'Energy margins'!$Z$44,0)),0,IF(MOD(IF(AND(B95&gt;='Energy margins'!$AA$44,B95&lt;='Energy margins'!$AB$44),B95-'Energy margins'!$AA$44,""),'Energy margins'!$AC$44)=0,'Energy margins'!$Z$44,0))</f>
        <v>0</v>
      </c>
      <c r="K95" s="918">
        <f>IF(ISERROR(IF(MOD(IF(AND(B95&gt;='Energy margins'!$AA$45,B95&lt;='Energy margins'!$AB$45),B95-'Energy margins'!$AA$45,""),'Energy margins'!$AC$45)=0,'Energy margins'!$Z$45,0)),0,IF(MOD(IF(AND(B95&gt;='Energy margins'!$AA$45,B95&lt;='Energy margins'!$AB$45),B95-'Energy margins'!$AA$45,""),'Energy margins'!$AC$45)=0,'Energy margins'!$Z$45,0))</f>
        <v>0</v>
      </c>
      <c r="L95" s="918">
        <f>IF(ISERROR(IF(MOD(IF(AND(B95&gt;='Energy margins'!$AA$46,B95&lt;='Energy margins'!$AB$46),B95-'Energy margins'!$AA$46,""),'Energy margins'!$AC$46)=0,'Energy margins'!$Z$46,0)),0,IF(MOD(IF(AND(B95&gt;='Energy margins'!$AA$46,B95&lt;='Energy margins'!$AB$46),B95-'Energy margins'!$AA$46,""),'Energy margins'!$AC$46)=0,'Energy margins'!$Z$46,0))</f>
        <v>0</v>
      </c>
      <c r="M95" s="918">
        <f>IF(ISERROR(IF(MOD(IF(AND(B95&gt;='Energy margins'!$AA$47,B95&lt;='Energy margins'!$AB$47),B95-'Energy margins'!$AA$47,""),'Energy margins'!$AC$47)=0,'Energy margins'!$Z$47,0)),0,IF(MOD(IF(AND(B95&gt;='Energy margins'!$AA$47,B95&lt;='Energy margins'!$AB$47),B95-'Energy margins'!$AA$47,""),'Energy margins'!$AC$47)=0,'Energy margins'!$Z$47,0))</f>
        <v>19.974783999999993</v>
      </c>
      <c r="N95" s="918">
        <f>IF(ISERROR(IF(MOD(IF(AND(B95&gt;='Energy margins'!$AA$50,B95&lt;='Energy margins'!$AB$50),B95-'Energy margins'!$AA$50,""),'Energy margins'!$AC$50)=0,'Energy margins'!$Z$50,0)),0,IF(MOD(IF(AND(B95&gt;='Energy margins'!$AA$50,B95&lt;='Energy margins'!$AB$50),B95-'Energy margins'!$AA$50,""),'Energy margins'!$AC$50)=0,'Energy margins'!$Z$50,0))</f>
        <v>72.48</v>
      </c>
      <c r="O95" s="918">
        <f>IF(ISERROR(IF(MOD(IF(AND(B95&gt;='Energy margins'!$AA$53,B95&lt;='Energy margins'!$AB$53),B95-'Energy margins'!$AA$53,""),'Energy margins'!$AC$53)=0,'Energy margins'!$Z$53,0)),0,IF(MOD(IF(AND(B95&gt;='Energy margins'!$AA$53,B95&lt;='Energy margins'!$AB$53),B95-'Energy margins'!$AA$53,""),'Energy margins'!$AC$53)=0,'Energy margins'!$Z$53,0))</f>
        <v>89.24</v>
      </c>
      <c r="P95" s="918">
        <f>IF(ISERROR(IF(MOD(IF(AND(B95&gt;='Energy margins'!$AA$56,B95&lt;='Energy margins'!$AB$56),B95-'Energy margins'!$AA$56,""),'Energy margins'!$AC$56)=0,'Energy margins'!$Z$56,0)),0,IF(MOD(IF(AND(B95&gt;='Energy margins'!$AA$56,B95&lt;='Energy margins'!$AB$56),B95-'Energy margins'!$AA$56,""),'Energy margins'!$AC$56)=0,'Energy margins'!$Z$56,0))</f>
        <v>28.89</v>
      </c>
      <c r="Q95" s="918">
        <f>IF(ISERROR(IF(MOD(IF(AND(B95&gt;='Energy margins'!$AA$59,B95&lt;='Energy margins'!$AB$59),B95-'Energy margins'!$AA$59,""),'Energy margins'!$AC$59)=0,'Energy margins'!$Z$59,0)),0,IF(MOD(IF(AND(B95&gt;='Energy margins'!$AA$59,B95&lt;='Energy margins'!$AB$59),B95-'Energy margins'!$AA$59,""),'Energy margins'!$AC$59)=0,'Energy margins'!$Z$59,0))</f>
        <v>0</v>
      </c>
      <c r="R95" s="918">
        <f>IF(ISERROR(IF(MOD(IF(AND(B95&gt;='Energy margins'!$AA$60,B95&lt;='Energy margins'!$AB$60),B95-'Energy margins'!$AA$60,""),'Energy margins'!$AC$60)=0,'Energy margins'!$Z$60,0)),0,IF(MOD(IF(AND(B95&gt;='Energy margins'!$AA$60,B95&lt;='Energy margins'!$AB$60),B95-'Energy margins'!$AA$60,""),'Energy margins'!$AC$60)=0,'Energy margins'!$Z$60,0))</f>
        <v>0</v>
      </c>
      <c r="S95" s="918">
        <f>IF(ISERROR(IF(MOD(IF(AND(B95&gt;='Energy margins'!$AA$61,B95&lt;='Energy margins'!$AB$61),B95-'Energy margins'!$AA$61,""),'Energy margins'!$AC$61)=0,'Energy margins'!$Z$61,0)),0,IF(MOD(IF(AND(B95&gt;='Energy margins'!$AA$61,B95&lt;='Energy margins'!$AB$61),B95-'Energy margins'!$AA$61,""),'Energy margins'!$AC$61)=0,'Energy margins'!$Z$61,0))</f>
        <v>197.74999999999997</v>
      </c>
      <c r="T95" s="918">
        <f>IF(ISERROR(IF(MOD(IF(AND(B95&gt;='Energy margins'!$AA$62,B95&lt;='Energy margins'!$AB$62),B95-'Energy margins'!$AA$62,""),'Energy margins'!$AC$62)=0,'Energy margins'!$Z$62,0)),0,IF(MOD(IF(AND(B95&gt;='Energy margins'!$AA$62,B95&lt;='Energy margins'!$AB$62),B95-'Energy margins'!$AA$62,""),'Energy margins'!$AC$62)=0,'Energy margins'!$Z$62,0))</f>
        <v>0</v>
      </c>
      <c r="U95" s="944">
        <f t="shared" si="47"/>
        <v>408.3347839999999</v>
      </c>
      <c r="V95" s="197"/>
      <c r="W95" s="197">
        <f t="shared" si="52"/>
        <v>408.3347839999999</v>
      </c>
      <c r="X95" s="197">
        <f t="shared" si="48"/>
        <v>765.26521600000024</v>
      </c>
      <c r="Y95" s="197">
        <f t="shared" si="49"/>
        <v>941.21521600000028</v>
      </c>
      <c r="Z95" s="973">
        <f t="shared" si="53"/>
        <v>1003.1981985924862</v>
      </c>
      <c r="AA95" s="974">
        <f t="shared" si="54"/>
        <v>150.40279741168024</v>
      </c>
      <c r="AB95" s="974">
        <f t="shared" si="55"/>
        <v>349.04628470641768</v>
      </c>
      <c r="AC95" s="974">
        <f t="shared" si="56"/>
        <v>654.15191388606854</v>
      </c>
      <c r="AD95" s="974">
        <f t="shared" si="57"/>
        <v>804.55471129774878</v>
      </c>
      <c r="AE95" s="973">
        <f t="shared" si="63"/>
        <v>3676.4958772451946</v>
      </c>
      <c r="AF95" s="974">
        <f t="shared" si="58"/>
        <v>814.63006470799337</v>
      </c>
      <c r="AG95" s="974">
        <f t="shared" si="59"/>
        <v>4059.8319704815653</v>
      </c>
      <c r="AH95" s="974">
        <f t="shared" si="60"/>
        <v>-383.33609323637097</v>
      </c>
      <c r="AI95" s="975">
        <f t="shared" si="61"/>
        <v>431.2939714716224</v>
      </c>
    </row>
    <row r="96" spans="2:35" x14ac:dyDescent="0.3">
      <c r="B96" s="900">
        <v>6</v>
      </c>
      <c r="C96" s="922">
        <f>'Energy Inputs'!G35</f>
        <v>1</v>
      </c>
      <c r="D96" s="918">
        <f>C96*'Energy Inputs'!$G$24</f>
        <v>16.3</v>
      </c>
      <c r="E96" s="197">
        <f>'Energy margins'!$Z$12</f>
        <v>72</v>
      </c>
      <c r="F96" s="197">
        <f t="shared" si="62"/>
        <v>1173.6000000000001</v>
      </c>
      <c r="G96" s="918">
        <f>'Energy Inputs'!$D$10</f>
        <v>175.95</v>
      </c>
      <c r="H96" s="197">
        <f t="shared" si="51"/>
        <v>1349.5500000000002</v>
      </c>
      <c r="I96" s="197"/>
      <c r="J96" s="947">
        <f>IF(ISERROR(IF(MOD(IF(AND(B96&gt;='Energy margins'!$AA$44,B96&lt;='Energy margins'!$AB$44),B96-'Energy margins'!$AA$44,""),'Energy margins'!$AC$44)=0,'Energy margins'!$Z$44,0)),0,IF(MOD(IF(AND(B96&gt;='Energy margins'!$AA$44,B96&lt;='Energy margins'!$AB$44),B96-'Energy margins'!$AA$44,""),'Energy margins'!$AC$44)=0,'Energy margins'!$Z$44,0))</f>
        <v>0</v>
      </c>
      <c r="K96" s="918">
        <f>IF(ISERROR(IF(MOD(IF(AND(B96&gt;='Energy margins'!$AA$45,B96&lt;='Energy margins'!$AB$45),B96-'Energy margins'!$AA$45,""),'Energy margins'!$AC$45)=0,'Energy margins'!$Z$45,0)),0,IF(MOD(IF(AND(B96&gt;='Energy margins'!$AA$45,B96&lt;='Energy margins'!$AB$45),B96-'Energy margins'!$AA$45,""),'Energy margins'!$AC$45)=0,'Energy margins'!$Z$45,0))</f>
        <v>0</v>
      </c>
      <c r="L96" s="918">
        <f>IF(ISERROR(IF(MOD(IF(AND(B96&gt;='Energy margins'!$AA$46,B96&lt;='Energy margins'!$AB$46),B96-'Energy margins'!$AA$46,""),'Energy margins'!$AC$46)=0,'Energy margins'!$Z$46,0)),0,IF(MOD(IF(AND(B96&gt;='Energy margins'!$AA$46,B96&lt;='Energy margins'!$AB$46),B96-'Energy margins'!$AA$46,""),'Energy margins'!$AC$46)=0,'Energy margins'!$Z$46,0))</f>
        <v>0</v>
      </c>
      <c r="M96" s="918">
        <f>IF(ISERROR(IF(MOD(IF(AND(B96&gt;='Energy margins'!$AA$47,B96&lt;='Energy margins'!$AB$47),B96-'Energy margins'!$AA$47,""),'Energy margins'!$AC$47)=0,'Energy margins'!$Z$47,0)),0,IF(MOD(IF(AND(B96&gt;='Energy margins'!$AA$47,B96&lt;='Energy margins'!$AB$47),B96-'Energy margins'!$AA$47,""),'Energy margins'!$AC$47)=0,'Energy margins'!$Z$47,0))</f>
        <v>19.974783999999993</v>
      </c>
      <c r="N96" s="918">
        <f>IF(ISERROR(IF(MOD(IF(AND(B96&gt;='Energy margins'!$AA$50,B96&lt;='Energy margins'!$AB$50),B96-'Energy margins'!$AA$50,""),'Energy margins'!$AC$50)=0,'Energy margins'!$Z$50,0)),0,IF(MOD(IF(AND(B96&gt;='Energy margins'!$AA$50,B96&lt;='Energy margins'!$AB$50),B96-'Energy margins'!$AA$50,""),'Energy margins'!$AC$50)=0,'Energy margins'!$Z$50,0))</f>
        <v>72.48</v>
      </c>
      <c r="O96" s="918">
        <f>IF(ISERROR(IF(MOD(IF(AND(B96&gt;='Energy margins'!$AA$53,B96&lt;='Energy margins'!$AB$53),B96-'Energy margins'!$AA$53,""),'Energy margins'!$AC$53)=0,'Energy margins'!$Z$53,0)),0,IF(MOD(IF(AND(B96&gt;='Energy margins'!$AA$53,B96&lt;='Energy margins'!$AB$53),B96-'Energy margins'!$AA$53,""),'Energy margins'!$AC$53)=0,'Energy margins'!$Z$53,0))</f>
        <v>89.24</v>
      </c>
      <c r="P96" s="918">
        <f>IF(ISERROR(IF(MOD(IF(AND(B96&gt;='Energy margins'!$AA$56,B96&lt;='Energy margins'!$AB$56),B96-'Energy margins'!$AA$56,""),'Energy margins'!$AC$56)=0,'Energy margins'!$Z$56,0)),0,IF(MOD(IF(AND(B96&gt;='Energy margins'!$AA$56,B96&lt;='Energy margins'!$AB$56),B96-'Energy margins'!$AA$56,""),'Energy margins'!$AC$56)=0,'Energy margins'!$Z$56,0))</f>
        <v>28.89</v>
      </c>
      <c r="Q96" s="918">
        <f>IF(ISERROR(IF(MOD(IF(AND(B96&gt;='Energy margins'!$AA$59,B96&lt;='Energy margins'!$AB$59),B96-'Energy margins'!$AA$59,""),'Energy margins'!$AC$59)=0,'Energy margins'!$Z$59,0)),0,IF(MOD(IF(AND(B96&gt;='Energy margins'!$AA$59,B96&lt;='Energy margins'!$AB$59),B96-'Energy margins'!$AA$59,""),'Energy margins'!$AC$59)=0,'Energy margins'!$Z$59,0))</f>
        <v>0</v>
      </c>
      <c r="R96" s="918">
        <f>IF(ISERROR(IF(MOD(IF(AND(B96&gt;='Energy margins'!$AA$60,B96&lt;='Energy margins'!$AB$60),B96-'Energy margins'!$AA$60,""),'Energy margins'!$AC$60)=0,'Energy margins'!$Z$60,0)),0,IF(MOD(IF(AND(B96&gt;='Energy margins'!$AA$60,B96&lt;='Energy margins'!$AB$60),B96-'Energy margins'!$AA$60,""),'Energy margins'!$AC$60)=0,'Energy margins'!$Z$60,0))</f>
        <v>0</v>
      </c>
      <c r="S96" s="918">
        <f>IF(ISERROR(IF(MOD(IF(AND(B96&gt;='Energy margins'!$AA$61,B96&lt;='Energy margins'!$AB$61),B96-'Energy margins'!$AA$61,""),'Energy margins'!$AC$61)=0,'Energy margins'!$Z$61,0)),0,IF(MOD(IF(AND(B96&gt;='Energy margins'!$AA$61,B96&lt;='Energy margins'!$AB$61),B96-'Energy margins'!$AA$61,""),'Energy margins'!$AC$61)=0,'Energy margins'!$Z$61,0))</f>
        <v>197.74999999999997</v>
      </c>
      <c r="T96" s="918">
        <f>IF(ISERROR(IF(MOD(IF(AND(B96&gt;='Energy margins'!$AA$62,B96&lt;='Energy margins'!$AB$62),B96-'Energy margins'!$AA$62,""),'Energy margins'!$AC$62)=0,'Energy margins'!$Z$62,0)),0,IF(MOD(IF(AND(B96&gt;='Energy margins'!$AA$62,B96&lt;='Energy margins'!$AB$62),B96-'Energy margins'!$AA$62,""),'Energy margins'!$AC$62)=0,'Energy margins'!$Z$62,0))</f>
        <v>0</v>
      </c>
      <c r="U96" s="944">
        <f t="shared" si="47"/>
        <v>408.3347839999999</v>
      </c>
      <c r="V96" s="197"/>
      <c r="W96" s="197">
        <f t="shared" si="52"/>
        <v>408.3347839999999</v>
      </c>
      <c r="X96" s="197">
        <f t="shared" si="48"/>
        <v>765.26521600000024</v>
      </c>
      <c r="Y96" s="197">
        <f t="shared" si="49"/>
        <v>941.21521600000028</v>
      </c>
      <c r="Z96" s="973">
        <f t="shared" si="53"/>
        <v>964.61365249277503</v>
      </c>
      <c r="AA96" s="974">
        <f t="shared" si="54"/>
        <v>144.61807443430789</v>
      </c>
      <c r="AB96" s="974">
        <f t="shared" si="55"/>
        <v>335.62142760232467</v>
      </c>
      <c r="AC96" s="974">
        <f t="shared" si="56"/>
        <v>628.99222489045042</v>
      </c>
      <c r="AD96" s="974">
        <f t="shared" si="57"/>
        <v>773.61029932475833</v>
      </c>
      <c r="AE96" s="973">
        <f t="shared" si="63"/>
        <v>4641.1095297379698</v>
      </c>
      <c r="AF96" s="974">
        <f t="shared" si="58"/>
        <v>959.24813914230128</v>
      </c>
      <c r="AG96" s="974">
        <f t="shared" si="59"/>
        <v>4395.4533980838896</v>
      </c>
      <c r="AH96" s="974">
        <f t="shared" si="60"/>
        <v>245.65613165407945</v>
      </c>
      <c r="AI96" s="975">
        <f t="shared" si="61"/>
        <v>1204.9042707963808</v>
      </c>
    </row>
    <row r="97" spans="2:35" x14ac:dyDescent="0.3">
      <c r="B97" s="900">
        <v>7</v>
      </c>
      <c r="C97" s="922">
        <f>'Energy Inputs'!G36</f>
        <v>1</v>
      </c>
      <c r="D97" s="918">
        <f>C97*'Energy Inputs'!$G$24</f>
        <v>16.3</v>
      </c>
      <c r="E97" s="197">
        <f>'Energy margins'!$Z$12</f>
        <v>72</v>
      </c>
      <c r="F97" s="197">
        <f t="shared" si="62"/>
        <v>1173.6000000000001</v>
      </c>
      <c r="G97" s="918">
        <f>'Energy Inputs'!$D$10</f>
        <v>175.95</v>
      </c>
      <c r="H97" s="197">
        <f t="shared" si="51"/>
        <v>1349.5500000000002</v>
      </c>
      <c r="I97" s="197"/>
      <c r="J97" s="947">
        <f>IF(ISERROR(IF(MOD(IF(AND(B97&gt;='Energy margins'!$AA$44,B97&lt;='Energy margins'!$AB$44),B97-'Energy margins'!$AA$44,""),'Energy margins'!$AC$44)=0,'Energy margins'!$Z$44,0)),0,IF(MOD(IF(AND(B97&gt;='Energy margins'!$AA$44,B97&lt;='Energy margins'!$AB$44),B97-'Energy margins'!$AA$44,""),'Energy margins'!$AC$44)=0,'Energy margins'!$Z$44,0))</f>
        <v>0</v>
      </c>
      <c r="K97" s="918">
        <f>IF(ISERROR(IF(MOD(IF(AND(B97&gt;='Energy margins'!$AA$45,B97&lt;='Energy margins'!$AB$45),B97-'Energy margins'!$AA$45,""),'Energy margins'!$AC$45)=0,'Energy margins'!$Z$45,0)),0,IF(MOD(IF(AND(B97&gt;='Energy margins'!$AA$45,B97&lt;='Energy margins'!$AB$45),B97-'Energy margins'!$AA$45,""),'Energy margins'!$AC$45)=0,'Energy margins'!$Z$45,0))</f>
        <v>0</v>
      </c>
      <c r="L97" s="918">
        <f>IF(ISERROR(IF(MOD(IF(AND(B97&gt;='Energy margins'!$AA$46,B97&lt;='Energy margins'!$AB$46),B97-'Energy margins'!$AA$46,""),'Energy margins'!$AC$46)=0,'Energy margins'!$Z$46,0)),0,IF(MOD(IF(AND(B97&gt;='Energy margins'!$AA$46,B97&lt;='Energy margins'!$AB$46),B97-'Energy margins'!$AA$46,""),'Energy margins'!$AC$46)=0,'Energy margins'!$Z$46,0))</f>
        <v>0</v>
      </c>
      <c r="M97" s="918">
        <f>IF(ISERROR(IF(MOD(IF(AND(B97&gt;='Energy margins'!$AA$47,B97&lt;='Energy margins'!$AB$47),B97-'Energy margins'!$AA$47,""),'Energy margins'!$AC$47)=0,'Energy margins'!$Z$47,0)),0,IF(MOD(IF(AND(B97&gt;='Energy margins'!$AA$47,B97&lt;='Energy margins'!$AB$47),B97-'Energy margins'!$AA$47,""),'Energy margins'!$AC$47)=0,'Energy margins'!$Z$47,0))</f>
        <v>19.974783999999993</v>
      </c>
      <c r="N97" s="918">
        <f>IF(ISERROR(IF(MOD(IF(AND(B97&gt;='Energy margins'!$AA$50,B97&lt;='Energy margins'!$AB$50),B97-'Energy margins'!$AA$50,""),'Energy margins'!$AC$50)=0,'Energy margins'!$Z$50,0)),0,IF(MOD(IF(AND(B97&gt;='Energy margins'!$AA$50,B97&lt;='Energy margins'!$AB$50),B97-'Energy margins'!$AA$50,""),'Energy margins'!$AC$50)=0,'Energy margins'!$Z$50,0))</f>
        <v>72.48</v>
      </c>
      <c r="O97" s="918">
        <f>IF(ISERROR(IF(MOD(IF(AND(B97&gt;='Energy margins'!$AA$53,B97&lt;='Energy margins'!$AB$53),B97-'Energy margins'!$AA$53,""),'Energy margins'!$AC$53)=0,'Energy margins'!$Z$53,0)),0,IF(MOD(IF(AND(B97&gt;='Energy margins'!$AA$53,B97&lt;='Energy margins'!$AB$53),B97-'Energy margins'!$AA$53,""),'Energy margins'!$AC$53)=0,'Energy margins'!$Z$53,0))</f>
        <v>89.24</v>
      </c>
      <c r="P97" s="918">
        <f>IF(ISERROR(IF(MOD(IF(AND(B97&gt;='Energy margins'!$AA$56,B97&lt;='Energy margins'!$AB$56),B97-'Energy margins'!$AA$56,""),'Energy margins'!$AC$56)=0,'Energy margins'!$Z$56,0)),0,IF(MOD(IF(AND(B97&gt;='Energy margins'!$AA$56,B97&lt;='Energy margins'!$AB$56),B97-'Energy margins'!$AA$56,""),'Energy margins'!$AC$56)=0,'Energy margins'!$Z$56,0))</f>
        <v>28.89</v>
      </c>
      <c r="Q97" s="918">
        <f>IF(ISERROR(IF(MOD(IF(AND(B97&gt;='Energy margins'!$AA$59,B97&lt;='Energy margins'!$AB$59),B97-'Energy margins'!$AA$59,""),'Energy margins'!$AC$59)=0,'Energy margins'!$Z$59,0)),0,IF(MOD(IF(AND(B97&gt;='Energy margins'!$AA$59,B97&lt;='Energy margins'!$AB$59),B97-'Energy margins'!$AA$59,""),'Energy margins'!$AC$59)=0,'Energy margins'!$Z$59,0))</f>
        <v>0</v>
      </c>
      <c r="R97" s="918">
        <f>IF(ISERROR(IF(MOD(IF(AND(B97&gt;='Energy margins'!$AA$60,B97&lt;='Energy margins'!$AB$60),B97-'Energy margins'!$AA$60,""),'Energy margins'!$AC$60)=0,'Energy margins'!$Z$60,0)),0,IF(MOD(IF(AND(B97&gt;='Energy margins'!$AA$60,B97&lt;='Energy margins'!$AB$60),B97-'Energy margins'!$AA$60,""),'Energy margins'!$AC$60)=0,'Energy margins'!$Z$60,0))</f>
        <v>0</v>
      </c>
      <c r="S97" s="918">
        <f>IF(ISERROR(IF(MOD(IF(AND(B97&gt;='Energy margins'!$AA$61,B97&lt;='Energy margins'!$AB$61),B97-'Energy margins'!$AA$61,""),'Energy margins'!$AC$61)=0,'Energy margins'!$Z$61,0)),0,IF(MOD(IF(AND(B97&gt;='Energy margins'!$AA$61,B97&lt;='Energy margins'!$AB$61),B97-'Energy margins'!$AA$61,""),'Energy margins'!$AC$61)=0,'Energy margins'!$Z$61,0))</f>
        <v>197.74999999999997</v>
      </c>
      <c r="T97" s="918">
        <f>IF(ISERROR(IF(MOD(IF(AND(B97&gt;='Energy margins'!$AA$62,B97&lt;='Energy margins'!$AB$62),B97-'Energy margins'!$AA$62,""),'Energy margins'!$AC$62)=0,'Energy margins'!$Z$62,0)),0,IF(MOD(IF(AND(B97&gt;='Energy margins'!$AA$62,B97&lt;='Energy margins'!$AB$62),B97-'Energy margins'!$AA$62,""),'Energy margins'!$AC$62)=0,'Energy margins'!$Z$62,0))</f>
        <v>0</v>
      </c>
      <c r="U97" s="944">
        <f t="shared" si="47"/>
        <v>408.3347839999999</v>
      </c>
      <c r="V97" s="197"/>
      <c r="W97" s="197">
        <f t="shared" si="52"/>
        <v>408.3347839999999</v>
      </c>
      <c r="X97" s="197">
        <f t="shared" si="48"/>
        <v>765.26521600000024</v>
      </c>
      <c r="Y97" s="197">
        <f t="shared" si="49"/>
        <v>941.21521600000028</v>
      </c>
      <c r="Z97" s="973">
        <f t="shared" si="53"/>
        <v>927.51312739689911</v>
      </c>
      <c r="AA97" s="974">
        <f t="shared" si="54"/>
        <v>139.05584080221914</v>
      </c>
      <c r="AB97" s="974">
        <f t="shared" si="55"/>
        <v>322.71291115608142</v>
      </c>
      <c r="AC97" s="974">
        <f t="shared" si="56"/>
        <v>604.80021624081769</v>
      </c>
      <c r="AD97" s="974">
        <f t="shared" si="57"/>
        <v>743.85605704303691</v>
      </c>
      <c r="AE97" s="973">
        <f t="shared" si="63"/>
        <v>5568.6226571348689</v>
      </c>
      <c r="AF97" s="974">
        <f t="shared" si="58"/>
        <v>1098.3039799445205</v>
      </c>
      <c r="AG97" s="974">
        <f t="shared" si="59"/>
        <v>4718.1663092399713</v>
      </c>
      <c r="AH97" s="974">
        <f t="shared" si="60"/>
        <v>850.45634789489714</v>
      </c>
      <c r="AI97" s="975">
        <f t="shared" si="61"/>
        <v>1948.7603278394176</v>
      </c>
    </row>
    <row r="98" spans="2:35" x14ac:dyDescent="0.3">
      <c r="B98" s="900">
        <v>8</v>
      </c>
      <c r="C98" s="922">
        <f>'Energy Inputs'!G37</f>
        <v>1</v>
      </c>
      <c r="D98" s="918">
        <f>C98*'Energy Inputs'!$G$24</f>
        <v>16.3</v>
      </c>
      <c r="E98" s="197">
        <f>'Energy margins'!$Z$12</f>
        <v>72</v>
      </c>
      <c r="F98" s="197">
        <f t="shared" si="62"/>
        <v>1173.6000000000001</v>
      </c>
      <c r="G98" s="918">
        <f>'Energy Inputs'!$D$10</f>
        <v>175.95</v>
      </c>
      <c r="H98" s="197">
        <f t="shared" si="51"/>
        <v>1349.5500000000002</v>
      </c>
      <c r="I98" s="197"/>
      <c r="J98" s="947">
        <f>IF(ISERROR(IF(MOD(IF(AND(B98&gt;='Energy margins'!$AA$44,B98&lt;='Energy margins'!$AB$44),B98-'Energy margins'!$AA$44,""),'Energy margins'!$AC$44)=0,'Energy margins'!$Z$44,0)),0,IF(MOD(IF(AND(B98&gt;='Energy margins'!$AA$44,B98&lt;='Energy margins'!$AB$44),B98-'Energy margins'!$AA$44,""),'Energy margins'!$AC$44)=0,'Energy margins'!$Z$44,0))</f>
        <v>0</v>
      </c>
      <c r="K98" s="918">
        <f>IF(ISERROR(IF(MOD(IF(AND(B98&gt;='Energy margins'!$AA$45,B98&lt;='Energy margins'!$AB$45),B98-'Energy margins'!$AA$45,""),'Energy margins'!$AC$45)=0,'Energy margins'!$Z$45,0)),0,IF(MOD(IF(AND(B98&gt;='Energy margins'!$AA$45,B98&lt;='Energy margins'!$AB$45),B98-'Energy margins'!$AA$45,""),'Energy margins'!$AC$45)=0,'Energy margins'!$Z$45,0))</f>
        <v>0</v>
      </c>
      <c r="L98" s="918">
        <f>IF(ISERROR(IF(MOD(IF(AND(B98&gt;='Energy margins'!$AA$46,B98&lt;='Energy margins'!$AB$46),B98-'Energy margins'!$AA$46,""),'Energy margins'!$AC$46)=0,'Energy margins'!$Z$46,0)),0,IF(MOD(IF(AND(B98&gt;='Energy margins'!$AA$46,B98&lt;='Energy margins'!$AB$46),B98-'Energy margins'!$AA$46,""),'Energy margins'!$AC$46)=0,'Energy margins'!$Z$46,0))</f>
        <v>0</v>
      </c>
      <c r="M98" s="918">
        <f>IF(ISERROR(IF(MOD(IF(AND(B98&gt;='Energy margins'!$AA$47,B98&lt;='Energy margins'!$AB$47),B98-'Energy margins'!$AA$47,""),'Energy margins'!$AC$47)=0,'Energy margins'!$Z$47,0)),0,IF(MOD(IF(AND(B98&gt;='Energy margins'!$AA$47,B98&lt;='Energy margins'!$AB$47),B98-'Energy margins'!$AA$47,""),'Energy margins'!$AC$47)=0,'Energy margins'!$Z$47,0))</f>
        <v>19.974783999999993</v>
      </c>
      <c r="N98" s="918">
        <f>IF(ISERROR(IF(MOD(IF(AND(B98&gt;='Energy margins'!$AA$50,B98&lt;='Energy margins'!$AB$50),B98-'Energy margins'!$AA$50,""),'Energy margins'!$AC$50)=0,'Energy margins'!$Z$50,0)),0,IF(MOD(IF(AND(B98&gt;='Energy margins'!$AA$50,B98&lt;='Energy margins'!$AB$50),B98-'Energy margins'!$AA$50,""),'Energy margins'!$AC$50)=0,'Energy margins'!$Z$50,0))</f>
        <v>72.48</v>
      </c>
      <c r="O98" s="918">
        <f>IF(ISERROR(IF(MOD(IF(AND(B98&gt;='Energy margins'!$AA$53,B98&lt;='Energy margins'!$AB$53),B98-'Energy margins'!$AA$53,""),'Energy margins'!$AC$53)=0,'Energy margins'!$Z$53,0)),0,IF(MOD(IF(AND(B98&gt;='Energy margins'!$AA$53,B98&lt;='Energy margins'!$AB$53),B98-'Energy margins'!$AA$53,""),'Energy margins'!$AC$53)=0,'Energy margins'!$Z$53,0))</f>
        <v>89.24</v>
      </c>
      <c r="P98" s="918">
        <f>IF(ISERROR(IF(MOD(IF(AND(B98&gt;='Energy margins'!$AA$56,B98&lt;='Energy margins'!$AB$56),B98-'Energy margins'!$AA$56,""),'Energy margins'!$AC$56)=0,'Energy margins'!$Z$56,0)),0,IF(MOD(IF(AND(B98&gt;='Energy margins'!$AA$56,B98&lt;='Energy margins'!$AB$56),B98-'Energy margins'!$AA$56,""),'Energy margins'!$AC$56)=0,'Energy margins'!$Z$56,0))</f>
        <v>28.89</v>
      </c>
      <c r="Q98" s="918">
        <f>IF(ISERROR(IF(MOD(IF(AND(B98&gt;='Energy margins'!$AA$59,B98&lt;='Energy margins'!$AB$59),B98-'Energy margins'!$AA$59,""),'Energy margins'!$AC$59)=0,'Energy margins'!$Z$59,0)),0,IF(MOD(IF(AND(B98&gt;='Energy margins'!$AA$59,B98&lt;='Energy margins'!$AB$59),B98-'Energy margins'!$AA$59,""),'Energy margins'!$AC$59)=0,'Energy margins'!$Z$59,0))</f>
        <v>0</v>
      </c>
      <c r="R98" s="918">
        <f>IF(ISERROR(IF(MOD(IF(AND(B98&gt;='Energy margins'!$AA$60,B98&lt;='Energy margins'!$AB$60),B98-'Energy margins'!$AA$60,""),'Energy margins'!$AC$60)=0,'Energy margins'!$Z$60,0)),0,IF(MOD(IF(AND(B98&gt;='Energy margins'!$AA$60,B98&lt;='Energy margins'!$AB$60),B98-'Energy margins'!$AA$60,""),'Energy margins'!$AC$60)=0,'Energy margins'!$Z$60,0))</f>
        <v>0</v>
      </c>
      <c r="S98" s="918">
        <f>IF(ISERROR(IF(MOD(IF(AND(B98&gt;='Energy margins'!$AA$61,B98&lt;='Energy margins'!$AB$61),B98-'Energy margins'!$AA$61,""),'Energy margins'!$AC$61)=0,'Energy margins'!$Z$61,0)),0,IF(MOD(IF(AND(B98&gt;='Energy margins'!$AA$61,B98&lt;='Energy margins'!$AB$61),B98-'Energy margins'!$AA$61,""),'Energy margins'!$AC$61)=0,'Energy margins'!$Z$61,0))</f>
        <v>197.74999999999997</v>
      </c>
      <c r="T98" s="918">
        <f>IF(ISERROR(IF(MOD(IF(AND(B98&gt;='Energy margins'!$AA$62,B98&lt;='Energy margins'!$AB$62),B98-'Energy margins'!$AA$62,""),'Energy margins'!$AC$62)=0,'Energy margins'!$Z$62,0)),0,IF(MOD(IF(AND(B98&gt;='Energy margins'!$AA$62,B98&lt;='Energy margins'!$AB$62),B98-'Energy margins'!$AA$62,""),'Energy margins'!$AC$62)=0,'Energy margins'!$Z$62,0))</f>
        <v>0</v>
      </c>
      <c r="U98" s="944">
        <f t="shared" si="47"/>
        <v>408.3347839999999</v>
      </c>
      <c r="V98" s="197"/>
      <c r="W98" s="197">
        <f t="shared" si="52"/>
        <v>408.3347839999999</v>
      </c>
      <c r="X98" s="197">
        <f t="shared" si="48"/>
        <v>765.26521600000024</v>
      </c>
      <c r="Y98" s="197">
        <f t="shared" si="49"/>
        <v>941.21521600000028</v>
      </c>
      <c r="Z98" s="973">
        <f t="shared" si="53"/>
        <v>891.83954557394156</v>
      </c>
      <c r="AA98" s="974">
        <f t="shared" si="54"/>
        <v>133.70753923290303</v>
      </c>
      <c r="AB98" s="974">
        <f t="shared" si="55"/>
        <v>310.30087611161679</v>
      </c>
      <c r="AC98" s="974">
        <f t="shared" si="56"/>
        <v>581.53866946232472</v>
      </c>
      <c r="AD98" s="974">
        <f t="shared" si="57"/>
        <v>715.24620869522778</v>
      </c>
      <c r="AE98" s="973">
        <f t="shared" si="63"/>
        <v>6460.4622027088108</v>
      </c>
      <c r="AF98" s="974">
        <f t="shared" si="58"/>
        <v>1232.0115191774235</v>
      </c>
      <c r="AG98" s="974">
        <f t="shared" si="59"/>
        <v>5028.4671853515883</v>
      </c>
      <c r="AH98" s="974">
        <f t="shared" si="60"/>
        <v>1431.995017357222</v>
      </c>
      <c r="AI98" s="975">
        <f t="shared" si="61"/>
        <v>2664.0065365346454</v>
      </c>
    </row>
    <row r="99" spans="2:35" x14ac:dyDescent="0.3">
      <c r="B99" s="900">
        <v>9</v>
      </c>
      <c r="C99" s="922">
        <f>'Energy Inputs'!G38</f>
        <v>1</v>
      </c>
      <c r="D99" s="918">
        <f>C99*'Energy Inputs'!$G$24</f>
        <v>16.3</v>
      </c>
      <c r="E99" s="197">
        <f>'Energy margins'!$Z$12</f>
        <v>72</v>
      </c>
      <c r="F99" s="197">
        <f t="shared" si="62"/>
        <v>1173.6000000000001</v>
      </c>
      <c r="G99" s="918">
        <f>'Energy Inputs'!$D$10</f>
        <v>175.95</v>
      </c>
      <c r="H99" s="197">
        <f t="shared" si="51"/>
        <v>1349.5500000000002</v>
      </c>
      <c r="I99" s="197"/>
      <c r="J99" s="947">
        <f>IF(ISERROR(IF(MOD(IF(AND(B99&gt;='Energy margins'!$AA$44,B99&lt;='Energy margins'!$AB$44),B99-'Energy margins'!$AA$44,""),'Energy margins'!$AC$44)=0,'Energy margins'!$Z$44,0)),0,IF(MOD(IF(AND(B99&gt;='Energy margins'!$AA$44,B99&lt;='Energy margins'!$AB$44),B99-'Energy margins'!$AA$44,""),'Energy margins'!$AC$44)=0,'Energy margins'!$Z$44,0))</f>
        <v>0</v>
      </c>
      <c r="K99" s="918">
        <f>IF(ISERROR(IF(MOD(IF(AND(B99&gt;='Energy margins'!$AA$45,B99&lt;='Energy margins'!$AB$45),B99-'Energy margins'!$AA$45,""),'Energy margins'!$AC$45)=0,'Energy margins'!$Z$45,0)),0,IF(MOD(IF(AND(B99&gt;='Energy margins'!$AA$45,B99&lt;='Energy margins'!$AB$45),B99-'Energy margins'!$AA$45,""),'Energy margins'!$AC$45)=0,'Energy margins'!$Z$45,0))</f>
        <v>0</v>
      </c>
      <c r="L99" s="918">
        <f>IF(ISERROR(IF(MOD(IF(AND(B99&gt;='Energy margins'!$AA$46,B99&lt;='Energy margins'!$AB$46),B99-'Energy margins'!$AA$46,""),'Energy margins'!$AC$46)=0,'Energy margins'!$Z$46,0)),0,IF(MOD(IF(AND(B99&gt;='Energy margins'!$AA$46,B99&lt;='Energy margins'!$AB$46),B99-'Energy margins'!$AA$46,""),'Energy margins'!$AC$46)=0,'Energy margins'!$Z$46,0))</f>
        <v>0</v>
      </c>
      <c r="M99" s="918">
        <f>IF(ISERROR(IF(MOD(IF(AND(B99&gt;='Energy margins'!$AA$47,B99&lt;='Energy margins'!$AB$47),B99-'Energy margins'!$AA$47,""),'Energy margins'!$AC$47)=0,'Energy margins'!$Z$47,0)),0,IF(MOD(IF(AND(B99&gt;='Energy margins'!$AA$47,B99&lt;='Energy margins'!$AB$47),B99-'Energy margins'!$AA$47,""),'Energy margins'!$AC$47)=0,'Energy margins'!$Z$47,0))</f>
        <v>19.974783999999993</v>
      </c>
      <c r="N99" s="918">
        <f>IF(ISERROR(IF(MOD(IF(AND(B99&gt;='Energy margins'!$AA$50,B99&lt;='Energy margins'!$AB$50),B99-'Energy margins'!$AA$50,""),'Energy margins'!$AC$50)=0,'Energy margins'!$Z$50,0)),0,IF(MOD(IF(AND(B99&gt;='Energy margins'!$AA$50,B99&lt;='Energy margins'!$AB$50),B99-'Energy margins'!$AA$50,""),'Energy margins'!$AC$50)=0,'Energy margins'!$Z$50,0))</f>
        <v>72.48</v>
      </c>
      <c r="O99" s="918">
        <f>IF(ISERROR(IF(MOD(IF(AND(B99&gt;='Energy margins'!$AA$53,B99&lt;='Energy margins'!$AB$53),B99-'Energy margins'!$AA$53,""),'Energy margins'!$AC$53)=0,'Energy margins'!$Z$53,0)),0,IF(MOD(IF(AND(B99&gt;='Energy margins'!$AA$53,B99&lt;='Energy margins'!$AB$53),B99-'Energy margins'!$AA$53,""),'Energy margins'!$AC$53)=0,'Energy margins'!$Z$53,0))</f>
        <v>89.24</v>
      </c>
      <c r="P99" s="918">
        <f>IF(ISERROR(IF(MOD(IF(AND(B99&gt;='Energy margins'!$AA$56,B99&lt;='Energy margins'!$AB$56),B99-'Energy margins'!$AA$56,""),'Energy margins'!$AC$56)=0,'Energy margins'!$Z$56,0)),0,IF(MOD(IF(AND(B99&gt;='Energy margins'!$AA$56,B99&lt;='Energy margins'!$AB$56),B99-'Energy margins'!$AA$56,""),'Energy margins'!$AC$56)=0,'Energy margins'!$Z$56,0))</f>
        <v>28.89</v>
      </c>
      <c r="Q99" s="918">
        <f>IF(ISERROR(IF(MOD(IF(AND(B99&gt;='Energy margins'!$AA$59,B99&lt;='Energy margins'!$AB$59),B99-'Energy margins'!$AA$59,""),'Energy margins'!$AC$59)=0,'Energy margins'!$Z$59,0)),0,IF(MOD(IF(AND(B99&gt;='Energy margins'!$AA$59,B99&lt;='Energy margins'!$AB$59),B99-'Energy margins'!$AA$59,""),'Energy margins'!$AC$59)=0,'Energy margins'!$Z$59,0))</f>
        <v>0</v>
      </c>
      <c r="R99" s="918">
        <f>IF(ISERROR(IF(MOD(IF(AND(B99&gt;='Energy margins'!$AA$60,B99&lt;='Energy margins'!$AB$60),B99-'Energy margins'!$AA$60,""),'Energy margins'!$AC$60)=0,'Energy margins'!$Z$60,0)),0,IF(MOD(IF(AND(B99&gt;='Energy margins'!$AA$60,B99&lt;='Energy margins'!$AB$60),B99-'Energy margins'!$AA$60,""),'Energy margins'!$AC$60)=0,'Energy margins'!$Z$60,0))</f>
        <v>0</v>
      </c>
      <c r="S99" s="918">
        <f>IF(ISERROR(IF(MOD(IF(AND(B99&gt;='Energy margins'!$AA$61,B99&lt;='Energy margins'!$AB$61),B99-'Energy margins'!$AA$61,""),'Energy margins'!$AC$61)=0,'Energy margins'!$Z$61,0)),0,IF(MOD(IF(AND(B99&gt;='Energy margins'!$AA$61,B99&lt;='Energy margins'!$AB$61),B99-'Energy margins'!$AA$61,""),'Energy margins'!$AC$61)=0,'Energy margins'!$Z$61,0))</f>
        <v>197.74999999999997</v>
      </c>
      <c r="T99" s="918">
        <f>IF(ISERROR(IF(MOD(IF(AND(B99&gt;='Energy margins'!$AA$62,B99&lt;='Energy margins'!$AB$62),B99-'Energy margins'!$AA$62,""),'Energy margins'!$AC$62)=0,'Energy margins'!$Z$62,0)),0,IF(MOD(IF(AND(B99&gt;='Energy margins'!$AA$62,B99&lt;='Energy margins'!$AB$62),B99-'Energy margins'!$AA$62,""),'Energy margins'!$AC$62)=0,'Energy margins'!$Z$62,0))</f>
        <v>0</v>
      </c>
      <c r="U99" s="944">
        <f t="shared" si="47"/>
        <v>408.3347839999999</v>
      </c>
      <c r="V99" s="197"/>
      <c r="W99" s="197">
        <f t="shared" si="52"/>
        <v>408.3347839999999</v>
      </c>
      <c r="X99" s="197">
        <f t="shared" si="48"/>
        <v>765.26521600000024</v>
      </c>
      <c r="Y99" s="197">
        <f t="shared" si="49"/>
        <v>941.21521600000028</v>
      </c>
      <c r="Z99" s="973">
        <f t="shared" si="53"/>
        <v>857.53802459032829</v>
      </c>
      <c r="AA99" s="974">
        <f t="shared" si="54"/>
        <v>128.56494157009902</v>
      </c>
      <c r="AB99" s="974">
        <f t="shared" si="55"/>
        <v>298.36622703040069</v>
      </c>
      <c r="AC99" s="974">
        <f t="shared" si="56"/>
        <v>559.17179755992754</v>
      </c>
      <c r="AD99" s="974">
        <f t="shared" si="57"/>
        <v>687.73673913002665</v>
      </c>
      <c r="AE99" s="973">
        <f t="shared" si="63"/>
        <v>7318.0002272991387</v>
      </c>
      <c r="AF99" s="974">
        <f t="shared" si="58"/>
        <v>1360.5764607475226</v>
      </c>
      <c r="AG99" s="974">
        <f t="shared" si="59"/>
        <v>5326.8334123819886</v>
      </c>
      <c r="AH99" s="974">
        <f t="shared" si="60"/>
        <v>1991.1668149171496</v>
      </c>
      <c r="AI99" s="975">
        <f t="shared" si="61"/>
        <v>3351.7432756646722</v>
      </c>
    </row>
    <row r="100" spans="2:35" x14ac:dyDescent="0.3">
      <c r="B100" s="900">
        <v>10</v>
      </c>
      <c r="C100" s="922">
        <f>'Energy Inputs'!G39</f>
        <v>1</v>
      </c>
      <c r="D100" s="918">
        <f>C100*'Energy Inputs'!$G$24</f>
        <v>16.3</v>
      </c>
      <c r="E100" s="197">
        <f>'Energy margins'!$Z$12</f>
        <v>72</v>
      </c>
      <c r="F100" s="197">
        <f t="shared" si="62"/>
        <v>1173.6000000000001</v>
      </c>
      <c r="G100" s="918">
        <f>'Energy Inputs'!$D$10</f>
        <v>175.95</v>
      </c>
      <c r="H100" s="197">
        <f t="shared" si="51"/>
        <v>1349.5500000000002</v>
      </c>
      <c r="I100" s="197"/>
      <c r="J100" s="947">
        <f>IF(ISERROR(IF(MOD(IF(AND(B100&gt;='Energy margins'!$AA$44,B100&lt;='Energy margins'!$AB$44),B100-'Energy margins'!$AA$44,""),'Energy margins'!$AC$44)=0,'Energy margins'!$Z$44,0)),0,IF(MOD(IF(AND(B100&gt;='Energy margins'!$AA$44,B100&lt;='Energy margins'!$AB$44),B100-'Energy margins'!$AA$44,""),'Energy margins'!$AC$44)=0,'Energy margins'!$Z$44,0))</f>
        <v>0</v>
      </c>
      <c r="K100" s="918">
        <f>IF(ISERROR(IF(MOD(IF(AND(B100&gt;='Energy margins'!$AA$45,B100&lt;='Energy margins'!$AB$45),B100-'Energy margins'!$AA$45,""),'Energy margins'!$AC$45)=0,'Energy margins'!$Z$45,0)),0,IF(MOD(IF(AND(B100&gt;='Energy margins'!$AA$45,B100&lt;='Energy margins'!$AB$45),B100-'Energy margins'!$AA$45,""),'Energy margins'!$AC$45)=0,'Energy margins'!$Z$45,0))</f>
        <v>0</v>
      </c>
      <c r="L100" s="918">
        <f>IF(ISERROR(IF(MOD(IF(AND(B100&gt;='Energy margins'!$AA$46,B100&lt;='Energy margins'!$AB$46),B100-'Energy margins'!$AA$46,""),'Energy margins'!$AC$46)=0,'Energy margins'!$Z$46,0)),0,IF(MOD(IF(AND(B100&gt;='Energy margins'!$AA$46,B100&lt;='Energy margins'!$AB$46),B100-'Energy margins'!$AA$46,""),'Energy margins'!$AC$46)=0,'Energy margins'!$Z$46,0))</f>
        <v>0</v>
      </c>
      <c r="M100" s="918">
        <f>IF(ISERROR(IF(MOD(IF(AND(B100&gt;='Energy margins'!$AA$47,B100&lt;='Energy margins'!$AB$47),B100-'Energy margins'!$AA$47,""),'Energy margins'!$AC$47)=0,'Energy margins'!$Z$47,0)),0,IF(MOD(IF(AND(B100&gt;='Energy margins'!$AA$47,B100&lt;='Energy margins'!$AB$47),B100-'Energy margins'!$AA$47,""),'Energy margins'!$AC$47)=0,'Energy margins'!$Z$47,0))</f>
        <v>19.974783999999993</v>
      </c>
      <c r="N100" s="918">
        <f>IF(ISERROR(IF(MOD(IF(AND(B100&gt;='Energy margins'!$AA$50,B100&lt;='Energy margins'!$AB$50),B100-'Energy margins'!$AA$50,""),'Energy margins'!$AC$50)=0,'Energy margins'!$Z$50,0)),0,IF(MOD(IF(AND(B100&gt;='Energy margins'!$AA$50,B100&lt;='Energy margins'!$AB$50),B100-'Energy margins'!$AA$50,""),'Energy margins'!$AC$50)=0,'Energy margins'!$Z$50,0))</f>
        <v>72.48</v>
      </c>
      <c r="O100" s="918">
        <f>IF(ISERROR(IF(MOD(IF(AND(B100&gt;='Energy margins'!$AA$53,B100&lt;='Energy margins'!$AB$53),B100-'Energy margins'!$AA$53,""),'Energy margins'!$AC$53)=0,'Energy margins'!$Z$53,0)),0,IF(MOD(IF(AND(B100&gt;='Energy margins'!$AA$53,B100&lt;='Energy margins'!$AB$53),B100-'Energy margins'!$AA$53,""),'Energy margins'!$AC$53)=0,'Energy margins'!$Z$53,0))</f>
        <v>89.24</v>
      </c>
      <c r="P100" s="918">
        <f>IF(ISERROR(IF(MOD(IF(AND(B100&gt;='Energy margins'!$AA$56,B100&lt;='Energy margins'!$AB$56),B100-'Energy margins'!$AA$56,""),'Energy margins'!$AC$56)=0,'Energy margins'!$Z$56,0)),0,IF(MOD(IF(AND(B100&gt;='Energy margins'!$AA$56,B100&lt;='Energy margins'!$AB$56),B100-'Energy margins'!$AA$56,""),'Energy margins'!$AC$56)=0,'Energy margins'!$Z$56,0))</f>
        <v>28.89</v>
      </c>
      <c r="Q100" s="918">
        <f>IF(ISERROR(IF(MOD(IF(AND(B100&gt;='Energy margins'!$AA$59,B100&lt;='Energy margins'!$AB$59),B100-'Energy margins'!$AA$59,""),'Energy margins'!$AC$59)=0,'Energy margins'!$Z$59,0)),0,IF(MOD(IF(AND(B100&gt;='Energy margins'!$AA$59,B100&lt;='Energy margins'!$AB$59),B100-'Energy margins'!$AA$59,""),'Energy margins'!$AC$59)=0,'Energy margins'!$Z$59,0))</f>
        <v>0</v>
      </c>
      <c r="R100" s="918">
        <f>IF(ISERROR(IF(MOD(IF(AND(B100&gt;='Energy margins'!$AA$60,B100&lt;='Energy margins'!$AB$60),B100-'Energy margins'!$AA$60,""),'Energy margins'!$AC$60)=0,'Energy margins'!$Z$60,0)),0,IF(MOD(IF(AND(B100&gt;='Energy margins'!$AA$60,B100&lt;='Energy margins'!$AB$60),B100-'Energy margins'!$AA$60,""),'Energy margins'!$AC$60)=0,'Energy margins'!$Z$60,0))</f>
        <v>0</v>
      </c>
      <c r="S100" s="918">
        <f>IF(ISERROR(IF(MOD(IF(AND(B100&gt;='Energy margins'!$AA$61,B100&lt;='Energy margins'!$AB$61),B100-'Energy margins'!$AA$61,""),'Energy margins'!$AC$61)=0,'Energy margins'!$Z$61,0)),0,IF(MOD(IF(AND(B100&gt;='Energy margins'!$AA$61,B100&lt;='Energy margins'!$AB$61),B100-'Energy margins'!$AA$61,""),'Energy margins'!$AC$61)=0,'Energy margins'!$Z$61,0))</f>
        <v>197.74999999999997</v>
      </c>
      <c r="T100" s="918">
        <f>IF(ISERROR(IF(MOD(IF(AND(B100&gt;='Energy margins'!$AA$62,B100&lt;='Energy margins'!$AB$62),B100-'Energy margins'!$AA$62,""),'Energy margins'!$AC$62)=0,'Energy margins'!$Z$62,0)),0,IF(MOD(IF(AND(B100&gt;='Energy margins'!$AA$62,B100&lt;='Energy margins'!$AB$62),B100-'Energy margins'!$AA$62,""),'Energy margins'!$AC$62)=0,'Energy margins'!$Z$62,0))</f>
        <v>0</v>
      </c>
      <c r="U100" s="944">
        <f t="shared" si="47"/>
        <v>408.3347839999999</v>
      </c>
      <c r="V100" s="197"/>
      <c r="W100" s="197">
        <f t="shared" si="52"/>
        <v>408.3347839999999</v>
      </c>
      <c r="X100" s="197">
        <f t="shared" si="48"/>
        <v>765.26521600000024</v>
      </c>
      <c r="Y100" s="197">
        <f t="shared" si="49"/>
        <v>941.21521600000028</v>
      </c>
      <c r="Z100" s="973">
        <f t="shared" si="53"/>
        <v>824.55579287531555</v>
      </c>
      <c r="AA100" s="974">
        <f t="shared" si="54"/>
        <v>123.62013612509521</v>
      </c>
      <c r="AB100" s="974">
        <f t="shared" si="55"/>
        <v>286.89060291384681</v>
      </c>
      <c r="AC100" s="974">
        <f t="shared" si="56"/>
        <v>537.66518996146874</v>
      </c>
      <c r="AD100" s="974">
        <f t="shared" si="57"/>
        <v>661.28532608656406</v>
      </c>
      <c r="AE100" s="973">
        <f t="shared" si="63"/>
        <v>8142.5560201744538</v>
      </c>
      <c r="AF100" s="974">
        <f t="shared" si="58"/>
        <v>1484.1965968726179</v>
      </c>
      <c r="AG100" s="974">
        <f t="shared" si="59"/>
        <v>5613.7240152958357</v>
      </c>
      <c r="AH100" s="974">
        <f t="shared" si="60"/>
        <v>2528.8320048786181</v>
      </c>
      <c r="AI100" s="975">
        <f t="shared" si="61"/>
        <v>4013.0286017512362</v>
      </c>
    </row>
    <row r="101" spans="2:35" x14ac:dyDescent="0.3">
      <c r="B101" s="900">
        <v>11</v>
      </c>
      <c r="C101" s="922">
        <f>'Energy Inputs'!G40</f>
        <v>1</v>
      </c>
      <c r="D101" s="918">
        <f>C101*'Energy Inputs'!$G$24</f>
        <v>16.3</v>
      </c>
      <c r="E101" s="197">
        <f>'Energy margins'!$Z$12</f>
        <v>72</v>
      </c>
      <c r="F101" s="197">
        <f t="shared" si="62"/>
        <v>1173.6000000000001</v>
      </c>
      <c r="G101" s="918">
        <f>'Energy Inputs'!$D$10</f>
        <v>175.95</v>
      </c>
      <c r="H101" s="197">
        <f t="shared" si="51"/>
        <v>1349.5500000000002</v>
      </c>
      <c r="I101" s="197"/>
      <c r="J101" s="947">
        <f>IF(ISERROR(IF(MOD(IF(AND(B101&gt;='Energy margins'!$AA$44,B101&lt;='Energy margins'!$AB$44),B101-'Energy margins'!$AA$44,""),'Energy margins'!$AC$44)=0,'Energy margins'!$Z$44,0)),0,IF(MOD(IF(AND(B101&gt;='Energy margins'!$AA$44,B101&lt;='Energy margins'!$AB$44),B101-'Energy margins'!$AA$44,""),'Energy margins'!$AC$44)=0,'Energy margins'!$Z$44,0))</f>
        <v>0</v>
      </c>
      <c r="K101" s="918">
        <f>IF(ISERROR(IF(MOD(IF(AND(B101&gt;='Energy margins'!$AA$45,B101&lt;='Energy margins'!$AB$45),B101-'Energy margins'!$AA$45,""),'Energy margins'!$AC$45)=0,'Energy margins'!$Z$45,0)),0,IF(MOD(IF(AND(B101&gt;='Energy margins'!$AA$45,B101&lt;='Energy margins'!$AB$45),B101-'Energy margins'!$AA$45,""),'Energy margins'!$AC$45)=0,'Energy margins'!$Z$45,0))</f>
        <v>0</v>
      </c>
      <c r="L101" s="918">
        <f>IF(ISERROR(IF(MOD(IF(AND(B101&gt;='Energy margins'!$AA$46,B101&lt;='Energy margins'!$AB$46),B101-'Energy margins'!$AA$46,""),'Energy margins'!$AC$46)=0,'Energy margins'!$Z$46,0)),0,IF(MOD(IF(AND(B101&gt;='Energy margins'!$AA$46,B101&lt;='Energy margins'!$AB$46),B101-'Energy margins'!$AA$46,""),'Energy margins'!$AC$46)=0,'Energy margins'!$Z$46,0))</f>
        <v>0</v>
      </c>
      <c r="M101" s="918">
        <f>IF(ISERROR(IF(MOD(IF(AND(B101&gt;='Energy margins'!$AA$47,B101&lt;='Energy margins'!$AB$47),B101-'Energy margins'!$AA$47,""),'Energy margins'!$AC$47)=0,'Energy margins'!$Z$47,0)),0,IF(MOD(IF(AND(B101&gt;='Energy margins'!$AA$47,B101&lt;='Energy margins'!$AB$47),B101-'Energy margins'!$AA$47,""),'Energy margins'!$AC$47)=0,'Energy margins'!$Z$47,0))</f>
        <v>19.974783999999993</v>
      </c>
      <c r="N101" s="918">
        <f>IF(ISERROR(IF(MOD(IF(AND(B101&gt;='Energy margins'!$AA$50,B101&lt;='Energy margins'!$AB$50),B101-'Energy margins'!$AA$50,""),'Energy margins'!$AC$50)=0,'Energy margins'!$Z$50,0)),0,IF(MOD(IF(AND(B101&gt;='Energy margins'!$AA$50,B101&lt;='Energy margins'!$AB$50),B101-'Energy margins'!$AA$50,""),'Energy margins'!$AC$50)=0,'Energy margins'!$Z$50,0))</f>
        <v>72.48</v>
      </c>
      <c r="O101" s="918">
        <f>IF(ISERROR(IF(MOD(IF(AND(B101&gt;='Energy margins'!$AA$53,B101&lt;='Energy margins'!$AB$53),B101-'Energy margins'!$AA$53,""),'Energy margins'!$AC$53)=0,'Energy margins'!$Z$53,0)),0,IF(MOD(IF(AND(B101&gt;='Energy margins'!$AA$53,B101&lt;='Energy margins'!$AB$53),B101-'Energy margins'!$AA$53,""),'Energy margins'!$AC$53)=0,'Energy margins'!$Z$53,0))</f>
        <v>89.24</v>
      </c>
      <c r="P101" s="918">
        <f>IF(ISERROR(IF(MOD(IF(AND(B101&gt;='Energy margins'!$AA$56,B101&lt;='Energy margins'!$AB$56),B101-'Energy margins'!$AA$56,""),'Energy margins'!$AC$56)=0,'Energy margins'!$Z$56,0)),0,IF(MOD(IF(AND(B101&gt;='Energy margins'!$AA$56,B101&lt;='Energy margins'!$AB$56),B101-'Energy margins'!$AA$56,""),'Energy margins'!$AC$56)=0,'Energy margins'!$Z$56,0))</f>
        <v>28.89</v>
      </c>
      <c r="Q101" s="918">
        <f>IF(ISERROR(IF(MOD(IF(AND(B101&gt;='Energy margins'!$AA$59,B101&lt;='Energy margins'!$AB$59),B101-'Energy margins'!$AA$59,""),'Energy margins'!$AC$59)=0,'Energy margins'!$Z$59,0)),0,IF(MOD(IF(AND(B101&gt;='Energy margins'!$AA$59,B101&lt;='Energy margins'!$AB$59),B101-'Energy margins'!$AA$59,""),'Energy margins'!$AC$59)=0,'Energy margins'!$Z$59,0))</f>
        <v>0</v>
      </c>
      <c r="R101" s="918">
        <f>IF(ISERROR(IF(MOD(IF(AND(B101&gt;='Energy margins'!$AA$60,B101&lt;='Energy margins'!$AB$60),B101-'Energy margins'!$AA$60,""),'Energy margins'!$AC$60)=0,'Energy margins'!$Z$60,0)),0,IF(MOD(IF(AND(B101&gt;='Energy margins'!$AA$60,B101&lt;='Energy margins'!$AB$60),B101-'Energy margins'!$AA$60,""),'Energy margins'!$AC$60)=0,'Energy margins'!$Z$60,0))</f>
        <v>0</v>
      </c>
      <c r="S101" s="918">
        <f>IF(ISERROR(IF(MOD(IF(AND(B101&gt;='Energy margins'!$AA$61,B101&lt;='Energy margins'!$AB$61),B101-'Energy margins'!$AA$61,""),'Energy margins'!$AC$61)=0,'Energy margins'!$Z$61,0)),0,IF(MOD(IF(AND(B101&gt;='Energy margins'!$AA$61,B101&lt;='Energy margins'!$AB$61),B101-'Energy margins'!$AA$61,""),'Energy margins'!$AC$61)=0,'Energy margins'!$Z$61,0))</f>
        <v>197.74999999999997</v>
      </c>
      <c r="T101" s="918">
        <f>IF(ISERROR(IF(MOD(IF(AND(B101&gt;='Energy margins'!$AA$62,B101&lt;='Energy margins'!$AB$62),B101-'Energy margins'!$AA$62,""),'Energy margins'!$AC$62)=0,'Energy margins'!$Z$62,0)),0,IF(MOD(IF(AND(B101&gt;='Energy margins'!$AA$62,B101&lt;='Energy margins'!$AB$62),B101-'Energy margins'!$AA$62,""),'Energy margins'!$AC$62)=0,'Energy margins'!$Z$62,0))</f>
        <v>0</v>
      </c>
      <c r="U101" s="944">
        <f t="shared" si="47"/>
        <v>408.3347839999999</v>
      </c>
      <c r="V101" s="197"/>
      <c r="W101" s="197">
        <f t="shared" si="52"/>
        <v>408.3347839999999</v>
      </c>
      <c r="X101" s="197">
        <f t="shared" si="48"/>
        <v>765.26521600000024</v>
      </c>
      <c r="Y101" s="197">
        <f t="shared" si="49"/>
        <v>941.21521600000028</v>
      </c>
      <c r="Z101" s="973">
        <f t="shared" si="53"/>
        <v>792.84210853395723</v>
      </c>
      <c r="AA101" s="974">
        <f t="shared" si="54"/>
        <v>118.86551550489925</v>
      </c>
      <c r="AB101" s="974">
        <f t="shared" si="55"/>
        <v>275.85634895562191</v>
      </c>
      <c r="AC101" s="974">
        <f t="shared" si="56"/>
        <v>516.98575957833532</v>
      </c>
      <c r="AD101" s="974">
        <f t="shared" si="57"/>
        <v>635.85127508323467</v>
      </c>
      <c r="AE101" s="973">
        <f t="shared" si="63"/>
        <v>8935.3981287084116</v>
      </c>
      <c r="AF101" s="974">
        <f t="shared" si="58"/>
        <v>1603.0621123775172</v>
      </c>
      <c r="AG101" s="974">
        <f t="shared" si="59"/>
        <v>5889.5803642514575</v>
      </c>
      <c r="AH101" s="974">
        <f t="shared" si="60"/>
        <v>3045.8177644569532</v>
      </c>
      <c r="AI101" s="975">
        <f t="shared" si="61"/>
        <v>4648.8798768344714</v>
      </c>
    </row>
    <row r="102" spans="2:35" x14ac:dyDescent="0.3">
      <c r="B102" s="900">
        <v>12</v>
      </c>
      <c r="C102" s="922">
        <f>'Energy Inputs'!G41</f>
        <v>1</v>
      </c>
      <c r="D102" s="918">
        <f>C102*'Energy Inputs'!$G$24</f>
        <v>16.3</v>
      </c>
      <c r="E102" s="197">
        <f>'Energy margins'!$Z$12</f>
        <v>72</v>
      </c>
      <c r="F102" s="197">
        <f t="shared" si="62"/>
        <v>1173.6000000000001</v>
      </c>
      <c r="G102" s="918">
        <f>'Energy Inputs'!$D$10</f>
        <v>175.95</v>
      </c>
      <c r="H102" s="197">
        <f t="shared" si="51"/>
        <v>1349.5500000000002</v>
      </c>
      <c r="I102" s="197"/>
      <c r="J102" s="947">
        <f>IF(ISERROR(IF(MOD(IF(AND(B102&gt;='Energy margins'!$AA$44,B102&lt;='Energy margins'!$AB$44),B102-'Energy margins'!$AA$44,""),'Energy margins'!$AC$44)=0,'Energy margins'!$Z$44,0)),0,IF(MOD(IF(AND(B102&gt;='Energy margins'!$AA$44,B102&lt;='Energy margins'!$AB$44),B102-'Energy margins'!$AA$44,""),'Energy margins'!$AC$44)=0,'Energy margins'!$Z$44,0))</f>
        <v>0</v>
      </c>
      <c r="K102" s="918">
        <f>IF(ISERROR(IF(MOD(IF(AND(B102&gt;='Energy margins'!$AA$45,B102&lt;='Energy margins'!$AB$45),B102-'Energy margins'!$AA$45,""),'Energy margins'!$AC$45)=0,'Energy margins'!$Z$45,0)),0,IF(MOD(IF(AND(B102&gt;='Energy margins'!$AA$45,B102&lt;='Energy margins'!$AB$45),B102-'Energy margins'!$AA$45,""),'Energy margins'!$AC$45)=0,'Energy margins'!$Z$45,0))</f>
        <v>0</v>
      </c>
      <c r="L102" s="918">
        <f>IF(ISERROR(IF(MOD(IF(AND(B102&gt;='Energy margins'!$AA$46,B102&lt;='Energy margins'!$AB$46),B102-'Energy margins'!$AA$46,""),'Energy margins'!$AC$46)=0,'Energy margins'!$Z$46,0)),0,IF(MOD(IF(AND(B102&gt;='Energy margins'!$AA$46,B102&lt;='Energy margins'!$AB$46),B102-'Energy margins'!$AA$46,""),'Energy margins'!$AC$46)=0,'Energy margins'!$Z$46,0))</f>
        <v>0</v>
      </c>
      <c r="M102" s="918">
        <f>IF(ISERROR(IF(MOD(IF(AND(B102&gt;='Energy margins'!$AA$47,B102&lt;='Energy margins'!$AB$47),B102-'Energy margins'!$AA$47,""),'Energy margins'!$AC$47)=0,'Energy margins'!$Z$47,0)),0,IF(MOD(IF(AND(B102&gt;='Energy margins'!$AA$47,B102&lt;='Energy margins'!$AB$47),B102-'Energy margins'!$AA$47,""),'Energy margins'!$AC$47)=0,'Energy margins'!$Z$47,0))</f>
        <v>19.974783999999993</v>
      </c>
      <c r="N102" s="918">
        <f>IF(ISERROR(IF(MOD(IF(AND(B102&gt;='Energy margins'!$AA$50,B102&lt;='Energy margins'!$AB$50),B102-'Energy margins'!$AA$50,""),'Energy margins'!$AC$50)=0,'Energy margins'!$Z$50,0)),0,IF(MOD(IF(AND(B102&gt;='Energy margins'!$AA$50,B102&lt;='Energy margins'!$AB$50),B102-'Energy margins'!$AA$50,""),'Energy margins'!$AC$50)=0,'Energy margins'!$Z$50,0))</f>
        <v>72.48</v>
      </c>
      <c r="O102" s="918">
        <f>IF(ISERROR(IF(MOD(IF(AND(B102&gt;='Energy margins'!$AA$53,B102&lt;='Energy margins'!$AB$53),B102-'Energy margins'!$AA$53,""),'Energy margins'!$AC$53)=0,'Energy margins'!$Z$53,0)),0,IF(MOD(IF(AND(B102&gt;='Energy margins'!$AA$53,B102&lt;='Energy margins'!$AB$53),B102-'Energy margins'!$AA$53,""),'Energy margins'!$AC$53)=0,'Energy margins'!$Z$53,0))</f>
        <v>89.24</v>
      </c>
      <c r="P102" s="918">
        <f>IF(ISERROR(IF(MOD(IF(AND(B102&gt;='Energy margins'!$AA$56,B102&lt;='Energy margins'!$AB$56),B102-'Energy margins'!$AA$56,""),'Energy margins'!$AC$56)=0,'Energy margins'!$Z$56,0)),0,IF(MOD(IF(AND(B102&gt;='Energy margins'!$AA$56,B102&lt;='Energy margins'!$AB$56),B102-'Energy margins'!$AA$56,""),'Energy margins'!$AC$56)=0,'Energy margins'!$Z$56,0))</f>
        <v>28.89</v>
      </c>
      <c r="Q102" s="918">
        <f>IF(ISERROR(IF(MOD(IF(AND(B102&gt;='Energy margins'!$AA$59,B102&lt;='Energy margins'!$AB$59),B102-'Energy margins'!$AA$59,""),'Energy margins'!$AC$59)=0,'Energy margins'!$Z$59,0)),0,IF(MOD(IF(AND(B102&gt;='Energy margins'!$AA$59,B102&lt;='Energy margins'!$AB$59),B102-'Energy margins'!$AA$59,""),'Energy margins'!$AC$59)=0,'Energy margins'!$Z$59,0))</f>
        <v>0</v>
      </c>
      <c r="R102" s="918">
        <f>IF(ISERROR(IF(MOD(IF(AND(B102&gt;='Energy margins'!$AA$60,B102&lt;='Energy margins'!$AB$60),B102-'Energy margins'!$AA$60,""),'Energy margins'!$AC$60)=0,'Energy margins'!$Z$60,0)),0,IF(MOD(IF(AND(B102&gt;='Energy margins'!$AA$60,B102&lt;='Energy margins'!$AB$60),B102-'Energy margins'!$AA$60,""),'Energy margins'!$AC$60)=0,'Energy margins'!$Z$60,0))</f>
        <v>0</v>
      </c>
      <c r="S102" s="918">
        <f>IF(ISERROR(IF(MOD(IF(AND(B102&gt;='Energy margins'!$AA$61,B102&lt;='Energy margins'!$AB$61),B102-'Energy margins'!$AA$61,""),'Energy margins'!$AC$61)=0,'Energy margins'!$Z$61,0)),0,IF(MOD(IF(AND(B102&gt;='Energy margins'!$AA$61,B102&lt;='Energy margins'!$AB$61),B102-'Energy margins'!$AA$61,""),'Energy margins'!$AC$61)=0,'Energy margins'!$Z$61,0))</f>
        <v>197.74999999999997</v>
      </c>
      <c r="T102" s="918">
        <f>IF(ISERROR(IF(MOD(IF(AND(B102&gt;='Energy margins'!$AA$62,B102&lt;='Energy margins'!$AB$62),B102-'Energy margins'!$AA$62,""),'Energy margins'!$AC$62)=0,'Energy margins'!$Z$62,0)),0,IF(MOD(IF(AND(B102&gt;='Energy margins'!$AA$62,B102&lt;='Energy margins'!$AB$62),B102-'Energy margins'!$AA$62,""),'Energy margins'!$AC$62)=0,'Energy margins'!$Z$62,0))</f>
        <v>0</v>
      </c>
      <c r="U102" s="944">
        <f t="shared" si="47"/>
        <v>408.3347839999999</v>
      </c>
      <c r="V102" s="197"/>
      <c r="W102" s="197">
        <f t="shared" si="52"/>
        <v>408.3347839999999</v>
      </c>
      <c r="X102" s="197">
        <f t="shared" si="48"/>
        <v>765.26521600000024</v>
      </c>
      <c r="Y102" s="197">
        <f t="shared" si="49"/>
        <v>941.21521600000028</v>
      </c>
      <c r="Z102" s="973">
        <f t="shared" si="53"/>
        <v>762.34818128265124</v>
      </c>
      <c r="AA102" s="974">
        <f t="shared" si="54"/>
        <v>114.29376490855698</v>
      </c>
      <c r="AB102" s="974">
        <f t="shared" si="55"/>
        <v>265.24648938040571</v>
      </c>
      <c r="AC102" s="974">
        <f t="shared" si="56"/>
        <v>497.10169190224559</v>
      </c>
      <c r="AD102" s="974">
        <f t="shared" si="57"/>
        <v>611.39545681080256</v>
      </c>
      <c r="AE102" s="973">
        <f t="shared" si="63"/>
        <v>9697.7463099910638</v>
      </c>
      <c r="AF102" s="974">
        <f t="shared" si="58"/>
        <v>1717.3558772860742</v>
      </c>
      <c r="AG102" s="974">
        <f t="shared" si="59"/>
        <v>6154.8268536318628</v>
      </c>
      <c r="AH102" s="974">
        <f t="shared" si="60"/>
        <v>3542.9194563591986</v>
      </c>
      <c r="AI102" s="975">
        <f t="shared" si="61"/>
        <v>5260.2753336452743</v>
      </c>
    </row>
    <row r="103" spans="2:35" x14ac:dyDescent="0.3">
      <c r="B103" s="900">
        <v>13</v>
      </c>
      <c r="C103" s="922">
        <f>'Energy Inputs'!G42</f>
        <v>1</v>
      </c>
      <c r="D103" s="918">
        <f>C103*'Energy Inputs'!$G$24</f>
        <v>16.3</v>
      </c>
      <c r="E103" s="197">
        <f>'Energy margins'!$Z$12</f>
        <v>72</v>
      </c>
      <c r="F103" s="197">
        <f t="shared" si="62"/>
        <v>1173.6000000000001</v>
      </c>
      <c r="G103" s="918">
        <f>'Energy Inputs'!$D$10</f>
        <v>175.95</v>
      </c>
      <c r="H103" s="197">
        <f t="shared" si="51"/>
        <v>1349.5500000000002</v>
      </c>
      <c r="I103" s="197"/>
      <c r="J103" s="947">
        <f>IF(ISERROR(IF(MOD(IF(AND(B103&gt;='Energy margins'!$AA$44,B103&lt;='Energy margins'!$AB$44),B103-'Energy margins'!$AA$44,""),'Energy margins'!$AC$44)=0,'Energy margins'!$Z$44,0)),0,IF(MOD(IF(AND(B103&gt;='Energy margins'!$AA$44,B103&lt;='Energy margins'!$AB$44),B103-'Energy margins'!$AA$44,""),'Energy margins'!$AC$44)=0,'Energy margins'!$Z$44,0))</f>
        <v>0</v>
      </c>
      <c r="K103" s="918">
        <f>IF(ISERROR(IF(MOD(IF(AND(B103&gt;='Energy margins'!$AA$45,B103&lt;='Energy margins'!$AB$45),B103-'Energy margins'!$AA$45,""),'Energy margins'!$AC$45)=0,'Energy margins'!$Z$45,0)),0,IF(MOD(IF(AND(B103&gt;='Energy margins'!$AA$45,B103&lt;='Energy margins'!$AB$45),B103-'Energy margins'!$AA$45,""),'Energy margins'!$AC$45)=0,'Energy margins'!$Z$45,0))</f>
        <v>0</v>
      </c>
      <c r="L103" s="918">
        <f>IF(ISERROR(IF(MOD(IF(AND(B103&gt;='Energy margins'!$AA$46,B103&lt;='Energy margins'!$AB$46),B103-'Energy margins'!$AA$46,""),'Energy margins'!$AC$46)=0,'Energy margins'!$Z$46,0)),0,IF(MOD(IF(AND(B103&gt;='Energy margins'!$AA$46,B103&lt;='Energy margins'!$AB$46),B103-'Energy margins'!$AA$46,""),'Energy margins'!$AC$46)=0,'Energy margins'!$Z$46,0))</f>
        <v>0</v>
      </c>
      <c r="M103" s="918">
        <f>IF(ISERROR(IF(MOD(IF(AND(B103&gt;='Energy margins'!$AA$47,B103&lt;='Energy margins'!$AB$47),B103-'Energy margins'!$AA$47,""),'Energy margins'!$AC$47)=0,'Energy margins'!$Z$47,0)),0,IF(MOD(IF(AND(B103&gt;='Energy margins'!$AA$47,B103&lt;='Energy margins'!$AB$47),B103-'Energy margins'!$AA$47,""),'Energy margins'!$AC$47)=0,'Energy margins'!$Z$47,0))</f>
        <v>19.974783999999993</v>
      </c>
      <c r="N103" s="918">
        <f>IF(ISERROR(IF(MOD(IF(AND(B103&gt;='Energy margins'!$AA$50,B103&lt;='Energy margins'!$AB$50),B103-'Energy margins'!$AA$50,""),'Energy margins'!$AC$50)=0,'Energy margins'!$Z$50,0)),0,IF(MOD(IF(AND(B103&gt;='Energy margins'!$AA$50,B103&lt;='Energy margins'!$AB$50),B103-'Energy margins'!$AA$50,""),'Energy margins'!$AC$50)=0,'Energy margins'!$Z$50,0))</f>
        <v>72.48</v>
      </c>
      <c r="O103" s="918">
        <f>IF(ISERROR(IF(MOD(IF(AND(B103&gt;='Energy margins'!$AA$53,B103&lt;='Energy margins'!$AB$53),B103-'Energy margins'!$AA$53,""),'Energy margins'!$AC$53)=0,'Energy margins'!$Z$53,0)),0,IF(MOD(IF(AND(B103&gt;='Energy margins'!$AA$53,B103&lt;='Energy margins'!$AB$53),B103-'Energy margins'!$AA$53,""),'Energy margins'!$AC$53)=0,'Energy margins'!$Z$53,0))</f>
        <v>89.24</v>
      </c>
      <c r="P103" s="918">
        <f>IF(ISERROR(IF(MOD(IF(AND(B103&gt;='Energy margins'!$AA$56,B103&lt;='Energy margins'!$AB$56),B103-'Energy margins'!$AA$56,""),'Energy margins'!$AC$56)=0,'Energy margins'!$Z$56,0)),0,IF(MOD(IF(AND(B103&gt;='Energy margins'!$AA$56,B103&lt;='Energy margins'!$AB$56),B103-'Energy margins'!$AA$56,""),'Energy margins'!$AC$56)=0,'Energy margins'!$Z$56,0))</f>
        <v>28.89</v>
      </c>
      <c r="Q103" s="918">
        <f>IF(ISERROR(IF(MOD(IF(AND(B103&gt;='Energy margins'!$AA$59,B103&lt;='Energy margins'!$AB$59),B103-'Energy margins'!$AA$59,""),'Energy margins'!$AC$59)=0,'Energy margins'!$Z$59,0)),0,IF(MOD(IF(AND(B103&gt;='Energy margins'!$AA$59,B103&lt;='Energy margins'!$AB$59),B103-'Energy margins'!$AA$59,""),'Energy margins'!$AC$59)=0,'Energy margins'!$Z$59,0))</f>
        <v>0</v>
      </c>
      <c r="R103" s="918">
        <f>IF(ISERROR(IF(MOD(IF(AND(B103&gt;='Energy margins'!$AA$60,B103&lt;='Energy margins'!$AB$60),B103-'Energy margins'!$AA$60,""),'Energy margins'!$AC$60)=0,'Energy margins'!$Z$60,0)),0,IF(MOD(IF(AND(B103&gt;='Energy margins'!$AA$60,B103&lt;='Energy margins'!$AB$60),B103-'Energy margins'!$AA$60,""),'Energy margins'!$AC$60)=0,'Energy margins'!$Z$60,0))</f>
        <v>0</v>
      </c>
      <c r="S103" s="918">
        <f>IF(ISERROR(IF(MOD(IF(AND(B103&gt;='Energy margins'!$AA$61,B103&lt;='Energy margins'!$AB$61),B103-'Energy margins'!$AA$61,""),'Energy margins'!$AC$61)=0,'Energy margins'!$Z$61,0)),0,IF(MOD(IF(AND(B103&gt;='Energy margins'!$AA$61,B103&lt;='Energy margins'!$AB$61),B103-'Energy margins'!$AA$61,""),'Energy margins'!$AC$61)=0,'Energy margins'!$Z$61,0))</f>
        <v>197.74999999999997</v>
      </c>
      <c r="T103" s="918">
        <f>IF(ISERROR(IF(MOD(IF(AND(B103&gt;='Energy margins'!$AA$62,B103&lt;='Energy margins'!$AB$62),B103-'Energy margins'!$AA$62,""),'Energy margins'!$AC$62)=0,'Energy margins'!$Z$62,0)),0,IF(MOD(IF(AND(B103&gt;='Energy margins'!$AA$62,B103&lt;='Energy margins'!$AB$62),B103-'Energy margins'!$AA$62,""),'Energy margins'!$AC$62)=0,'Energy margins'!$Z$62,0))</f>
        <v>0</v>
      </c>
      <c r="U103" s="944">
        <f t="shared" si="47"/>
        <v>408.3347839999999</v>
      </c>
      <c r="V103" s="197"/>
      <c r="W103" s="197">
        <f t="shared" si="52"/>
        <v>408.3347839999999</v>
      </c>
      <c r="X103" s="197">
        <f t="shared" si="48"/>
        <v>765.26521600000024</v>
      </c>
      <c r="Y103" s="197">
        <f t="shared" si="49"/>
        <v>941.21521600000028</v>
      </c>
      <c r="Z103" s="973">
        <f t="shared" si="53"/>
        <v>733.02709738716453</v>
      </c>
      <c r="AA103" s="974">
        <f t="shared" si="54"/>
        <v>109.89785087361246</v>
      </c>
      <c r="AB103" s="974">
        <f t="shared" si="55"/>
        <v>255.04470132731313</v>
      </c>
      <c r="AC103" s="974">
        <f t="shared" si="56"/>
        <v>477.9823960598514</v>
      </c>
      <c r="AD103" s="974">
        <f t="shared" si="57"/>
        <v>587.88024693346392</v>
      </c>
      <c r="AE103" s="973">
        <f t="shared" si="63"/>
        <v>10430.773407378229</v>
      </c>
      <c r="AF103" s="974">
        <f t="shared" si="58"/>
        <v>1827.2537281596867</v>
      </c>
      <c r="AG103" s="974">
        <f t="shared" si="59"/>
        <v>6409.8715549591761</v>
      </c>
      <c r="AH103" s="974">
        <f t="shared" si="60"/>
        <v>4020.9018524190501</v>
      </c>
      <c r="AI103" s="975">
        <f t="shared" si="61"/>
        <v>5848.1555805787384</v>
      </c>
    </row>
    <row r="104" spans="2:35" x14ac:dyDescent="0.3">
      <c r="B104" s="900">
        <v>14</v>
      </c>
      <c r="C104" s="922">
        <f>'Energy Inputs'!G43</f>
        <v>1</v>
      </c>
      <c r="D104" s="918">
        <f>C104*'Energy Inputs'!$G$24</f>
        <v>16.3</v>
      </c>
      <c r="E104" s="197">
        <f>'Energy margins'!$Z$12</f>
        <v>72</v>
      </c>
      <c r="F104" s="197">
        <f t="shared" si="62"/>
        <v>1173.6000000000001</v>
      </c>
      <c r="G104" s="918">
        <f>'Energy Inputs'!$D$10</f>
        <v>175.95</v>
      </c>
      <c r="H104" s="197">
        <f t="shared" si="51"/>
        <v>1349.5500000000002</v>
      </c>
      <c r="I104" s="197"/>
      <c r="J104" s="947">
        <f>IF(ISERROR(IF(MOD(IF(AND(B104&gt;='Energy margins'!$AA$44,B104&lt;='Energy margins'!$AB$44),B104-'Energy margins'!$AA$44,""),'Energy margins'!$AC$44)=0,'Energy margins'!$Z$44,0)),0,IF(MOD(IF(AND(B104&gt;='Energy margins'!$AA$44,B104&lt;='Energy margins'!$AB$44),B104-'Energy margins'!$AA$44,""),'Energy margins'!$AC$44)=0,'Energy margins'!$Z$44,0))</f>
        <v>0</v>
      </c>
      <c r="K104" s="918">
        <f>IF(ISERROR(IF(MOD(IF(AND(B104&gt;='Energy margins'!$AA$45,B104&lt;='Energy margins'!$AB$45),B104-'Energy margins'!$AA$45,""),'Energy margins'!$AC$45)=0,'Energy margins'!$Z$45,0)),0,IF(MOD(IF(AND(B104&gt;='Energy margins'!$AA$45,B104&lt;='Energy margins'!$AB$45),B104-'Energy margins'!$AA$45,""),'Energy margins'!$AC$45)=0,'Energy margins'!$Z$45,0))</f>
        <v>0</v>
      </c>
      <c r="L104" s="918">
        <f>IF(ISERROR(IF(MOD(IF(AND(B104&gt;='Energy margins'!$AA$46,B104&lt;='Energy margins'!$AB$46),B104-'Energy margins'!$AA$46,""),'Energy margins'!$AC$46)=0,'Energy margins'!$Z$46,0)),0,IF(MOD(IF(AND(B104&gt;='Energy margins'!$AA$46,B104&lt;='Energy margins'!$AB$46),B104-'Energy margins'!$AA$46,""),'Energy margins'!$AC$46)=0,'Energy margins'!$Z$46,0))</f>
        <v>0</v>
      </c>
      <c r="M104" s="918">
        <f>IF(ISERROR(IF(MOD(IF(AND(B104&gt;='Energy margins'!$AA$47,B104&lt;='Energy margins'!$AB$47),B104-'Energy margins'!$AA$47,""),'Energy margins'!$AC$47)=0,'Energy margins'!$Z$47,0)),0,IF(MOD(IF(AND(B104&gt;='Energy margins'!$AA$47,B104&lt;='Energy margins'!$AB$47),B104-'Energy margins'!$AA$47,""),'Energy margins'!$AC$47)=0,'Energy margins'!$Z$47,0))</f>
        <v>19.974783999999993</v>
      </c>
      <c r="N104" s="918">
        <f>IF(ISERROR(IF(MOD(IF(AND(B104&gt;='Energy margins'!$AA$50,B104&lt;='Energy margins'!$AB$50),B104-'Energy margins'!$AA$50,""),'Energy margins'!$AC$50)=0,'Energy margins'!$Z$50,0)),0,IF(MOD(IF(AND(B104&gt;='Energy margins'!$AA$50,B104&lt;='Energy margins'!$AB$50),B104-'Energy margins'!$AA$50,""),'Energy margins'!$AC$50)=0,'Energy margins'!$Z$50,0))</f>
        <v>72.48</v>
      </c>
      <c r="O104" s="918">
        <f>IF(ISERROR(IF(MOD(IF(AND(B104&gt;='Energy margins'!$AA$53,B104&lt;='Energy margins'!$AB$53),B104-'Energy margins'!$AA$53,""),'Energy margins'!$AC$53)=0,'Energy margins'!$Z$53,0)),0,IF(MOD(IF(AND(B104&gt;='Energy margins'!$AA$53,B104&lt;='Energy margins'!$AB$53),B104-'Energy margins'!$AA$53,""),'Energy margins'!$AC$53)=0,'Energy margins'!$Z$53,0))</f>
        <v>89.24</v>
      </c>
      <c r="P104" s="918">
        <f>IF(ISERROR(IF(MOD(IF(AND(B104&gt;='Energy margins'!$AA$56,B104&lt;='Energy margins'!$AB$56),B104-'Energy margins'!$AA$56,""),'Energy margins'!$AC$56)=0,'Energy margins'!$Z$56,0)),0,IF(MOD(IF(AND(B104&gt;='Energy margins'!$AA$56,B104&lt;='Energy margins'!$AB$56),B104-'Energy margins'!$AA$56,""),'Energy margins'!$AC$56)=0,'Energy margins'!$Z$56,0))</f>
        <v>28.89</v>
      </c>
      <c r="Q104" s="918">
        <f>IF(ISERROR(IF(MOD(IF(AND(B104&gt;='Energy margins'!$AA$59,B104&lt;='Energy margins'!$AB$59),B104-'Energy margins'!$AA$59,""),'Energy margins'!$AC$59)=0,'Energy margins'!$Z$59,0)),0,IF(MOD(IF(AND(B104&gt;='Energy margins'!$AA$59,B104&lt;='Energy margins'!$AB$59),B104-'Energy margins'!$AA$59,""),'Energy margins'!$AC$59)=0,'Energy margins'!$Z$59,0))</f>
        <v>0</v>
      </c>
      <c r="R104" s="918">
        <f>IF(ISERROR(IF(MOD(IF(AND(B104&gt;='Energy margins'!$AA$60,B104&lt;='Energy margins'!$AB$60),B104-'Energy margins'!$AA$60,""),'Energy margins'!$AC$60)=0,'Energy margins'!$Z$60,0)),0,IF(MOD(IF(AND(B104&gt;='Energy margins'!$AA$60,B104&lt;='Energy margins'!$AB$60),B104-'Energy margins'!$AA$60,""),'Energy margins'!$AC$60)=0,'Energy margins'!$Z$60,0))</f>
        <v>0</v>
      </c>
      <c r="S104" s="918">
        <f>IF(ISERROR(IF(MOD(IF(AND(B104&gt;='Energy margins'!$AA$61,B104&lt;='Energy margins'!$AB$61),B104-'Energy margins'!$AA$61,""),'Energy margins'!$AC$61)=0,'Energy margins'!$Z$61,0)),0,IF(MOD(IF(AND(B104&gt;='Energy margins'!$AA$61,B104&lt;='Energy margins'!$AB$61),B104-'Energy margins'!$AA$61,""),'Energy margins'!$AC$61)=0,'Energy margins'!$Z$61,0))</f>
        <v>197.74999999999997</v>
      </c>
      <c r="T104" s="918">
        <f>IF(ISERROR(IF(MOD(IF(AND(B104&gt;='Energy margins'!$AA$62,B104&lt;='Energy margins'!$AB$62),B104-'Energy margins'!$AA$62,""),'Energy margins'!$AC$62)=0,'Energy margins'!$Z$62,0)),0,IF(MOD(IF(AND(B104&gt;='Energy margins'!$AA$62,B104&lt;='Energy margins'!$AB$62),B104-'Energy margins'!$AA$62,""),'Energy margins'!$AC$62)=0,'Energy margins'!$Z$62,0))</f>
        <v>0</v>
      </c>
      <c r="U104" s="944">
        <f t="shared" si="47"/>
        <v>408.3347839999999</v>
      </c>
      <c r="V104" s="197"/>
      <c r="W104" s="197">
        <f t="shared" si="52"/>
        <v>408.3347839999999</v>
      </c>
      <c r="X104" s="197">
        <f t="shared" si="48"/>
        <v>765.26521600000024</v>
      </c>
      <c r="Y104" s="197">
        <f t="shared" si="49"/>
        <v>941.21521600000028</v>
      </c>
      <c r="Z104" s="973">
        <f t="shared" si="53"/>
        <v>704.83374748765823</v>
      </c>
      <c r="AA104" s="974">
        <f t="shared" si="54"/>
        <v>105.67101045539658</v>
      </c>
      <c r="AB104" s="974">
        <f t="shared" si="55"/>
        <v>245.23528973780108</v>
      </c>
      <c r="AC104" s="974">
        <f t="shared" si="56"/>
        <v>459.59845774985712</v>
      </c>
      <c r="AD104" s="974">
        <f t="shared" si="57"/>
        <v>565.2694682052537</v>
      </c>
      <c r="AE104" s="973">
        <f t="shared" si="63"/>
        <v>11135.607154865887</v>
      </c>
      <c r="AF104" s="974">
        <f t="shared" si="58"/>
        <v>1932.9247386150832</v>
      </c>
      <c r="AG104" s="974">
        <f t="shared" si="59"/>
        <v>6655.1068446969775</v>
      </c>
      <c r="AH104" s="974">
        <f t="shared" si="60"/>
        <v>4480.5003101689072</v>
      </c>
      <c r="AI104" s="975">
        <f t="shared" si="61"/>
        <v>6413.4250487839918</v>
      </c>
    </row>
    <row r="105" spans="2:35" x14ac:dyDescent="0.3">
      <c r="B105" s="900">
        <v>15</v>
      </c>
      <c r="C105" s="922">
        <f>'Energy Inputs'!G44</f>
        <v>1</v>
      </c>
      <c r="D105" s="918">
        <f>C105*'Energy Inputs'!$G$24</f>
        <v>16.3</v>
      </c>
      <c r="E105" s="197">
        <f>'Energy margins'!$Z$12</f>
        <v>72</v>
      </c>
      <c r="F105" s="197">
        <f t="shared" si="62"/>
        <v>1173.6000000000001</v>
      </c>
      <c r="G105" s="918">
        <f>'Energy Inputs'!$D$10</f>
        <v>175.95</v>
      </c>
      <c r="H105" s="197">
        <f t="shared" si="51"/>
        <v>1349.5500000000002</v>
      </c>
      <c r="I105" s="197"/>
      <c r="J105" s="947">
        <f>IF(ISERROR(IF(MOD(IF(AND(B105&gt;='Energy margins'!$AA$44,B105&lt;='Energy margins'!$AB$44),B105-'Energy margins'!$AA$44,""),'Energy margins'!$AC$44)=0,'Energy margins'!$Z$44,0)),0,IF(MOD(IF(AND(B105&gt;='Energy margins'!$AA$44,B105&lt;='Energy margins'!$AB$44),B105-'Energy margins'!$AA$44,""),'Energy margins'!$AC$44)=0,'Energy margins'!$Z$44,0))</f>
        <v>0</v>
      </c>
      <c r="K105" s="918">
        <f>IF(ISERROR(IF(MOD(IF(AND(B105&gt;='Energy margins'!$AA$45,B105&lt;='Energy margins'!$AB$45),B105-'Energy margins'!$AA$45,""),'Energy margins'!$AC$45)=0,'Energy margins'!$Z$45,0)),0,IF(MOD(IF(AND(B105&gt;='Energy margins'!$AA$45,B105&lt;='Energy margins'!$AB$45),B105-'Energy margins'!$AA$45,""),'Energy margins'!$AC$45)=0,'Energy margins'!$Z$45,0))</f>
        <v>0</v>
      </c>
      <c r="L105" s="918">
        <f>IF(ISERROR(IF(MOD(IF(AND(B105&gt;='Energy margins'!$AA$46,B105&lt;='Energy margins'!$AB$46),B105-'Energy margins'!$AA$46,""),'Energy margins'!$AC$46)=0,'Energy margins'!$Z$46,0)),0,IF(MOD(IF(AND(B105&gt;='Energy margins'!$AA$46,B105&lt;='Energy margins'!$AB$46),B105-'Energy margins'!$AA$46,""),'Energy margins'!$AC$46)=0,'Energy margins'!$Z$46,0))</f>
        <v>0</v>
      </c>
      <c r="M105" s="918">
        <f>IF(ISERROR(IF(MOD(IF(AND(B105&gt;='Energy margins'!$AA$47,B105&lt;='Energy margins'!$AB$47),B105-'Energy margins'!$AA$47,""),'Energy margins'!$AC$47)=0,'Energy margins'!$Z$47,0)),0,IF(MOD(IF(AND(B105&gt;='Energy margins'!$AA$47,B105&lt;='Energy margins'!$AB$47),B105-'Energy margins'!$AA$47,""),'Energy margins'!$AC$47)=0,'Energy margins'!$Z$47,0))</f>
        <v>19.974783999999993</v>
      </c>
      <c r="N105" s="918">
        <f>IF(ISERROR(IF(MOD(IF(AND(B105&gt;='Energy margins'!$AA$50,B105&lt;='Energy margins'!$AB$50),B105-'Energy margins'!$AA$50,""),'Energy margins'!$AC$50)=0,'Energy margins'!$Z$50,0)),0,IF(MOD(IF(AND(B105&gt;='Energy margins'!$AA$50,B105&lt;='Energy margins'!$AB$50),B105-'Energy margins'!$AA$50,""),'Energy margins'!$AC$50)=0,'Energy margins'!$Z$50,0))</f>
        <v>72.48</v>
      </c>
      <c r="O105" s="918">
        <f>IF(ISERROR(IF(MOD(IF(AND(B105&gt;='Energy margins'!$AA$53,B105&lt;='Energy margins'!$AB$53),B105-'Energy margins'!$AA$53,""),'Energy margins'!$AC$53)=0,'Energy margins'!$Z$53,0)),0,IF(MOD(IF(AND(B105&gt;='Energy margins'!$AA$53,B105&lt;='Energy margins'!$AB$53),B105-'Energy margins'!$AA$53,""),'Energy margins'!$AC$53)=0,'Energy margins'!$Z$53,0))</f>
        <v>89.24</v>
      </c>
      <c r="P105" s="918">
        <f>IF(ISERROR(IF(MOD(IF(AND(B105&gt;='Energy margins'!$AA$56,B105&lt;='Energy margins'!$AB$56),B105-'Energy margins'!$AA$56,""),'Energy margins'!$AC$56)=0,'Energy margins'!$Z$56,0)),0,IF(MOD(IF(AND(B105&gt;='Energy margins'!$AA$56,B105&lt;='Energy margins'!$AB$56),B105-'Energy margins'!$AA$56,""),'Energy margins'!$AC$56)=0,'Energy margins'!$Z$56,0))</f>
        <v>28.89</v>
      </c>
      <c r="Q105" s="918">
        <f>IF(ISERROR(IF(MOD(IF(AND(B105&gt;='Energy margins'!$AA$59,B105&lt;='Energy margins'!$AB$59),B105-'Energy margins'!$AA$59,""),'Energy margins'!$AC$59)=0,'Energy margins'!$Z$59,0)),0,IF(MOD(IF(AND(B105&gt;='Energy margins'!$AA$59,B105&lt;='Energy margins'!$AB$59),B105-'Energy margins'!$AA$59,""),'Energy margins'!$AC$59)=0,'Energy margins'!$Z$59,0))</f>
        <v>0</v>
      </c>
      <c r="R105" s="918">
        <f>IF(ISERROR(IF(MOD(IF(AND(B105&gt;='Energy margins'!$AA$60,B105&lt;='Energy margins'!$AB$60),B105-'Energy margins'!$AA$60,""),'Energy margins'!$AC$60)=0,'Energy margins'!$Z$60,0)),0,IF(MOD(IF(AND(B105&gt;='Energy margins'!$AA$60,B105&lt;='Energy margins'!$AB$60),B105-'Energy margins'!$AA$60,""),'Energy margins'!$AC$60)=0,'Energy margins'!$Z$60,0))</f>
        <v>0</v>
      </c>
      <c r="S105" s="918">
        <f>IF(ISERROR(IF(MOD(IF(AND(B105&gt;='Energy margins'!$AA$61,B105&lt;='Energy margins'!$AB$61),B105-'Energy margins'!$AA$61,""),'Energy margins'!$AC$61)=0,'Energy margins'!$Z$61,0)),0,IF(MOD(IF(AND(B105&gt;='Energy margins'!$AA$61,B105&lt;='Energy margins'!$AB$61),B105-'Energy margins'!$AA$61,""),'Energy margins'!$AC$61)=0,'Energy margins'!$Z$61,0))</f>
        <v>197.74999999999997</v>
      </c>
      <c r="T105" s="918">
        <f>IF(ISERROR(IF(MOD(IF(AND(B105&gt;='Energy margins'!$AA$62,B105&lt;='Energy margins'!$AB$62),B105-'Energy margins'!$AA$62,""),'Energy margins'!$AC$62)=0,'Energy margins'!$Z$62,0)),0,IF(MOD(IF(AND(B105&gt;='Energy margins'!$AA$62,B105&lt;='Energy margins'!$AB$62),B105-'Energy margins'!$AA$62,""),'Energy margins'!$AC$62)=0,'Energy margins'!$Z$62,0))</f>
        <v>0</v>
      </c>
      <c r="U105" s="944">
        <f t="shared" si="47"/>
        <v>408.3347839999999</v>
      </c>
      <c r="V105" s="197"/>
      <c r="W105" s="197">
        <f t="shared" si="52"/>
        <v>408.3347839999999</v>
      </c>
      <c r="X105" s="197">
        <f t="shared" si="48"/>
        <v>765.26521600000024</v>
      </c>
      <c r="Y105" s="197">
        <f t="shared" si="49"/>
        <v>941.21521600000028</v>
      </c>
      <c r="Z105" s="973">
        <f t="shared" si="53"/>
        <v>677.72475719967133</v>
      </c>
      <c r="AA105" s="974">
        <f t="shared" si="54"/>
        <v>101.60674082249672</v>
      </c>
      <c r="AB105" s="974">
        <f t="shared" si="55"/>
        <v>235.80316320942413</v>
      </c>
      <c r="AC105" s="974">
        <f t="shared" si="56"/>
        <v>441.92159399024723</v>
      </c>
      <c r="AD105" s="974">
        <f t="shared" si="57"/>
        <v>543.52833481274399</v>
      </c>
      <c r="AE105" s="973">
        <f t="shared" si="63"/>
        <v>11813.331912065558</v>
      </c>
      <c r="AF105" s="974">
        <f t="shared" si="58"/>
        <v>2034.5314794375799</v>
      </c>
      <c r="AG105" s="974">
        <f t="shared" si="59"/>
        <v>6890.9100079064019</v>
      </c>
      <c r="AH105" s="974">
        <f t="shared" si="60"/>
        <v>4922.4219041591541</v>
      </c>
      <c r="AI105" s="975">
        <f t="shared" si="61"/>
        <v>6956.9533835967359</v>
      </c>
    </row>
    <row r="106" spans="2:35" x14ac:dyDescent="0.3">
      <c r="B106" s="901">
        <v>16</v>
      </c>
      <c r="C106" s="919">
        <f>'Energy Inputs'!G45</f>
        <v>1</v>
      </c>
      <c r="D106" s="919">
        <f>C106*'Energy Inputs'!$G$24</f>
        <v>16.3</v>
      </c>
      <c r="E106" s="207">
        <f>'Energy margins'!$Z$12</f>
        <v>72</v>
      </c>
      <c r="F106" s="207">
        <f t="shared" si="62"/>
        <v>1173.6000000000001</v>
      </c>
      <c r="G106" s="919">
        <f>'Energy Inputs'!$D$10</f>
        <v>175.95</v>
      </c>
      <c r="H106" s="207">
        <f t="shared" si="51"/>
        <v>1349.5500000000002</v>
      </c>
      <c r="I106" s="207"/>
      <c r="J106" s="948">
        <f>IF(ISERROR(IF(MOD(IF(AND(B106&gt;='Energy margins'!$AA$44,B106&lt;='Energy margins'!$AB$44),B106-'Energy margins'!$AA$44,""),'Energy margins'!$AC$44)=0,'Energy margins'!$Z$44,0)),0,IF(MOD(IF(AND(B106&gt;='Energy margins'!$AA$44,B106&lt;='Energy margins'!$AB$44),B106-'Energy margins'!$AA$44,""),'Energy margins'!$AC$44)=0,'Energy margins'!$Z$44,0))</f>
        <v>0</v>
      </c>
      <c r="K106" s="919">
        <f>IF(ISERROR(IF(MOD(IF(AND(B106&gt;='Energy margins'!$AA$45,B106&lt;='Energy margins'!$AB$45),B106-'Energy margins'!$AA$45,""),'Energy margins'!$AC$45)=0,'Energy margins'!$Z$45,0)),0,IF(MOD(IF(AND(B106&gt;='Energy margins'!$AA$45,B106&lt;='Energy margins'!$AB$45),B106-'Energy margins'!$AA$45,""),'Energy margins'!$AC$45)=0,'Energy margins'!$Z$45,0))</f>
        <v>0</v>
      </c>
      <c r="L106" s="919">
        <f>IF(ISERROR(IF(MOD(IF(AND(B106&gt;='Energy margins'!$AA$46,B106&lt;='Energy margins'!$AB$46),B106-'Energy margins'!$AA$46,""),'Energy margins'!$AC$46)=0,'Energy margins'!$Z$46,0)),0,IF(MOD(IF(AND(B106&gt;='Energy margins'!$AA$46,B106&lt;='Energy margins'!$AB$46),B106-'Energy margins'!$AA$46,""),'Energy margins'!$AC$46)=0,'Energy margins'!$Z$46,0))</f>
        <v>0</v>
      </c>
      <c r="M106" s="919">
        <f>IF(ISERROR(IF(MOD(IF(AND(B106&gt;='Energy margins'!$AA$47,B106&lt;='Energy margins'!$AB$47),B106-'Energy margins'!$AA$47,""),'Energy margins'!$AC$47)=0,'Energy margins'!$Z$47,0)),0,IF(MOD(IF(AND(B106&gt;='Energy margins'!$AA$47,B106&lt;='Energy margins'!$AB$47),B106-'Energy margins'!$AA$47,""),'Energy margins'!$AC$47)=0,'Energy margins'!$Z$47,0))</f>
        <v>19.974783999999993</v>
      </c>
      <c r="N106" s="919">
        <f>IF(ISERROR(IF(MOD(IF(AND(B106&gt;='Energy margins'!$AA$50,B106&lt;='Energy margins'!$AB$50),B106-'Energy margins'!$AA$50,""),'Energy margins'!$AC$50)=0,'Energy margins'!$Z$50,0)),0,IF(MOD(IF(AND(B106&gt;='Energy margins'!$AA$50,B106&lt;='Energy margins'!$AB$50),B106-'Energy margins'!$AA$50,""),'Energy margins'!$AC$50)=0,'Energy margins'!$Z$50,0))</f>
        <v>72.48</v>
      </c>
      <c r="O106" s="919">
        <f>IF(ISERROR(IF(MOD(IF(AND(B106&gt;='Energy margins'!$AA$53,B106&lt;='Energy margins'!$AB$53),B106-'Energy margins'!$AA$53,""),'Energy margins'!$AC$53)=0,'Energy margins'!$Z$53,0)),0,IF(MOD(IF(AND(B106&gt;='Energy margins'!$AA$53,B106&lt;='Energy margins'!$AB$53),B106-'Energy margins'!$AA$53,""),'Energy margins'!$AC$53)=0,'Energy margins'!$Z$53,0))</f>
        <v>89.24</v>
      </c>
      <c r="P106" s="919">
        <f>IF(ISERROR(IF(MOD(IF(AND(B106&gt;='Energy margins'!$AA$56,B106&lt;='Energy margins'!$AB$56),B106-'Energy margins'!$AA$56,""),'Energy margins'!$AC$56)=0,'Energy margins'!$Z$56,0)),0,IF(MOD(IF(AND(B106&gt;='Energy margins'!$AA$56,B106&lt;='Energy margins'!$AB$56),B106-'Energy margins'!$AA$56,""),'Energy margins'!$AC$56)=0,'Energy margins'!$Z$56,0))</f>
        <v>28.89</v>
      </c>
      <c r="Q106" s="919">
        <f>IF(ISERROR(IF(MOD(IF(AND(B106&gt;='Energy margins'!$AA$59,B106&lt;='Energy margins'!$AB$59),B106-'Energy margins'!$AA$59,""),'Energy margins'!$AC$59)=0,'Energy margins'!$Z$59,0)),0,IF(MOD(IF(AND(B106&gt;='Energy margins'!$AA$59,B106&lt;='Energy margins'!$AB$59),B106-'Energy margins'!$AA$59,""),'Energy margins'!$AC$59)=0,'Energy margins'!$Z$59,0))</f>
        <v>0</v>
      </c>
      <c r="R106" s="919">
        <f>IF(ISERROR(IF(MOD(IF(AND(B106&gt;='Energy margins'!$AA$60,B106&lt;='Energy margins'!$AB$60),B106-'Energy margins'!$AA$60,""),'Energy margins'!$AC$60)=0,'Energy margins'!$Z$60,0)),0,IF(MOD(IF(AND(B106&gt;='Energy margins'!$AA$60,B106&lt;='Energy margins'!$AB$60),B106-'Energy margins'!$AA$60,""),'Energy margins'!$AC$60)=0,'Energy margins'!$Z$60,0))</f>
        <v>0</v>
      </c>
      <c r="S106" s="919">
        <f>IF(ISERROR(IF(MOD(IF(AND(B106&gt;='Energy margins'!$AA$61,B106&lt;='Energy margins'!$AB$61),B106-'Energy margins'!$AA$61,""),'Energy margins'!$AC$61)=0,'Energy margins'!$Z$61,0)),0,IF(MOD(IF(AND(B106&gt;='Energy margins'!$AA$61,B106&lt;='Energy margins'!$AB$61),B106-'Energy margins'!$AA$61,""),'Energy margins'!$AC$61)=0,'Energy margins'!$Z$61,0))</f>
        <v>197.74999999999997</v>
      </c>
      <c r="T106" s="919">
        <f>IF(ISERROR(IF(MOD(IF(AND(B106&gt;='Energy margins'!$AA$62,B106&lt;='Energy margins'!$AB$62),B106-'Energy margins'!$AA$62,""),'Energy margins'!$AC$62)=0,'Energy margins'!$Z$62,0)),0,IF(MOD(IF(AND(B106&gt;='Energy margins'!$AA$62,B106&lt;='Energy margins'!$AB$62),B106-'Energy margins'!$AA$62,""),'Energy margins'!$AC$62)=0,'Energy margins'!$Z$62,0))</f>
        <v>0</v>
      </c>
      <c r="U106" s="946">
        <f t="shared" si="47"/>
        <v>408.3347839999999</v>
      </c>
      <c r="V106" s="207">
        <f>'Energy margins'!AE67</f>
        <v>192.1</v>
      </c>
      <c r="W106" s="207">
        <f t="shared" si="52"/>
        <v>600.43478399999992</v>
      </c>
      <c r="X106" s="207">
        <f t="shared" si="48"/>
        <v>573.16521600000021</v>
      </c>
      <c r="Y106" s="207">
        <f t="shared" si="49"/>
        <v>749.11521600000026</v>
      </c>
      <c r="Z106" s="976">
        <f t="shared" si="53"/>
        <v>651.65842038429935</v>
      </c>
      <c r="AA106" s="977">
        <f t="shared" si="54"/>
        <v>97.698789252400701</v>
      </c>
      <c r="AB106" s="977">
        <f t="shared" si="55"/>
        <v>333.40012174951255</v>
      </c>
      <c r="AC106" s="977">
        <f t="shared" si="56"/>
        <v>318.25829863478685</v>
      </c>
      <c r="AD106" s="978">
        <f t="shared" si="57"/>
        <v>415.95708788718758</v>
      </c>
      <c r="AE106" s="976">
        <f t="shared" si="63"/>
        <v>12464.990332449857</v>
      </c>
      <c r="AF106" s="977">
        <f t="shared" si="58"/>
        <v>2132.2302686899807</v>
      </c>
      <c r="AG106" s="977">
        <f t="shared" si="59"/>
        <v>7224.3101296559144</v>
      </c>
      <c r="AH106" s="977">
        <f t="shared" si="60"/>
        <v>5240.6802027939411</v>
      </c>
      <c r="AI106" s="978">
        <f t="shared" si="61"/>
        <v>7372.9104714839232</v>
      </c>
    </row>
  </sheetData>
  <mergeCells count="16">
    <mergeCell ref="F88:H88"/>
    <mergeCell ref="V88:W88"/>
    <mergeCell ref="Z88:AD88"/>
    <mergeCell ref="AE88:AI88"/>
    <mergeCell ref="F62:H62"/>
    <mergeCell ref="V62:W62"/>
    <mergeCell ref="Z62:AD62"/>
    <mergeCell ref="AE62:AI62"/>
    <mergeCell ref="F10:H10"/>
    <mergeCell ref="V10:W10"/>
    <mergeCell ref="Z10:AD10"/>
    <mergeCell ref="AE10:AI10"/>
    <mergeCell ref="F36:H36"/>
    <mergeCell ref="V36:W36"/>
    <mergeCell ref="Z36:AD36"/>
    <mergeCell ref="AE36:AI36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Y168"/>
  <sheetViews>
    <sheetView topLeftCell="A10" zoomScale="110" zoomScaleNormal="110" workbookViewId="0">
      <selection activeCell="E10" sqref="E10"/>
    </sheetView>
  </sheetViews>
  <sheetFormatPr defaultColWidth="9" defaultRowHeight="14" x14ac:dyDescent="0.3"/>
  <sheetData>
    <row r="2" spans="1:119" x14ac:dyDescent="0.3">
      <c r="B2" s="1094" t="s">
        <v>348</v>
      </c>
      <c r="C2" s="1095"/>
      <c r="D2" s="1096"/>
    </row>
    <row r="4" spans="1:119" x14ac:dyDescent="0.3">
      <c r="A4" t="s">
        <v>419</v>
      </c>
      <c r="B4" s="757">
        <f>'Energy NPV'!C6</f>
        <v>0.04</v>
      </c>
    </row>
    <row r="8" spans="1:119" x14ac:dyDescent="0.3">
      <c r="B8" s="227" t="s">
        <v>96</v>
      </c>
      <c r="C8" s="763" t="s">
        <v>394</v>
      </c>
      <c r="D8" s="269" t="s">
        <v>405</v>
      </c>
      <c r="E8" s="906">
        <v>1</v>
      </c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Z8" s="227" t="s">
        <v>96</v>
      </c>
      <c r="AA8" s="211" t="s">
        <v>318</v>
      </c>
      <c r="AB8" s="905">
        <v>1.5</v>
      </c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X8" s="227" t="s">
        <v>96</v>
      </c>
      <c r="AY8" s="211" t="s">
        <v>324</v>
      </c>
      <c r="AZ8" s="905">
        <v>0.5</v>
      </c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V8" s="227" t="s">
        <v>96</v>
      </c>
      <c r="BW8" s="211" t="s">
        <v>325</v>
      </c>
      <c r="BX8" s="905">
        <v>2</v>
      </c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T8" s="227" t="s">
        <v>96</v>
      </c>
      <c r="CU8" s="211" t="s">
        <v>326</v>
      </c>
      <c r="CV8" s="905">
        <v>0</v>
      </c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</row>
    <row r="9" spans="1:119" x14ac:dyDescent="0.3">
      <c r="B9" s="203"/>
      <c r="C9" s="148"/>
      <c r="D9" s="148"/>
      <c r="E9" s="1086"/>
      <c r="F9" s="1086"/>
      <c r="G9" s="1086"/>
      <c r="H9" s="148"/>
      <c r="I9" s="931"/>
      <c r="J9" s="1086"/>
      <c r="K9" s="1086"/>
      <c r="L9" s="148"/>
      <c r="M9" s="148"/>
      <c r="N9" s="1087" t="s">
        <v>275</v>
      </c>
      <c r="O9" s="1088"/>
      <c r="P9" s="1088"/>
      <c r="Q9" s="1088"/>
      <c r="R9" s="1089"/>
      <c r="S9" s="1087" t="s">
        <v>276</v>
      </c>
      <c r="T9" s="1088"/>
      <c r="U9" s="1088"/>
      <c r="V9" s="1088"/>
      <c r="W9" s="1089"/>
      <c r="X9" s="987"/>
      <c r="Z9" s="203"/>
      <c r="AA9" s="148"/>
      <c r="AB9" s="148"/>
      <c r="AC9" s="1086"/>
      <c r="AD9" s="1086"/>
      <c r="AE9" s="1086"/>
      <c r="AF9" s="148"/>
      <c r="AG9" s="931"/>
      <c r="AH9" s="1086"/>
      <c r="AI9" s="1086"/>
      <c r="AJ9" s="148"/>
      <c r="AK9" s="148"/>
      <c r="AL9" s="1087" t="s">
        <v>317</v>
      </c>
      <c r="AM9" s="1088"/>
      <c r="AN9" s="1088"/>
      <c r="AO9" s="1088"/>
      <c r="AP9" s="1089"/>
      <c r="AQ9" s="1087" t="s">
        <v>276</v>
      </c>
      <c r="AR9" s="1088"/>
      <c r="AS9" s="1088"/>
      <c r="AT9" s="1088"/>
      <c r="AU9" s="1089"/>
      <c r="AV9" s="987"/>
      <c r="AX9" s="203"/>
      <c r="AY9" s="148"/>
      <c r="AZ9" s="148"/>
      <c r="BA9" s="232"/>
      <c r="BB9" s="232"/>
      <c r="BC9" s="232"/>
      <c r="BD9" s="148"/>
      <c r="BE9" s="931"/>
      <c r="BF9" s="232"/>
      <c r="BG9" s="232"/>
      <c r="BH9" s="148"/>
      <c r="BI9" s="148"/>
      <c r="BJ9" s="1087" t="s">
        <v>275</v>
      </c>
      <c r="BK9" s="1088"/>
      <c r="BL9" s="1088"/>
      <c r="BM9" s="1088"/>
      <c r="BN9" s="1089"/>
      <c r="BO9" s="1087" t="s">
        <v>276</v>
      </c>
      <c r="BP9" s="1088"/>
      <c r="BQ9" s="1088"/>
      <c r="BR9" s="1088"/>
      <c r="BS9" s="1089"/>
      <c r="BT9" s="987"/>
      <c r="BV9" s="203"/>
      <c r="BW9" s="148"/>
      <c r="BX9" s="148"/>
      <c r="BY9" s="232"/>
      <c r="BZ9" s="232"/>
      <c r="CA9" s="232"/>
      <c r="CB9" s="148"/>
      <c r="CC9" s="931"/>
      <c r="CD9" s="232"/>
      <c r="CE9" s="232"/>
      <c r="CF9" s="148"/>
      <c r="CG9" s="148"/>
      <c r="CH9" s="1087" t="s">
        <v>275</v>
      </c>
      <c r="CI9" s="1088"/>
      <c r="CJ9" s="1088"/>
      <c r="CK9" s="1088"/>
      <c r="CL9" s="1089"/>
      <c r="CM9" s="1087" t="s">
        <v>276</v>
      </c>
      <c r="CN9" s="1088"/>
      <c r="CO9" s="1088"/>
      <c r="CP9" s="1088"/>
      <c r="CQ9" s="1089"/>
      <c r="CR9" s="987"/>
      <c r="CT9" s="203"/>
      <c r="CU9" s="148"/>
      <c r="CV9" s="148"/>
      <c r="CW9" s="232"/>
      <c r="CX9" s="232"/>
      <c r="CY9" s="232"/>
      <c r="CZ9" s="148"/>
      <c r="DA9" s="931"/>
      <c r="DB9" s="232"/>
      <c r="DC9" s="232"/>
      <c r="DD9" s="148"/>
      <c r="DE9" s="148"/>
      <c r="DF9" s="1087" t="s">
        <v>275</v>
      </c>
      <c r="DG9" s="1088"/>
      <c r="DH9" s="1088"/>
      <c r="DI9" s="1088"/>
      <c r="DJ9" s="1089"/>
      <c r="DK9" s="1087" t="s">
        <v>276</v>
      </c>
      <c r="DL9" s="1088"/>
      <c r="DM9" s="1088"/>
      <c r="DN9" s="1088"/>
      <c r="DO9" s="1089"/>
    </row>
    <row r="10" spans="1:119" ht="51" x14ac:dyDescent="0.3">
      <c r="B10" s="204" t="s">
        <v>277</v>
      </c>
      <c r="C10" s="205" t="s">
        <v>303</v>
      </c>
      <c r="D10" s="205" t="s">
        <v>304</v>
      </c>
      <c r="E10" s="171" t="s">
        <v>675</v>
      </c>
      <c r="F10" s="171" t="s">
        <v>666</v>
      </c>
      <c r="G10" s="171" t="s">
        <v>676</v>
      </c>
      <c r="H10" s="205" t="s">
        <v>301</v>
      </c>
      <c r="I10" s="935" t="str">
        <f>'Energy NPV'!U63</f>
        <v>Total Recurring Costs</v>
      </c>
      <c r="J10" s="205" t="s">
        <v>305</v>
      </c>
      <c r="K10" s="171" t="s">
        <v>283</v>
      </c>
      <c r="L10" s="171" t="s">
        <v>677</v>
      </c>
      <c r="M10" s="171" t="s">
        <v>678</v>
      </c>
      <c r="N10" s="195" t="s">
        <v>286</v>
      </c>
      <c r="O10" s="171" t="s">
        <v>679</v>
      </c>
      <c r="P10" s="171" t="s">
        <v>288</v>
      </c>
      <c r="Q10" s="171" t="s">
        <v>680</v>
      </c>
      <c r="R10" s="198" t="s">
        <v>290</v>
      </c>
      <c r="S10" s="195" t="s">
        <v>291</v>
      </c>
      <c r="T10" s="171" t="s">
        <v>681</v>
      </c>
      <c r="U10" s="171" t="s">
        <v>293</v>
      </c>
      <c r="V10" s="171" t="s">
        <v>682</v>
      </c>
      <c r="W10" s="198" t="s">
        <v>295</v>
      </c>
      <c r="X10" s="171"/>
      <c r="Z10" s="204" t="s">
        <v>277</v>
      </c>
      <c r="AA10" s="205" t="s">
        <v>303</v>
      </c>
      <c r="AB10" s="205" t="s">
        <v>304</v>
      </c>
      <c r="AC10" s="171" t="s">
        <v>675</v>
      </c>
      <c r="AD10" s="171" t="s">
        <v>666</v>
      </c>
      <c r="AE10" s="171" t="s">
        <v>676</v>
      </c>
      <c r="AF10" s="205" t="s">
        <v>301</v>
      </c>
      <c r="AG10" s="935" t="str">
        <f>'Energy NPV'!U63</f>
        <v>Total Recurring Costs</v>
      </c>
      <c r="AH10" s="205" t="s">
        <v>305</v>
      </c>
      <c r="AI10" s="171" t="s">
        <v>283</v>
      </c>
      <c r="AJ10" s="171" t="s">
        <v>677</v>
      </c>
      <c r="AK10" s="171" t="s">
        <v>678</v>
      </c>
      <c r="AL10" s="195" t="s">
        <v>286</v>
      </c>
      <c r="AM10" s="171" t="s">
        <v>679</v>
      </c>
      <c r="AN10" s="171" t="s">
        <v>288</v>
      </c>
      <c r="AO10" s="171" t="s">
        <v>680</v>
      </c>
      <c r="AP10" s="198" t="s">
        <v>290</v>
      </c>
      <c r="AQ10" s="195" t="s">
        <v>291</v>
      </c>
      <c r="AR10" s="171" t="s">
        <v>681</v>
      </c>
      <c r="AS10" s="171" t="s">
        <v>293</v>
      </c>
      <c r="AT10" s="171" t="s">
        <v>682</v>
      </c>
      <c r="AU10" s="198" t="s">
        <v>295</v>
      </c>
      <c r="AV10" s="171"/>
      <c r="AX10" s="204" t="s">
        <v>277</v>
      </c>
      <c r="AY10" s="205" t="s">
        <v>303</v>
      </c>
      <c r="AZ10" s="205" t="s">
        <v>304</v>
      </c>
      <c r="BA10" s="171" t="s">
        <v>675</v>
      </c>
      <c r="BB10" s="171" t="s">
        <v>666</v>
      </c>
      <c r="BC10" s="171" t="s">
        <v>676</v>
      </c>
      <c r="BD10" s="205" t="s">
        <v>301</v>
      </c>
      <c r="BE10" s="935" t="str">
        <f>'Energy NPV'!U63</f>
        <v>Total Recurring Costs</v>
      </c>
      <c r="BF10" s="205" t="s">
        <v>305</v>
      </c>
      <c r="BG10" s="171" t="s">
        <v>283</v>
      </c>
      <c r="BH10" s="171" t="s">
        <v>677</v>
      </c>
      <c r="BI10" s="171" t="s">
        <v>678</v>
      </c>
      <c r="BJ10" s="195" t="s">
        <v>286</v>
      </c>
      <c r="BK10" s="171" t="s">
        <v>679</v>
      </c>
      <c r="BL10" s="171" t="s">
        <v>288</v>
      </c>
      <c r="BM10" s="171" t="s">
        <v>680</v>
      </c>
      <c r="BN10" s="198" t="s">
        <v>290</v>
      </c>
      <c r="BO10" s="195" t="s">
        <v>291</v>
      </c>
      <c r="BP10" s="171" t="s">
        <v>681</v>
      </c>
      <c r="BQ10" s="171" t="s">
        <v>293</v>
      </c>
      <c r="BR10" s="171" t="s">
        <v>682</v>
      </c>
      <c r="BS10" s="198" t="s">
        <v>295</v>
      </c>
      <c r="BT10" s="171"/>
      <c r="BV10" s="204" t="s">
        <v>277</v>
      </c>
      <c r="BW10" s="205" t="s">
        <v>303</v>
      </c>
      <c r="BX10" s="205" t="s">
        <v>304</v>
      </c>
      <c r="BY10" s="171" t="s">
        <v>675</v>
      </c>
      <c r="BZ10" s="171" t="s">
        <v>666</v>
      </c>
      <c r="CA10" s="171" t="s">
        <v>676</v>
      </c>
      <c r="CB10" s="205" t="s">
        <v>301</v>
      </c>
      <c r="CC10" s="935" t="str">
        <f>'Energy NPV'!U63</f>
        <v>Total Recurring Costs</v>
      </c>
      <c r="CD10" s="205" t="s">
        <v>305</v>
      </c>
      <c r="CE10" s="171" t="s">
        <v>283</v>
      </c>
      <c r="CF10" s="171" t="s">
        <v>677</v>
      </c>
      <c r="CG10" s="171" t="s">
        <v>678</v>
      </c>
      <c r="CH10" s="195" t="s">
        <v>286</v>
      </c>
      <c r="CI10" s="171" t="s">
        <v>679</v>
      </c>
      <c r="CJ10" s="171" t="s">
        <v>288</v>
      </c>
      <c r="CK10" s="171" t="s">
        <v>680</v>
      </c>
      <c r="CL10" s="198" t="s">
        <v>290</v>
      </c>
      <c r="CM10" s="195" t="s">
        <v>291</v>
      </c>
      <c r="CN10" s="171" t="s">
        <v>681</v>
      </c>
      <c r="CO10" s="171" t="s">
        <v>293</v>
      </c>
      <c r="CP10" s="171" t="s">
        <v>682</v>
      </c>
      <c r="CQ10" s="198" t="s">
        <v>295</v>
      </c>
      <c r="CR10" s="171"/>
      <c r="CT10" s="204" t="s">
        <v>277</v>
      </c>
      <c r="CU10" s="205" t="s">
        <v>303</v>
      </c>
      <c r="CV10" s="205" t="s">
        <v>304</v>
      </c>
      <c r="CW10" s="171" t="s">
        <v>675</v>
      </c>
      <c r="CX10" s="171" t="s">
        <v>666</v>
      </c>
      <c r="CY10" s="171" t="s">
        <v>676</v>
      </c>
      <c r="CZ10" s="205" t="s">
        <v>301</v>
      </c>
      <c r="DA10" s="935" t="str">
        <f>'Energy NPV'!U63</f>
        <v>Total Recurring Costs</v>
      </c>
      <c r="DB10" s="205" t="s">
        <v>305</v>
      </c>
      <c r="DC10" s="171" t="s">
        <v>283</v>
      </c>
      <c r="DD10" s="171" t="s">
        <v>677</v>
      </c>
      <c r="DE10" s="171" t="s">
        <v>678</v>
      </c>
      <c r="DF10" s="195" t="s">
        <v>286</v>
      </c>
      <c r="DG10" s="171" t="s">
        <v>679</v>
      </c>
      <c r="DH10" s="171" t="s">
        <v>288</v>
      </c>
      <c r="DI10" s="171" t="s">
        <v>680</v>
      </c>
      <c r="DJ10" s="198" t="s">
        <v>290</v>
      </c>
      <c r="DK10" s="195" t="s">
        <v>291</v>
      </c>
      <c r="DL10" s="171" t="s">
        <v>681</v>
      </c>
      <c r="DM10" s="171" t="s">
        <v>293</v>
      </c>
      <c r="DN10" s="171" t="s">
        <v>682</v>
      </c>
      <c r="DO10" s="198" t="s">
        <v>295</v>
      </c>
    </row>
    <row r="11" spans="1:119" x14ac:dyDescent="0.3">
      <c r="B11" s="173"/>
      <c r="C11" s="226" t="s">
        <v>341</v>
      </c>
      <c r="D11" s="226" t="s">
        <v>601</v>
      </c>
      <c r="E11" s="201" t="s">
        <v>599</v>
      </c>
      <c r="F11" s="201" t="s">
        <v>599</v>
      </c>
      <c r="G11" s="201" t="s">
        <v>599</v>
      </c>
      <c r="H11" s="201" t="s">
        <v>599</v>
      </c>
      <c r="I11" s="969" t="str">
        <f>'Energy NPV'!U64</f>
        <v>(€ ha-1)</v>
      </c>
      <c r="J11" s="201" t="s">
        <v>599</v>
      </c>
      <c r="K11" s="201" t="s">
        <v>599</v>
      </c>
      <c r="L11" s="201" t="s">
        <v>599</v>
      </c>
      <c r="M11" s="202" t="s">
        <v>599</v>
      </c>
      <c r="N11" s="201" t="s">
        <v>599</v>
      </c>
      <c r="O11" s="201" t="s">
        <v>599</v>
      </c>
      <c r="P11" s="201" t="s">
        <v>599</v>
      </c>
      <c r="Q11" s="201" t="s">
        <v>599</v>
      </c>
      <c r="R11" s="202" t="s">
        <v>599</v>
      </c>
      <c r="S11" s="201" t="s">
        <v>599</v>
      </c>
      <c r="T11" s="201" t="s">
        <v>599</v>
      </c>
      <c r="U11" s="201" t="s">
        <v>599</v>
      </c>
      <c r="V11" s="201" t="s">
        <v>599</v>
      </c>
      <c r="W11" s="202" t="s">
        <v>599</v>
      </c>
      <c r="X11" s="988"/>
      <c r="Z11" s="173"/>
      <c r="AA11" s="226" t="s">
        <v>341</v>
      </c>
      <c r="AB11" s="226" t="s">
        <v>601</v>
      </c>
      <c r="AC11" s="201" t="s">
        <v>599</v>
      </c>
      <c r="AD11" s="201" t="s">
        <v>599</v>
      </c>
      <c r="AE11" s="201" t="s">
        <v>599</v>
      </c>
      <c r="AF11" s="201" t="s">
        <v>599</v>
      </c>
      <c r="AG11" s="969" t="str">
        <f>'Energy NPV'!U64</f>
        <v>(€ ha-1)</v>
      </c>
      <c r="AH11" s="201" t="s">
        <v>599</v>
      </c>
      <c r="AI11" s="201" t="s">
        <v>599</v>
      </c>
      <c r="AJ11" s="201" t="s">
        <v>599</v>
      </c>
      <c r="AK11" s="202" t="s">
        <v>599</v>
      </c>
      <c r="AL11" s="201" t="s">
        <v>599</v>
      </c>
      <c r="AM11" s="201" t="s">
        <v>599</v>
      </c>
      <c r="AN11" s="201" t="s">
        <v>599</v>
      </c>
      <c r="AO11" s="201" t="s">
        <v>599</v>
      </c>
      <c r="AP11" s="202" t="s">
        <v>599</v>
      </c>
      <c r="AQ11" s="201" t="s">
        <v>599</v>
      </c>
      <c r="AR11" s="201" t="s">
        <v>599</v>
      </c>
      <c r="AS11" s="201" t="s">
        <v>599</v>
      </c>
      <c r="AT11" s="201" t="s">
        <v>599</v>
      </c>
      <c r="AU11" s="202" t="s">
        <v>599</v>
      </c>
      <c r="AV11" s="988"/>
      <c r="AX11" s="173"/>
      <c r="AY11" s="226" t="s">
        <v>341</v>
      </c>
      <c r="AZ11" s="226" t="s">
        <v>601</v>
      </c>
      <c r="BA11" s="201" t="s">
        <v>599</v>
      </c>
      <c r="BB11" s="201" t="s">
        <v>599</v>
      </c>
      <c r="BC11" s="201" t="s">
        <v>599</v>
      </c>
      <c r="BD11" s="201" t="s">
        <v>599</v>
      </c>
      <c r="BE11" s="969" t="str">
        <f>'Energy NPV'!U64</f>
        <v>(€ ha-1)</v>
      </c>
      <c r="BF11" s="201" t="s">
        <v>599</v>
      </c>
      <c r="BG11" s="201" t="s">
        <v>599</v>
      </c>
      <c r="BH11" s="201" t="s">
        <v>599</v>
      </c>
      <c r="BI11" s="202" t="s">
        <v>599</v>
      </c>
      <c r="BJ11" s="201" t="s">
        <v>599</v>
      </c>
      <c r="BK11" s="201" t="s">
        <v>599</v>
      </c>
      <c r="BL11" s="201" t="s">
        <v>599</v>
      </c>
      <c r="BM11" s="201" t="s">
        <v>599</v>
      </c>
      <c r="BN11" s="202" t="s">
        <v>599</v>
      </c>
      <c r="BO11" s="201" t="s">
        <v>599</v>
      </c>
      <c r="BP11" s="201" t="s">
        <v>599</v>
      </c>
      <c r="BQ11" s="201" t="s">
        <v>599</v>
      </c>
      <c r="BR11" s="201" t="s">
        <v>599</v>
      </c>
      <c r="BS11" s="202" t="s">
        <v>599</v>
      </c>
      <c r="BT11" s="988"/>
      <c r="BV11" s="173"/>
      <c r="BW11" s="226" t="s">
        <v>341</v>
      </c>
      <c r="BX11" s="226" t="s">
        <v>601</v>
      </c>
      <c r="BY11" s="201" t="s">
        <v>599</v>
      </c>
      <c r="BZ11" s="201" t="s">
        <v>599</v>
      </c>
      <c r="CA11" s="201" t="s">
        <v>599</v>
      </c>
      <c r="CB11" s="201" t="s">
        <v>599</v>
      </c>
      <c r="CC11" s="969" t="str">
        <f>'Energy NPV'!U64</f>
        <v>(€ ha-1)</v>
      </c>
      <c r="CD11" s="201" t="s">
        <v>599</v>
      </c>
      <c r="CE11" s="201" t="s">
        <v>599</v>
      </c>
      <c r="CF11" s="201" t="s">
        <v>599</v>
      </c>
      <c r="CG11" s="202" t="s">
        <v>599</v>
      </c>
      <c r="CH11" s="201" t="s">
        <v>599</v>
      </c>
      <c r="CI11" s="201" t="s">
        <v>599</v>
      </c>
      <c r="CJ11" s="201" t="s">
        <v>599</v>
      </c>
      <c r="CK11" s="201" t="s">
        <v>599</v>
      </c>
      <c r="CL11" s="202" t="s">
        <v>599</v>
      </c>
      <c r="CM11" s="201" t="s">
        <v>599</v>
      </c>
      <c r="CN11" s="201" t="s">
        <v>599</v>
      </c>
      <c r="CO11" s="201" t="s">
        <v>599</v>
      </c>
      <c r="CP11" s="201" t="s">
        <v>599</v>
      </c>
      <c r="CQ11" s="202" t="s">
        <v>599</v>
      </c>
      <c r="CR11" s="988"/>
      <c r="CT11" s="173"/>
      <c r="CU11" s="226" t="s">
        <v>341</v>
      </c>
      <c r="CV11" s="226" t="s">
        <v>601</v>
      </c>
      <c r="CW11" s="201" t="s">
        <v>599</v>
      </c>
      <c r="CX11" s="201" t="s">
        <v>599</v>
      </c>
      <c r="CY11" s="201" t="s">
        <v>599</v>
      </c>
      <c r="CZ11" s="201" t="s">
        <v>599</v>
      </c>
      <c r="DA11" s="969" t="str">
        <f>'Energy NPV'!U64</f>
        <v>(€ ha-1)</v>
      </c>
      <c r="DB11" s="201" t="s">
        <v>599</v>
      </c>
      <c r="DC11" s="201" t="s">
        <v>599</v>
      </c>
      <c r="DD11" s="201" t="s">
        <v>599</v>
      </c>
      <c r="DE11" s="202" t="s">
        <v>599</v>
      </c>
      <c r="DF11" s="201" t="s">
        <v>599</v>
      </c>
      <c r="DG11" s="201" t="s">
        <v>599</v>
      </c>
      <c r="DH11" s="201" t="s">
        <v>599</v>
      </c>
      <c r="DI11" s="201" t="s">
        <v>599</v>
      </c>
      <c r="DJ11" s="202" t="s">
        <v>599</v>
      </c>
      <c r="DK11" s="201" t="s">
        <v>599</v>
      </c>
      <c r="DL11" s="201" t="s">
        <v>599</v>
      </c>
      <c r="DM11" s="201" t="s">
        <v>599</v>
      </c>
      <c r="DN11" s="201" t="s">
        <v>599</v>
      </c>
      <c r="DO11" s="202" t="s">
        <v>599</v>
      </c>
    </row>
    <row r="12" spans="1:119" x14ac:dyDescent="0.3">
      <c r="B12" s="204">
        <v>1</v>
      </c>
      <c r="C12" s="197">
        <f>'Energy NPV'!$D65</f>
        <v>2.0466666666666664</v>
      </c>
      <c r="D12" s="197">
        <f>'Energy Inputs'!$F$58*$E$8</f>
        <v>72</v>
      </c>
      <c r="E12" s="197">
        <f>C12*D12</f>
        <v>147.35999999999999</v>
      </c>
      <c r="F12" s="197">
        <f>'Margins summary'!$U$14</f>
        <v>175.95</v>
      </c>
      <c r="G12" s="197">
        <f>E12+F12</f>
        <v>323.30999999999995</v>
      </c>
      <c r="H12" s="197">
        <f>'Margins summary'!$T$20</f>
        <v>5737.3339839999999</v>
      </c>
      <c r="I12" s="918">
        <f>'Energy NPV'!U65</f>
        <v>112.99999999999999</v>
      </c>
      <c r="J12" s="197"/>
      <c r="K12" s="197">
        <f>H12+I12+J12</f>
        <v>5850.3339839999999</v>
      </c>
      <c r="L12" s="197">
        <f t="shared" ref="L12:L27" si="0">E12-K12</f>
        <v>-5702.9739840000002</v>
      </c>
      <c r="M12" s="197">
        <f t="shared" ref="M12:M27" si="1">G12-K12</f>
        <v>-5527.0239839999995</v>
      </c>
      <c r="N12" s="1018">
        <f>E12/((1+$B$4)^(B12-1))</f>
        <v>147.35999999999999</v>
      </c>
      <c r="O12" s="213">
        <f>F12/((1+$B$4)^(B12-1))</f>
        <v>175.95</v>
      </c>
      <c r="P12" s="213">
        <f>K12/((1+$B$4)^(B12-1))</f>
        <v>5850.3339839999999</v>
      </c>
      <c r="Q12" s="213">
        <f>L12/((1+$B$4)^(B12-1))</f>
        <v>-5702.9739840000002</v>
      </c>
      <c r="R12" s="929">
        <f>M12/((1+$B$4)^(B12-1))</f>
        <v>-5527.0239839999995</v>
      </c>
      <c r="S12" s="196">
        <f>N12</f>
        <v>147.35999999999999</v>
      </c>
      <c r="T12" s="197">
        <f>O12</f>
        <v>175.95</v>
      </c>
      <c r="U12" s="197">
        <f>P12</f>
        <v>5850.3339839999999</v>
      </c>
      <c r="V12" s="197">
        <f>Q12</f>
        <v>-5702.9739840000002</v>
      </c>
      <c r="W12" s="199">
        <f>R12</f>
        <v>-5527.0239839999995</v>
      </c>
      <c r="X12" s="197"/>
      <c r="Z12" s="899">
        <v>1</v>
      </c>
      <c r="AA12" s="197">
        <f>$C12</f>
        <v>2.0466666666666664</v>
      </c>
      <c r="AB12" s="197">
        <f>'Energy Inputs'!$F$58*$AB$8</f>
        <v>108</v>
      </c>
      <c r="AC12" s="197">
        <f>AA12*AB12</f>
        <v>221.03999999999996</v>
      </c>
      <c r="AD12" s="197">
        <f>'Margins summary'!$U$14</f>
        <v>175.95</v>
      </c>
      <c r="AE12" s="197">
        <f>AC12+AD12</f>
        <v>396.98999999999995</v>
      </c>
      <c r="AF12" s="197">
        <f>'Margins summary'!$T$20</f>
        <v>5737.3339839999999</v>
      </c>
      <c r="AG12" s="918">
        <f>'Energy NPV'!U65</f>
        <v>112.99999999999999</v>
      </c>
      <c r="AH12" s="197"/>
      <c r="AI12" s="197">
        <f>AF12+AG12+AH12</f>
        <v>5850.3339839999999</v>
      </c>
      <c r="AJ12" s="197">
        <f t="shared" ref="AJ12:AJ27" si="2">AC12-AI12</f>
        <v>-5629.2939839999999</v>
      </c>
      <c r="AK12" s="197">
        <f t="shared" ref="AK12:AK27" si="3">AE12-AI12</f>
        <v>-5453.3439840000001</v>
      </c>
      <c r="AL12" s="1018">
        <f>AC12/((1+$B$4)^(Z12-1))</f>
        <v>221.03999999999996</v>
      </c>
      <c r="AM12" s="213">
        <f>AD12/((1+$B$4)^(Z12-1))</f>
        <v>175.95</v>
      </c>
      <c r="AN12" s="213">
        <f>AI12/((1+$B$4)^(Z12-1))</f>
        <v>5850.3339839999999</v>
      </c>
      <c r="AO12" s="213">
        <f>AJ12/((1+$B$4)^(Z12-1))</f>
        <v>-5629.2939839999999</v>
      </c>
      <c r="AP12" s="929">
        <f>AK12/((1+$B$4)^(Z12-1))</f>
        <v>-5453.3439840000001</v>
      </c>
      <c r="AQ12" s="196">
        <f>AL12</f>
        <v>221.03999999999996</v>
      </c>
      <c r="AR12" s="197">
        <f>AM12</f>
        <v>175.95</v>
      </c>
      <c r="AS12" s="197">
        <f>AN12</f>
        <v>5850.3339839999999</v>
      </c>
      <c r="AT12" s="197">
        <f>AO12</f>
        <v>-5629.2939839999999</v>
      </c>
      <c r="AU12" s="199">
        <f>AP12</f>
        <v>-5453.3439840000001</v>
      </c>
      <c r="AV12" s="197"/>
      <c r="AX12" s="899">
        <v>1</v>
      </c>
      <c r="AY12" s="197">
        <f>$C12</f>
        <v>2.0466666666666664</v>
      </c>
      <c r="AZ12" s="197">
        <f>'Energy Inputs'!$F$58*$AZ$8</f>
        <v>36</v>
      </c>
      <c r="BA12" s="197">
        <f>AY12*AZ12</f>
        <v>73.679999999999993</v>
      </c>
      <c r="BB12" s="197">
        <f>'Margins summary'!$U$14</f>
        <v>175.95</v>
      </c>
      <c r="BC12" s="197">
        <f>BA12+BB12</f>
        <v>249.63</v>
      </c>
      <c r="BD12" s="197">
        <f>'Margins summary'!$T$20</f>
        <v>5737.3339839999999</v>
      </c>
      <c r="BE12" s="918">
        <f>'Energy NPV'!U65</f>
        <v>112.99999999999999</v>
      </c>
      <c r="BF12" s="197"/>
      <c r="BG12" s="197">
        <f>BD12+BE12+BF12</f>
        <v>5850.3339839999999</v>
      </c>
      <c r="BH12" s="197">
        <f t="shared" ref="BH12:BH27" si="4">BA12-BG12</f>
        <v>-5776.6539839999996</v>
      </c>
      <c r="BI12" s="197">
        <f t="shared" ref="BI12:BI27" si="5">BC12-BG12</f>
        <v>-5600.7039839999998</v>
      </c>
      <c r="BJ12" s="1018">
        <f>BA12/((1+$B$4)^(AX12-1))</f>
        <v>73.679999999999993</v>
      </c>
      <c r="BK12" s="213">
        <f>BB12/((1+$B$4)^(AX12-1))</f>
        <v>175.95</v>
      </c>
      <c r="BL12" s="213">
        <f>BG12/((1+$B$4)^(AX12-1))</f>
        <v>5850.3339839999999</v>
      </c>
      <c r="BM12" s="213">
        <f>BH12/((1+$B$4)^(AX12-1))</f>
        <v>-5776.6539839999996</v>
      </c>
      <c r="BN12" s="929">
        <f>BI12/((1+$B$4)^(AX12-1))</f>
        <v>-5600.7039839999998</v>
      </c>
      <c r="BO12" s="196">
        <f>BJ12</f>
        <v>73.679999999999993</v>
      </c>
      <c r="BP12" s="197">
        <f>BK12</f>
        <v>175.95</v>
      </c>
      <c r="BQ12" s="197">
        <f>BL12</f>
        <v>5850.3339839999999</v>
      </c>
      <c r="BR12" s="197">
        <f>BM12</f>
        <v>-5776.6539839999996</v>
      </c>
      <c r="BS12" s="199">
        <f>BN12</f>
        <v>-5600.7039839999998</v>
      </c>
      <c r="BT12" s="197"/>
      <c r="BV12" s="899">
        <v>1</v>
      </c>
      <c r="BW12" s="197">
        <f>$C12</f>
        <v>2.0466666666666664</v>
      </c>
      <c r="BX12" s="197">
        <f>'Energy Inputs'!$F$58*$BX$8</f>
        <v>144</v>
      </c>
      <c r="BY12" s="197">
        <f>BW12*BX12</f>
        <v>294.71999999999997</v>
      </c>
      <c r="BZ12" s="197">
        <f>'Margins summary'!$U$14</f>
        <v>175.95</v>
      </c>
      <c r="CA12" s="197">
        <f>BY12+BZ12</f>
        <v>470.66999999999996</v>
      </c>
      <c r="CB12" s="197">
        <f>'Margins summary'!$T$20</f>
        <v>5737.3339839999999</v>
      </c>
      <c r="CC12" s="918">
        <f>'Energy NPV'!U65</f>
        <v>112.99999999999999</v>
      </c>
      <c r="CD12" s="197"/>
      <c r="CE12" s="197">
        <f>CB12+CC12+CD12</f>
        <v>5850.3339839999999</v>
      </c>
      <c r="CF12" s="197">
        <f t="shared" ref="CF12:CF27" si="6">BY12-CE12</f>
        <v>-5555.6139839999996</v>
      </c>
      <c r="CG12" s="197">
        <f t="shared" ref="CG12:CG27" si="7">CA12-CE12</f>
        <v>-5379.6639839999998</v>
      </c>
      <c r="CH12" s="1018">
        <f>BY12/((1+$B$4)^(BV12-1))</f>
        <v>294.71999999999997</v>
      </c>
      <c r="CI12" s="213">
        <f>BZ12/((1+$B$4)^(BV12-1))</f>
        <v>175.95</v>
      </c>
      <c r="CJ12" s="213">
        <f>CE12/((1+$B$4)^(BV12-1))</f>
        <v>5850.3339839999999</v>
      </c>
      <c r="CK12" s="213">
        <f>CF12/((1+$B$4)^(BV12-1))</f>
        <v>-5555.6139839999996</v>
      </c>
      <c r="CL12" s="929">
        <f>CG12/((1+$B$4)^(BV12-1))</f>
        <v>-5379.6639839999998</v>
      </c>
      <c r="CM12" s="196">
        <f>CH12</f>
        <v>294.71999999999997</v>
      </c>
      <c r="CN12" s="197">
        <f>CI12</f>
        <v>175.95</v>
      </c>
      <c r="CO12" s="197">
        <f>CJ12</f>
        <v>5850.3339839999999</v>
      </c>
      <c r="CP12" s="197">
        <f>CK12</f>
        <v>-5555.6139839999996</v>
      </c>
      <c r="CQ12" s="199">
        <f>CL12</f>
        <v>-5379.6639839999998</v>
      </c>
      <c r="CR12" s="197"/>
      <c r="CT12" s="204">
        <v>1</v>
      </c>
      <c r="CU12" s="197">
        <f>$C12</f>
        <v>2.0466666666666664</v>
      </c>
      <c r="CV12" s="197">
        <f>'Energy Inputs'!$F$58*$CV$8</f>
        <v>0</v>
      </c>
      <c r="CW12" s="197">
        <f>CU12*CV12</f>
        <v>0</v>
      </c>
      <c r="CX12" s="197">
        <f>'Margins summary'!$U$14</f>
        <v>175.95</v>
      </c>
      <c r="CY12" s="197">
        <f>CW12+CX12</f>
        <v>175.95</v>
      </c>
      <c r="CZ12" s="197">
        <f>'Margins summary'!$T$20</f>
        <v>5737.3339839999999</v>
      </c>
      <c r="DA12" s="918">
        <f>'Energy NPV'!U65</f>
        <v>112.99999999999999</v>
      </c>
      <c r="DB12" s="197"/>
      <c r="DC12" s="197">
        <f>CZ12+DA12+DB12</f>
        <v>5850.3339839999999</v>
      </c>
      <c r="DD12" s="197">
        <f t="shared" ref="DD12:DD27" si="8">CW12-DC12</f>
        <v>-5850.3339839999999</v>
      </c>
      <c r="DE12" s="197">
        <f t="shared" ref="DE12:DE27" si="9">CY12-DC12</f>
        <v>-5674.3839840000001</v>
      </c>
      <c r="DF12" s="1018">
        <f>CW12/((1+$B$4)^(CT12-1))</f>
        <v>0</v>
      </c>
      <c r="DG12" s="213">
        <f>CX12/((1+$B$4)^(CT12-1))</f>
        <v>175.95</v>
      </c>
      <c r="DH12" s="213">
        <f>DC12/((1+$B$4)^(CT12-1))</f>
        <v>5850.3339839999999</v>
      </c>
      <c r="DI12" s="213">
        <f>DD12/((1+$B$4)^(CT12-1))</f>
        <v>-5850.3339839999999</v>
      </c>
      <c r="DJ12" s="929">
        <f>DE12/((1+$B$4)^(CT12-1))</f>
        <v>-5674.3839840000001</v>
      </c>
      <c r="DK12" s="196">
        <f>DF12</f>
        <v>0</v>
      </c>
      <c r="DL12" s="197">
        <f>DG12</f>
        <v>175.95</v>
      </c>
      <c r="DM12" s="197">
        <f>DH12</f>
        <v>5850.3339839999999</v>
      </c>
      <c r="DN12" s="197">
        <f>DI12</f>
        <v>-5850.3339839999999</v>
      </c>
      <c r="DO12" s="199">
        <f>DJ12</f>
        <v>-5674.3839840000001</v>
      </c>
    </row>
    <row r="13" spans="1:119" x14ac:dyDescent="0.3">
      <c r="B13" s="204">
        <f>B12+1</f>
        <v>2</v>
      </c>
      <c r="C13" s="197">
        <f>'Energy NPV'!$D66</f>
        <v>8.27</v>
      </c>
      <c r="D13" s="197">
        <f>'Energy Inputs'!$F$58*$E$8</f>
        <v>72</v>
      </c>
      <c r="E13" s="197">
        <f t="shared" ref="E13:E27" si="10">C13*D13</f>
        <v>595.43999999999994</v>
      </c>
      <c r="F13" s="197">
        <f>'Margins summary'!$U$14</f>
        <v>175.95</v>
      </c>
      <c r="G13" s="197">
        <f t="shared" ref="G13:G27" si="11">E13+F13</f>
        <v>771.38999999999987</v>
      </c>
      <c r="H13" s="197"/>
      <c r="I13" s="918">
        <f>'Energy NPV'!U66</f>
        <v>491.50878399999999</v>
      </c>
      <c r="J13" s="197"/>
      <c r="K13" s="197">
        <f t="shared" ref="K13:K27" si="12">H13+I13+J13</f>
        <v>491.50878399999999</v>
      </c>
      <c r="L13" s="197">
        <f t="shared" si="0"/>
        <v>103.93121599999995</v>
      </c>
      <c r="M13" s="197">
        <f t="shared" si="1"/>
        <v>279.88121599999988</v>
      </c>
      <c r="N13" s="196">
        <f t="shared" ref="N13:N27" si="13">E13/((1+$B$4)^(B13-1))</f>
        <v>572.53846153846143</v>
      </c>
      <c r="O13" s="197">
        <f t="shared" ref="O13:O27" si="14">F13/((1+$B$4)^(B13-1))</f>
        <v>169.18269230769229</v>
      </c>
      <c r="P13" s="197">
        <f t="shared" ref="P13:P27" si="15">K13/((1+$B$4)^(B13-1))</f>
        <v>472.60459999999995</v>
      </c>
      <c r="Q13" s="197">
        <f t="shared" ref="Q13:Q27" si="16">L13/((1+$B$4)^(B13-1))</f>
        <v>99.933861538461485</v>
      </c>
      <c r="R13" s="199">
        <f t="shared" ref="R13:R26" si="17">M13/((1+$B$4)^(B13-1))</f>
        <v>269.11655384615375</v>
      </c>
      <c r="S13" s="196">
        <f>S12+N13</f>
        <v>719.89846153846145</v>
      </c>
      <c r="T13" s="197">
        <f t="shared" ref="T13:W27" si="18">T12+O13</f>
        <v>345.13269230769231</v>
      </c>
      <c r="U13" s="197">
        <f t="shared" si="18"/>
        <v>6322.9385839999995</v>
      </c>
      <c r="V13" s="197">
        <f t="shared" si="18"/>
        <v>-5603.0401224615389</v>
      </c>
      <c r="W13" s="199">
        <f t="shared" si="18"/>
        <v>-5257.9074301538458</v>
      </c>
      <c r="X13" s="197"/>
      <c r="Z13" s="900">
        <v>2</v>
      </c>
      <c r="AA13" s="197">
        <f t="shared" ref="AA13:AA27" si="19">$C13</f>
        <v>8.27</v>
      </c>
      <c r="AB13" s="197">
        <f>'Energy Inputs'!$F$58*$AB$8</f>
        <v>108</v>
      </c>
      <c r="AC13" s="197">
        <f t="shared" ref="AC13:AC26" si="20">AA13*AB13</f>
        <v>893.16</v>
      </c>
      <c r="AD13" s="197">
        <f>'Margins summary'!$U$14</f>
        <v>175.95</v>
      </c>
      <c r="AE13" s="197">
        <f t="shared" ref="AE13:AE27" si="21">AC13+AD13</f>
        <v>1069.1099999999999</v>
      </c>
      <c r="AF13" s="197"/>
      <c r="AG13" s="918">
        <f>'Energy NPV'!U66</f>
        <v>491.50878399999999</v>
      </c>
      <c r="AH13" s="197"/>
      <c r="AI13" s="197">
        <f t="shared" ref="AI13:AI27" si="22">AF13+AG13+AH13</f>
        <v>491.50878399999999</v>
      </c>
      <c r="AJ13" s="197">
        <f t="shared" si="2"/>
        <v>401.65121599999998</v>
      </c>
      <c r="AK13" s="197">
        <f t="shared" si="3"/>
        <v>577.60121599999991</v>
      </c>
      <c r="AL13" s="196">
        <f t="shared" ref="AL13:AL27" si="23">AC13/((1+$B$4)^(Z13-1))</f>
        <v>858.80769230769226</v>
      </c>
      <c r="AM13" s="197">
        <f t="shared" ref="AM13:AM27" si="24">AD13/((1+$B$4)^(Z13-1))</f>
        <v>169.18269230769229</v>
      </c>
      <c r="AN13" s="197">
        <f t="shared" ref="AN13:AN27" si="25">AI13/((1+$B$4)^(Z13-1))</f>
        <v>472.60459999999995</v>
      </c>
      <c r="AO13" s="197">
        <f t="shared" ref="AO13:AO27" si="26">AJ13/((1+$B$4)^(Z13-1))</f>
        <v>386.20309230769226</v>
      </c>
      <c r="AP13" s="199">
        <f t="shared" ref="AP13:AP26" si="27">AK13/((1+$B$4)^(Z13-1))</f>
        <v>555.38578461538452</v>
      </c>
      <c r="AQ13" s="196">
        <f>AQ12+AL13</f>
        <v>1079.8476923076923</v>
      </c>
      <c r="AR13" s="197">
        <f t="shared" ref="AR13:AR27" si="28">AR12+AM13</f>
        <v>345.13269230769231</v>
      </c>
      <c r="AS13" s="197">
        <f t="shared" ref="AS13:AS27" si="29">AS12+AN13</f>
        <v>6322.9385839999995</v>
      </c>
      <c r="AT13" s="197">
        <f t="shared" ref="AT13:AT27" si="30">AT12+AO13</f>
        <v>-5243.0908916923072</v>
      </c>
      <c r="AU13" s="199">
        <f t="shared" ref="AU13:AU27" si="31">AU12+AP13</f>
        <v>-4897.9581993846159</v>
      </c>
      <c r="AV13" s="197"/>
      <c r="AX13" s="900">
        <v>2</v>
      </c>
      <c r="AY13" s="197">
        <f t="shared" ref="AY13:AY27" si="32">$C13</f>
        <v>8.27</v>
      </c>
      <c r="AZ13" s="197">
        <f>'Energy Inputs'!$F$58*$AZ$8</f>
        <v>36</v>
      </c>
      <c r="BA13" s="197">
        <f t="shared" ref="BA13:BA27" si="33">AY13*AZ13</f>
        <v>297.71999999999997</v>
      </c>
      <c r="BB13" s="197">
        <f>'Margins summary'!$U$14</f>
        <v>175.95</v>
      </c>
      <c r="BC13" s="197">
        <f t="shared" ref="BC13:BC27" si="34">BA13+BB13</f>
        <v>473.66999999999996</v>
      </c>
      <c r="BD13" s="197"/>
      <c r="BE13" s="918">
        <f>'Energy NPV'!U66</f>
        <v>491.50878399999999</v>
      </c>
      <c r="BF13" s="197"/>
      <c r="BG13" s="197">
        <f t="shared" ref="BG13:BG27" si="35">BD13+BE13+BF13</f>
        <v>491.50878399999999</v>
      </c>
      <c r="BH13" s="197">
        <f t="shared" si="4"/>
        <v>-193.78878400000002</v>
      </c>
      <c r="BI13" s="197">
        <f t="shared" si="5"/>
        <v>-17.838784000000032</v>
      </c>
      <c r="BJ13" s="196">
        <f t="shared" ref="BJ13:BJ27" si="36">BA13/((1+$B$4)^(AX13-1))</f>
        <v>286.26923076923072</v>
      </c>
      <c r="BK13" s="197">
        <f t="shared" ref="BK13:BK27" si="37">BB13/((1+$B$4)^(AX13-1))</f>
        <v>169.18269230769229</v>
      </c>
      <c r="BL13" s="197">
        <f t="shared" ref="BL13:BL27" si="38">BG13/((1+$B$4)^(AX13-1))</f>
        <v>472.60459999999995</v>
      </c>
      <c r="BM13" s="197">
        <f t="shared" ref="BM13:BM27" si="39">BH13/((1+$B$4)^(AX13-1))</f>
        <v>-186.33536923076923</v>
      </c>
      <c r="BN13" s="199">
        <f t="shared" ref="BN13:BN26" si="40">BI13/((1+$B$4)^(AX13-1))</f>
        <v>-17.152676923076953</v>
      </c>
      <c r="BO13" s="196">
        <f>BO12+BJ13</f>
        <v>359.94923076923072</v>
      </c>
      <c r="BP13" s="197">
        <f t="shared" ref="BP13:BP27" si="41">BP12+BK13</f>
        <v>345.13269230769231</v>
      </c>
      <c r="BQ13" s="197">
        <f t="shared" ref="BQ13:BQ27" si="42">BQ12+BL13</f>
        <v>6322.9385839999995</v>
      </c>
      <c r="BR13" s="197">
        <f t="shared" ref="BR13:BR27" si="43">BR12+BM13</f>
        <v>-5962.9893532307688</v>
      </c>
      <c r="BS13" s="199">
        <f t="shared" ref="BS13:BS27" si="44">BS12+BN13</f>
        <v>-5617.8566609230766</v>
      </c>
      <c r="BT13" s="197"/>
      <c r="BV13" s="900">
        <v>2</v>
      </c>
      <c r="BW13" s="197">
        <f t="shared" ref="BW13:BW27" si="45">$C13</f>
        <v>8.27</v>
      </c>
      <c r="BX13" s="197">
        <f>'Energy Inputs'!$F$58*$BX$8</f>
        <v>144</v>
      </c>
      <c r="BY13" s="197">
        <f t="shared" ref="BY13:BY27" si="46">BW13*BX13</f>
        <v>1190.8799999999999</v>
      </c>
      <c r="BZ13" s="197">
        <f>'Margins summary'!$U$14</f>
        <v>175.95</v>
      </c>
      <c r="CA13" s="197">
        <f t="shared" ref="CA13:CA27" si="47">BY13+BZ13</f>
        <v>1366.83</v>
      </c>
      <c r="CB13" s="197"/>
      <c r="CC13" s="918">
        <f>'Energy NPV'!U66</f>
        <v>491.50878399999999</v>
      </c>
      <c r="CD13" s="197"/>
      <c r="CE13" s="197">
        <f t="shared" ref="CE13:CE27" si="48">CB13+CC13+CD13</f>
        <v>491.50878399999999</v>
      </c>
      <c r="CF13" s="197">
        <f t="shared" si="6"/>
        <v>699.37121599999989</v>
      </c>
      <c r="CG13" s="197">
        <f t="shared" si="7"/>
        <v>875.32121599999994</v>
      </c>
      <c r="CH13" s="196">
        <f t="shared" ref="CH13:CH27" si="49">BY13/((1+$B$4)^(BV13-1))</f>
        <v>1145.0769230769229</v>
      </c>
      <c r="CI13" s="197">
        <f t="shared" ref="CI13:CI27" si="50">BZ13/((1+$B$4)^(BV13-1))</f>
        <v>169.18269230769229</v>
      </c>
      <c r="CJ13" s="197">
        <f t="shared" ref="CJ13:CJ27" si="51">CE13/((1+$B$4)^(BV13-1))</f>
        <v>472.60459999999995</v>
      </c>
      <c r="CK13" s="197">
        <f t="shared" ref="CK13:CK27" si="52">CF13/((1+$B$4)^(BV13-1))</f>
        <v>672.47232307692298</v>
      </c>
      <c r="CL13" s="199">
        <f t="shared" ref="CL13:CL26" si="53">CG13/((1+$B$4)^(BV13-1))</f>
        <v>841.65501538461524</v>
      </c>
      <c r="CM13" s="196">
        <f>CM12+CH13</f>
        <v>1439.7969230769229</v>
      </c>
      <c r="CN13" s="197">
        <f t="shared" ref="CN13:CN27" si="54">CN12+CI13</f>
        <v>345.13269230769231</v>
      </c>
      <c r="CO13" s="197">
        <f t="shared" ref="CO13:CO27" si="55">CO12+CJ13</f>
        <v>6322.9385839999995</v>
      </c>
      <c r="CP13" s="197">
        <f t="shared" ref="CP13:CP27" si="56">CP12+CK13</f>
        <v>-4883.1416609230764</v>
      </c>
      <c r="CQ13" s="199">
        <f t="shared" ref="CQ13:CQ27" si="57">CQ12+CL13</f>
        <v>-4538.0089686153842</v>
      </c>
      <c r="CR13" s="197"/>
      <c r="CT13" s="204">
        <v>2</v>
      </c>
      <c r="CU13" s="197">
        <f t="shared" ref="CU13:CU27" si="58">$C13</f>
        <v>8.27</v>
      </c>
      <c r="CV13" s="197">
        <f>'Energy Inputs'!$F$58*$CV$8</f>
        <v>0</v>
      </c>
      <c r="CW13" s="197">
        <f t="shared" ref="CW13:CW27" si="59">CU13*CV13</f>
        <v>0</v>
      </c>
      <c r="CX13" s="197">
        <f>'Margins summary'!$U$14</f>
        <v>175.95</v>
      </c>
      <c r="CY13" s="197">
        <f t="shared" ref="CY13:CY27" si="60">CW13+CX13</f>
        <v>175.95</v>
      </c>
      <c r="CZ13" s="197"/>
      <c r="DA13" s="918">
        <f>'Energy NPV'!U66</f>
        <v>491.50878399999999</v>
      </c>
      <c r="DB13" s="197"/>
      <c r="DC13" s="197">
        <f t="shared" ref="DC13:DC27" si="61">CZ13+DA13+DB13</f>
        <v>491.50878399999999</v>
      </c>
      <c r="DD13" s="197">
        <f t="shared" si="8"/>
        <v>-491.50878399999999</v>
      </c>
      <c r="DE13" s="197">
        <f t="shared" si="9"/>
        <v>-315.558784</v>
      </c>
      <c r="DF13" s="196">
        <f t="shared" ref="DF13:DF27" si="62">CW13/((1+$B$4)^(CT13-1))</f>
        <v>0</v>
      </c>
      <c r="DG13" s="197">
        <f t="shared" ref="DG13:DG27" si="63">CX13/((1+$B$4)^(CT13-1))</f>
        <v>169.18269230769229</v>
      </c>
      <c r="DH13" s="197">
        <f t="shared" ref="DH13:DH27" si="64">DC13/((1+$B$4)^(CT13-1))</f>
        <v>472.60459999999995</v>
      </c>
      <c r="DI13" s="197">
        <f t="shared" ref="DI13:DI27" si="65">DD13/((1+$B$4)^(CT13-1))</f>
        <v>-472.60459999999995</v>
      </c>
      <c r="DJ13" s="199">
        <f t="shared" ref="DJ13:DJ26" si="66">DE13/((1+$B$4)^(CT13-1))</f>
        <v>-303.42190769230768</v>
      </c>
      <c r="DK13" s="196">
        <f>DK12+DF13</f>
        <v>0</v>
      </c>
      <c r="DL13" s="197">
        <f t="shared" ref="DL13:DL27" si="67">DL12+DG13</f>
        <v>345.13269230769231</v>
      </c>
      <c r="DM13" s="197">
        <f t="shared" ref="DM13:DM27" si="68">DM12+DH13</f>
        <v>6322.9385839999995</v>
      </c>
      <c r="DN13" s="197">
        <f t="shared" ref="DN13:DN27" si="69">DN12+DI13</f>
        <v>-6322.9385839999995</v>
      </c>
      <c r="DO13" s="199">
        <f t="shared" ref="DO13:DO27" si="70">DO12+DJ13</f>
        <v>-5977.8058916923073</v>
      </c>
    </row>
    <row r="14" spans="1:119" x14ac:dyDescent="0.3">
      <c r="B14" s="204">
        <f t="shared" ref="B14:B27" si="71">B13+1</f>
        <v>3</v>
      </c>
      <c r="C14" s="197">
        <f>'Energy NPV'!$D67</f>
        <v>10.926666666666668</v>
      </c>
      <c r="D14" s="197">
        <f>'Energy Inputs'!$F$58*$E$8</f>
        <v>72</v>
      </c>
      <c r="E14" s="197">
        <f t="shared" si="10"/>
        <v>786.72</v>
      </c>
      <c r="F14" s="197">
        <f>'Margins summary'!$U$14</f>
        <v>175.95</v>
      </c>
      <c r="G14" s="197">
        <f t="shared" si="11"/>
        <v>962.67000000000007</v>
      </c>
      <c r="H14" s="197"/>
      <c r="I14" s="918">
        <f>'Energy NPV'!U67</f>
        <v>491.50878399999999</v>
      </c>
      <c r="J14" s="197"/>
      <c r="K14" s="197">
        <f t="shared" si="12"/>
        <v>491.50878399999999</v>
      </c>
      <c r="L14" s="197">
        <f t="shared" si="0"/>
        <v>295.21121600000004</v>
      </c>
      <c r="M14" s="197">
        <f t="shared" si="1"/>
        <v>471.16121600000008</v>
      </c>
      <c r="N14" s="196">
        <f t="shared" si="13"/>
        <v>727.36686390532543</v>
      </c>
      <c r="O14" s="197">
        <f t="shared" si="14"/>
        <v>162.67566568047334</v>
      </c>
      <c r="P14" s="197">
        <f t="shared" si="15"/>
        <v>454.42749999999995</v>
      </c>
      <c r="Q14" s="197">
        <f t="shared" si="16"/>
        <v>272.93936390532542</v>
      </c>
      <c r="R14" s="199">
        <f t="shared" si="17"/>
        <v>435.61502958579882</v>
      </c>
      <c r="S14" s="196">
        <f t="shared" ref="S14:S27" si="72">S13+N14</f>
        <v>1447.2653254437869</v>
      </c>
      <c r="T14" s="197">
        <f t="shared" si="18"/>
        <v>507.80835798816565</v>
      </c>
      <c r="U14" s="197">
        <f t="shared" si="18"/>
        <v>6777.3660839999993</v>
      </c>
      <c r="V14" s="197">
        <f t="shared" si="18"/>
        <v>-5330.1007585562138</v>
      </c>
      <c r="W14" s="199">
        <f t="shared" si="18"/>
        <v>-4822.292400568047</v>
      </c>
      <c r="X14" s="197"/>
      <c r="Z14" s="900">
        <v>3</v>
      </c>
      <c r="AA14" s="197">
        <f t="shared" si="19"/>
        <v>10.926666666666668</v>
      </c>
      <c r="AB14" s="197">
        <f>'Energy Inputs'!$F$58*$AB$8</f>
        <v>108</v>
      </c>
      <c r="AC14" s="197">
        <f t="shared" si="20"/>
        <v>1180.0800000000002</v>
      </c>
      <c r="AD14" s="197">
        <f>'Margins summary'!$U$14</f>
        <v>175.95</v>
      </c>
      <c r="AE14" s="197">
        <f t="shared" si="21"/>
        <v>1356.0300000000002</v>
      </c>
      <c r="AF14" s="197"/>
      <c r="AG14" s="918">
        <f>'Energy NPV'!U67</f>
        <v>491.50878399999999</v>
      </c>
      <c r="AH14" s="197"/>
      <c r="AI14" s="197">
        <f t="shared" si="22"/>
        <v>491.50878399999999</v>
      </c>
      <c r="AJ14" s="197">
        <f t="shared" si="2"/>
        <v>688.57121600000016</v>
      </c>
      <c r="AK14" s="197">
        <f t="shared" si="3"/>
        <v>864.52121600000021</v>
      </c>
      <c r="AL14" s="196">
        <f t="shared" si="23"/>
        <v>1091.0502958579882</v>
      </c>
      <c r="AM14" s="197">
        <f t="shared" si="24"/>
        <v>162.67566568047334</v>
      </c>
      <c r="AN14" s="197">
        <f t="shared" si="25"/>
        <v>454.42749999999995</v>
      </c>
      <c r="AO14" s="197">
        <f t="shared" si="26"/>
        <v>636.62279585798819</v>
      </c>
      <c r="AP14" s="199">
        <f t="shared" si="27"/>
        <v>799.29846153846165</v>
      </c>
      <c r="AQ14" s="196">
        <f t="shared" ref="AQ14:AQ27" si="73">AQ13+AL14</f>
        <v>2170.8979881656805</v>
      </c>
      <c r="AR14" s="197">
        <f t="shared" si="28"/>
        <v>507.80835798816565</v>
      </c>
      <c r="AS14" s="197">
        <f t="shared" si="29"/>
        <v>6777.3660839999993</v>
      </c>
      <c r="AT14" s="197">
        <f t="shared" si="30"/>
        <v>-4606.4680958343188</v>
      </c>
      <c r="AU14" s="199">
        <f t="shared" si="31"/>
        <v>-4098.6597378461538</v>
      </c>
      <c r="AV14" s="197"/>
      <c r="AX14" s="900">
        <v>3</v>
      </c>
      <c r="AY14" s="197">
        <f t="shared" si="32"/>
        <v>10.926666666666668</v>
      </c>
      <c r="AZ14" s="197">
        <f>'Energy Inputs'!$F$58*$AZ$8</f>
        <v>36</v>
      </c>
      <c r="BA14" s="197">
        <f t="shared" si="33"/>
        <v>393.36</v>
      </c>
      <c r="BB14" s="197">
        <f>'Margins summary'!$U$14</f>
        <v>175.95</v>
      </c>
      <c r="BC14" s="197">
        <f t="shared" si="34"/>
        <v>569.30999999999995</v>
      </c>
      <c r="BD14" s="197"/>
      <c r="BE14" s="918">
        <f>'Energy NPV'!U67</f>
        <v>491.50878399999999</v>
      </c>
      <c r="BF14" s="197"/>
      <c r="BG14" s="197">
        <f t="shared" si="35"/>
        <v>491.50878399999999</v>
      </c>
      <c r="BH14" s="197">
        <f t="shared" si="4"/>
        <v>-98.148783999999978</v>
      </c>
      <c r="BI14" s="197">
        <f t="shared" si="5"/>
        <v>77.801215999999954</v>
      </c>
      <c r="BJ14" s="196">
        <f t="shared" si="36"/>
        <v>363.68343195266272</v>
      </c>
      <c r="BK14" s="197">
        <f t="shared" si="37"/>
        <v>162.67566568047334</v>
      </c>
      <c r="BL14" s="197">
        <f t="shared" si="38"/>
        <v>454.42749999999995</v>
      </c>
      <c r="BM14" s="197">
        <f t="shared" si="39"/>
        <v>-90.744068047337251</v>
      </c>
      <c r="BN14" s="199">
        <f t="shared" si="40"/>
        <v>71.93159763313605</v>
      </c>
      <c r="BO14" s="196">
        <f t="shared" ref="BO14:BO27" si="74">BO13+BJ14</f>
        <v>723.63266272189344</v>
      </c>
      <c r="BP14" s="197">
        <f t="shared" si="41"/>
        <v>507.80835798816565</v>
      </c>
      <c r="BQ14" s="197">
        <f t="shared" si="42"/>
        <v>6777.3660839999993</v>
      </c>
      <c r="BR14" s="197">
        <f t="shared" si="43"/>
        <v>-6053.7334212781061</v>
      </c>
      <c r="BS14" s="199">
        <f t="shared" si="44"/>
        <v>-5545.9250632899402</v>
      </c>
      <c r="BT14" s="197"/>
      <c r="BV14" s="900">
        <v>3</v>
      </c>
      <c r="BW14" s="197">
        <f t="shared" si="45"/>
        <v>10.926666666666668</v>
      </c>
      <c r="BX14" s="197">
        <f>'Energy Inputs'!$F$58*$BX$8</f>
        <v>144</v>
      </c>
      <c r="BY14" s="197">
        <f t="shared" si="46"/>
        <v>1573.44</v>
      </c>
      <c r="BZ14" s="197">
        <f>'Margins summary'!$U$14</f>
        <v>175.95</v>
      </c>
      <c r="CA14" s="197">
        <f t="shared" si="47"/>
        <v>1749.39</v>
      </c>
      <c r="CB14" s="197"/>
      <c r="CC14" s="918">
        <f>'Energy NPV'!U67</f>
        <v>491.50878399999999</v>
      </c>
      <c r="CD14" s="197"/>
      <c r="CE14" s="197">
        <f t="shared" si="48"/>
        <v>491.50878399999999</v>
      </c>
      <c r="CF14" s="197">
        <f t="shared" si="6"/>
        <v>1081.9312159999999</v>
      </c>
      <c r="CG14" s="197">
        <f t="shared" si="7"/>
        <v>1257.8812160000002</v>
      </c>
      <c r="CH14" s="196">
        <f t="shared" si="49"/>
        <v>1454.7337278106509</v>
      </c>
      <c r="CI14" s="197">
        <f t="shared" si="50"/>
        <v>162.67566568047334</v>
      </c>
      <c r="CJ14" s="197">
        <f t="shared" si="51"/>
        <v>454.42749999999995</v>
      </c>
      <c r="CK14" s="197">
        <f t="shared" si="52"/>
        <v>1000.3062278106507</v>
      </c>
      <c r="CL14" s="199">
        <f t="shared" si="53"/>
        <v>1162.9818934911243</v>
      </c>
      <c r="CM14" s="196">
        <f t="shared" ref="CM14:CM27" si="75">CM13+CH14</f>
        <v>2894.5306508875738</v>
      </c>
      <c r="CN14" s="197">
        <f t="shared" si="54"/>
        <v>507.80835798816565</v>
      </c>
      <c r="CO14" s="197">
        <f t="shared" si="55"/>
        <v>6777.3660839999993</v>
      </c>
      <c r="CP14" s="197">
        <f t="shared" si="56"/>
        <v>-3882.8354331124256</v>
      </c>
      <c r="CQ14" s="199">
        <f t="shared" si="57"/>
        <v>-3375.0270751242597</v>
      </c>
      <c r="CR14" s="197"/>
      <c r="CT14" s="204">
        <f t="shared" ref="CT14:CT27" si="76">CT13+1</f>
        <v>3</v>
      </c>
      <c r="CU14" s="197">
        <f t="shared" si="58"/>
        <v>10.926666666666668</v>
      </c>
      <c r="CV14" s="197">
        <f>'Energy Inputs'!$F$58*$CV$8</f>
        <v>0</v>
      </c>
      <c r="CW14" s="197">
        <f t="shared" si="59"/>
        <v>0</v>
      </c>
      <c r="CX14" s="197">
        <f>'Margins summary'!$U$14</f>
        <v>175.95</v>
      </c>
      <c r="CY14" s="197">
        <f t="shared" si="60"/>
        <v>175.95</v>
      </c>
      <c r="CZ14" s="197"/>
      <c r="DA14" s="918">
        <f>'Energy NPV'!U67</f>
        <v>491.50878399999999</v>
      </c>
      <c r="DB14" s="197"/>
      <c r="DC14" s="197">
        <f t="shared" si="61"/>
        <v>491.50878399999999</v>
      </c>
      <c r="DD14" s="197">
        <f t="shared" si="8"/>
        <v>-491.50878399999999</v>
      </c>
      <c r="DE14" s="197">
        <f t="shared" si="9"/>
        <v>-315.558784</v>
      </c>
      <c r="DF14" s="196">
        <f t="shared" si="62"/>
        <v>0</v>
      </c>
      <c r="DG14" s="197">
        <f t="shared" si="63"/>
        <v>162.67566568047334</v>
      </c>
      <c r="DH14" s="197">
        <f t="shared" si="64"/>
        <v>454.42749999999995</v>
      </c>
      <c r="DI14" s="197">
        <f t="shared" si="65"/>
        <v>-454.42749999999995</v>
      </c>
      <c r="DJ14" s="199">
        <f t="shared" si="66"/>
        <v>-291.75183431952661</v>
      </c>
      <c r="DK14" s="196">
        <f t="shared" ref="DK14:DK27" si="77">DK13+DF14</f>
        <v>0</v>
      </c>
      <c r="DL14" s="197">
        <f t="shared" si="67"/>
        <v>507.80835798816565</v>
      </c>
      <c r="DM14" s="197">
        <f t="shared" si="68"/>
        <v>6777.3660839999993</v>
      </c>
      <c r="DN14" s="197">
        <f t="shared" si="69"/>
        <v>-6777.3660839999993</v>
      </c>
      <c r="DO14" s="199">
        <f t="shared" si="70"/>
        <v>-6269.5577260118343</v>
      </c>
    </row>
    <row r="15" spans="1:119" x14ac:dyDescent="0.3">
      <c r="B15" s="204">
        <f t="shared" si="71"/>
        <v>4</v>
      </c>
      <c r="C15" s="197">
        <f>'Energy NPV'!$D68</f>
        <v>11.617000000000001</v>
      </c>
      <c r="D15" s="197">
        <f>'Energy Inputs'!$F$58*$E$8</f>
        <v>72</v>
      </c>
      <c r="E15" s="197">
        <f t="shared" si="10"/>
        <v>836.42400000000009</v>
      </c>
      <c r="F15" s="197">
        <f>'Margins summary'!$U$14</f>
        <v>175.95</v>
      </c>
      <c r="G15" s="197">
        <f t="shared" si="11"/>
        <v>1012.374</v>
      </c>
      <c r="H15" s="197"/>
      <c r="I15" s="918">
        <f>'Energy NPV'!U68</f>
        <v>309.57878399999998</v>
      </c>
      <c r="J15" s="197"/>
      <c r="K15" s="197">
        <f t="shared" si="12"/>
        <v>309.57878399999998</v>
      </c>
      <c r="L15" s="197">
        <f t="shared" si="0"/>
        <v>526.84521600000016</v>
      </c>
      <c r="M15" s="197">
        <f t="shared" si="1"/>
        <v>702.79521599999998</v>
      </c>
      <c r="N15" s="196">
        <f t="shared" si="13"/>
        <v>743.57789030496133</v>
      </c>
      <c r="O15" s="197">
        <f t="shared" si="14"/>
        <v>156.41890930814745</v>
      </c>
      <c r="P15" s="197">
        <f t="shared" si="15"/>
        <v>275.21441169776966</v>
      </c>
      <c r="Q15" s="197">
        <f t="shared" si="16"/>
        <v>468.36347860719172</v>
      </c>
      <c r="R15" s="199">
        <f t="shared" si="17"/>
        <v>624.78238791533909</v>
      </c>
      <c r="S15" s="196">
        <f t="shared" si="72"/>
        <v>2190.8432157487482</v>
      </c>
      <c r="T15" s="197">
        <f t="shared" si="18"/>
        <v>664.22726729631313</v>
      </c>
      <c r="U15" s="197">
        <f t="shared" si="18"/>
        <v>7052.580495697769</v>
      </c>
      <c r="V15" s="197">
        <f t="shared" si="18"/>
        <v>-4861.7372799490222</v>
      </c>
      <c r="W15" s="199">
        <f t="shared" si="18"/>
        <v>-4197.5100126527077</v>
      </c>
      <c r="X15" s="197"/>
      <c r="Z15" s="900">
        <v>4</v>
      </c>
      <c r="AA15" s="197">
        <f t="shared" si="19"/>
        <v>11.617000000000001</v>
      </c>
      <c r="AB15" s="197">
        <f>'Energy Inputs'!$F$58*$AB$8</f>
        <v>108</v>
      </c>
      <c r="AC15" s="197">
        <f t="shared" si="20"/>
        <v>1254.6360000000002</v>
      </c>
      <c r="AD15" s="197">
        <f>'Margins summary'!$U$14</f>
        <v>175.95</v>
      </c>
      <c r="AE15" s="197">
        <f t="shared" si="21"/>
        <v>1430.5860000000002</v>
      </c>
      <c r="AF15" s="197"/>
      <c r="AG15" s="918">
        <f>'Energy NPV'!U68</f>
        <v>309.57878399999998</v>
      </c>
      <c r="AH15" s="197"/>
      <c r="AI15" s="197">
        <f t="shared" si="22"/>
        <v>309.57878399999998</v>
      </c>
      <c r="AJ15" s="197">
        <f t="shared" si="2"/>
        <v>945.05721600000015</v>
      </c>
      <c r="AK15" s="197">
        <f t="shared" si="3"/>
        <v>1121.0072160000002</v>
      </c>
      <c r="AL15" s="196">
        <f t="shared" si="23"/>
        <v>1115.366835457442</v>
      </c>
      <c r="AM15" s="197">
        <f t="shared" si="24"/>
        <v>156.41890930814745</v>
      </c>
      <c r="AN15" s="197">
        <f t="shared" si="25"/>
        <v>275.21441169776966</v>
      </c>
      <c r="AO15" s="197">
        <f t="shared" si="26"/>
        <v>840.15242375967239</v>
      </c>
      <c r="AP15" s="199">
        <f t="shared" si="27"/>
        <v>996.57133306781986</v>
      </c>
      <c r="AQ15" s="196">
        <f t="shared" si="73"/>
        <v>3286.2648236231225</v>
      </c>
      <c r="AR15" s="197">
        <f t="shared" si="28"/>
        <v>664.22726729631313</v>
      </c>
      <c r="AS15" s="197">
        <f t="shared" si="29"/>
        <v>7052.580495697769</v>
      </c>
      <c r="AT15" s="197">
        <f t="shared" si="30"/>
        <v>-3766.3156720746465</v>
      </c>
      <c r="AU15" s="199">
        <f t="shared" si="31"/>
        <v>-3102.0884047783338</v>
      </c>
      <c r="AV15" s="197"/>
      <c r="AX15" s="900">
        <v>4</v>
      </c>
      <c r="AY15" s="197">
        <f t="shared" si="32"/>
        <v>11.617000000000001</v>
      </c>
      <c r="AZ15" s="197">
        <f>'Energy Inputs'!$F$58*$AZ$8</f>
        <v>36</v>
      </c>
      <c r="BA15" s="197">
        <f t="shared" si="33"/>
        <v>418.21200000000005</v>
      </c>
      <c r="BB15" s="197">
        <f>'Margins summary'!$U$14</f>
        <v>175.95</v>
      </c>
      <c r="BC15" s="197">
        <f t="shared" si="34"/>
        <v>594.16200000000003</v>
      </c>
      <c r="BD15" s="197"/>
      <c r="BE15" s="918">
        <f>'Energy NPV'!U68</f>
        <v>309.57878399999998</v>
      </c>
      <c r="BF15" s="197"/>
      <c r="BG15" s="197">
        <f t="shared" si="35"/>
        <v>309.57878399999998</v>
      </c>
      <c r="BH15" s="197">
        <f t="shared" si="4"/>
        <v>108.63321600000006</v>
      </c>
      <c r="BI15" s="197">
        <f t="shared" si="5"/>
        <v>284.58321600000005</v>
      </c>
      <c r="BJ15" s="196">
        <f t="shared" si="36"/>
        <v>371.78894515248066</v>
      </c>
      <c r="BK15" s="197">
        <f t="shared" si="37"/>
        <v>156.41890930814745</v>
      </c>
      <c r="BL15" s="197">
        <f t="shared" si="38"/>
        <v>275.21441169776966</v>
      </c>
      <c r="BM15" s="197">
        <f t="shared" si="39"/>
        <v>96.574533454711016</v>
      </c>
      <c r="BN15" s="199">
        <f t="shared" si="40"/>
        <v>252.99344276285848</v>
      </c>
      <c r="BO15" s="196">
        <f t="shared" si="74"/>
        <v>1095.4216078743741</v>
      </c>
      <c r="BP15" s="197">
        <f t="shared" si="41"/>
        <v>664.22726729631313</v>
      </c>
      <c r="BQ15" s="197">
        <f t="shared" si="42"/>
        <v>7052.580495697769</v>
      </c>
      <c r="BR15" s="197">
        <f t="shared" si="43"/>
        <v>-5957.1588878233952</v>
      </c>
      <c r="BS15" s="199">
        <f t="shared" si="44"/>
        <v>-5292.9316205270816</v>
      </c>
      <c r="BT15" s="197"/>
      <c r="BV15" s="900">
        <v>4</v>
      </c>
      <c r="BW15" s="197">
        <f t="shared" si="45"/>
        <v>11.617000000000001</v>
      </c>
      <c r="BX15" s="197">
        <f>'Energy Inputs'!$F$58*$BX$8</f>
        <v>144</v>
      </c>
      <c r="BY15" s="197">
        <f t="shared" si="46"/>
        <v>1672.8480000000002</v>
      </c>
      <c r="BZ15" s="197">
        <f>'Margins summary'!$U$14</f>
        <v>175.95</v>
      </c>
      <c r="CA15" s="197">
        <f t="shared" si="47"/>
        <v>1848.7980000000002</v>
      </c>
      <c r="CB15" s="197"/>
      <c r="CC15" s="918">
        <f>'Energy NPV'!U68</f>
        <v>309.57878399999998</v>
      </c>
      <c r="CD15" s="197"/>
      <c r="CE15" s="197">
        <f t="shared" si="48"/>
        <v>309.57878399999998</v>
      </c>
      <c r="CF15" s="197">
        <f t="shared" si="6"/>
        <v>1363.2692160000001</v>
      </c>
      <c r="CG15" s="197">
        <f t="shared" si="7"/>
        <v>1539.2192160000002</v>
      </c>
      <c r="CH15" s="196">
        <f t="shared" si="49"/>
        <v>1487.1557806099227</v>
      </c>
      <c r="CI15" s="197">
        <f t="shared" si="50"/>
        <v>156.41890930814745</v>
      </c>
      <c r="CJ15" s="197">
        <f t="shared" si="51"/>
        <v>275.21441169776966</v>
      </c>
      <c r="CK15" s="197">
        <f t="shared" si="52"/>
        <v>1211.9413689121529</v>
      </c>
      <c r="CL15" s="199">
        <f t="shared" si="53"/>
        <v>1368.3602782203004</v>
      </c>
      <c r="CM15" s="196">
        <f t="shared" si="75"/>
        <v>4381.6864314974964</v>
      </c>
      <c r="CN15" s="197">
        <f t="shared" si="54"/>
        <v>664.22726729631313</v>
      </c>
      <c r="CO15" s="197">
        <f t="shared" si="55"/>
        <v>7052.580495697769</v>
      </c>
      <c r="CP15" s="197">
        <f t="shared" si="56"/>
        <v>-2670.8940642002726</v>
      </c>
      <c r="CQ15" s="199">
        <f t="shared" si="57"/>
        <v>-2006.6667969039593</v>
      </c>
      <c r="CR15" s="197"/>
      <c r="CT15" s="204">
        <f t="shared" si="76"/>
        <v>4</v>
      </c>
      <c r="CU15" s="197">
        <f t="shared" si="58"/>
        <v>11.617000000000001</v>
      </c>
      <c r="CV15" s="197">
        <f>'Energy Inputs'!$F$58*$CV$8</f>
        <v>0</v>
      </c>
      <c r="CW15" s="197">
        <f t="shared" si="59"/>
        <v>0</v>
      </c>
      <c r="CX15" s="197">
        <f>'Margins summary'!$U$14</f>
        <v>175.95</v>
      </c>
      <c r="CY15" s="197">
        <f t="shared" si="60"/>
        <v>175.95</v>
      </c>
      <c r="CZ15" s="197"/>
      <c r="DA15" s="918">
        <f>'Energy NPV'!U68</f>
        <v>309.57878399999998</v>
      </c>
      <c r="DB15" s="197"/>
      <c r="DC15" s="197">
        <f t="shared" si="61"/>
        <v>309.57878399999998</v>
      </c>
      <c r="DD15" s="197">
        <f t="shared" si="8"/>
        <v>-309.57878399999998</v>
      </c>
      <c r="DE15" s="197">
        <f t="shared" si="9"/>
        <v>-133.628784</v>
      </c>
      <c r="DF15" s="196">
        <f t="shared" si="62"/>
        <v>0</v>
      </c>
      <c r="DG15" s="197">
        <f t="shared" si="63"/>
        <v>156.41890930814745</v>
      </c>
      <c r="DH15" s="197">
        <f t="shared" si="64"/>
        <v>275.21441169776966</v>
      </c>
      <c r="DI15" s="197">
        <f t="shared" si="65"/>
        <v>-275.21441169776966</v>
      </c>
      <c r="DJ15" s="199">
        <f t="shared" si="66"/>
        <v>-118.7955023896222</v>
      </c>
      <c r="DK15" s="196">
        <f t="shared" si="77"/>
        <v>0</v>
      </c>
      <c r="DL15" s="197">
        <f t="shared" si="67"/>
        <v>664.22726729631313</v>
      </c>
      <c r="DM15" s="197">
        <f t="shared" si="68"/>
        <v>7052.580495697769</v>
      </c>
      <c r="DN15" s="197">
        <f t="shared" si="69"/>
        <v>-7052.580495697769</v>
      </c>
      <c r="DO15" s="199">
        <f t="shared" si="70"/>
        <v>-6388.3532284014564</v>
      </c>
    </row>
    <row r="16" spans="1:119" x14ac:dyDescent="0.3">
      <c r="B16" s="204">
        <f t="shared" si="71"/>
        <v>5</v>
      </c>
      <c r="C16" s="197">
        <f>'Energy NPV'!$D69</f>
        <v>11.617000000000001</v>
      </c>
      <c r="D16" s="197">
        <f>'Energy Inputs'!$F$58*$E$8</f>
        <v>72</v>
      </c>
      <c r="E16" s="197">
        <f t="shared" si="10"/>
        <v>836.42400000000009</v>
      </c>
      <c r="F16" s="197">
        <f>'Margins summary'!$U$14</f>
        <v>175.95</v>
      </c>
      <c r="G16" s="197">
        <f t="shared" si="11"/>
        <v>1012.374</v>
      </c>
      <c r="H16" s="197"/>
      <c r="I16" s="918">
        <f>'Energy NPV'!U69</f>
        <v>309.57878399999998</v>
      </c>
      <c r="J16" s="197"/>
      <c r="K16" s="197">
        <f t="shared" si="12"/>
        <v>309.57878399999998</v>
      </c>
      <c r="L16" s="197">
        <f t="shared" si="0"/>
        <v>526.84521600000016</v>
      </c>
      <c r="M16" s="197">
        <f t="shared" si="1"/>
        <v>702.79521599999998</v>
      </c>
      <c r="N16" s="196">
        <f t="shared" si="13"/>
        <v>714.97874067784733</v>
      </c>
      <c r="O16" s="197">
        <f t="shared" si="14"/>
        <v>150.40279741168024</v>
      </c>
      <c r="P16" s="197">
        <f t="shared" si="15"/>
        <v>264.6292420170862</v>
      </c>
      <c r="Q16" s="197">
        <f t="shared" si="16"/>
        <v>450.34949866076124</v>
      </c>
      <c r="R16" s="199">
        <f t="shared" si="17"/>
        <v>600.75229607244137</v>
      </c>
      <c r="S16" s="196">
        <f t="shared" si="72"/>
        <v>2905.8219564265955</v>
      </c>
      <c r="T16" s="197">
        <f t="shared" si="18"/>
        <v>814.63006470799337</v>
      </c>
      <c r="U16" s="197">
        <f t="shared" si="18"/>
        <v>7317.2097377148548</v>
      </c>
      <c r="V16" s="197">
        <f t="shared" si="18"/>
        <v>-4411.3877812882611</v>
      </c>
      <c r="W16" s="199">
        <f t="shared" si="18"/>
        <v>-3596.7577165802663</v>
      </c>
      <c r="X16" s="197"/>
      <c r="Z16" s="900">
        <v>5</v>
      </c>
      <c r="AA16" s="197">
        <f t="shared" si="19"/>
        <v>11.617000000000001</v>
      </c>
      <c r="AB16" s="197">
        <f>'Energy Inputs'!$F$58*$AB$8</f>
        <v>108</v>
      </c>
      <c r="AC16" s="197">
        <f t="shared" si="20"/>
        <v>1254.6360000000002</v>
      </c>
      <c r="AD16" s="197">
        <f>'Margins summary'!$U$14</f>
        <v>175.95</v>
      </c>
      <c r="AE16" s="197">
        <f t="shared" si="21"/>
        <v>1430.5860000000002</v>
      </c>
      <c r="AF16" s="197"/>
      <c r="AG16" s="918">
        <f>'Energy NPV'!U69</f>
        <v>309.57878399999998</v>
      </c>
      <c r="AH16" s="197"/>
      <c r="AI16" s="197">
        <f t="shared" si="22"/>
        <v>309.57878399999998</v>
      </c>
      <c r="AJ16" s="197">
        <f t="shared" si="2"/>
        <v>945.05721600000015</v>
      </c>
      <c r="AK16" s="197">
        <f t="shared" si="3"/>
        <v>1121.0072160000002</v>
      </c>
      <c r="AL16" s="196">
        <f t="shared" si="23"/>
        <v>1072.468111016771</v>
      </c>
      <c r="AM16" s="197">
        <f t="shared" si="24"/>
        <v>150.40279741168024</v>
      </c>
      <c r="AN16" s="197">
        <f t="shared" si="25"/>
        <v>264.6292420170862</v>
      </c>
      <c r="AO16" s="197">
        <f t="shared" si="26"/>
        <v>807.83886899968491</v>
      </c>
      <c r="AP16" s="199">
        <f t="shared" si="27"/>
        <v>958.24166641136514</v>
      </c>
      <c r="AQ16" s="196">
        <f t="shared" si="73"/>
        <v>4358.7329346398938</v>
      </c>
      <c r="AR16" s="197">
        <f t="shared" si="28"/>
        <v>814.63006470799337</v>
      </c>
      <c r="AS16" s="197">
        <f t="shared" si="29"/>
        <v>7317.2097377148548</v>
      </c>
      <c r="AT16" s="197">
        <f t="shared" si="30"/>
        <v>-2958.4768030749615</v>
      </c>
      <c r="AU16" s="199">
        <f t="shared" si="31"/>
        <v>-2143.8467383669686</v>
      </c>
      <c r="AV16" s="197"/>
      <c r="AX16" s="900">
        <v>5</v>
      </c>
      <c r="AY16" s="197">
        <f t="shared" si="32"/>
        <v>11.617000000000001</v>
      </c>
      <c r="AZ16" s="197">
        <f>'Energy Inputs'!$F$58*$AZ$8</f>
        <v>36</v>
      </c>
      <c r="BA16" s="197">
        <f t="shared" si="33"/>
        <v>418.21200000000005</v>
      </c>
      <c r="BB16" s="197">
        <f>'Margins summary'!$U$14</f>
        <v>175.95</v>
      </c>
      <c r="BC16" s="197">
        <f t="shared" si="34"/>
        <v>594.16200000000003</v>
      </c>
      <c r="BD16" s="197"/>
      <c r="BE16" s="918">
        <f>'Energy NPV'!U69</f>
        <v>309.57878399999998</v>
      </c>
      <c r="BF16" s="197"/>
      <c r="BG16" s="197">
        <f t="shared" si="35"/>
        <v>309.57878399999998</v>
      </c>
      <c r="BH16" s="197">
        <f t="shared" si="4"/>
        <v>108.63321600000006</v>
      </c>
      <c r="BI16" s="197">
        <f t="shared" si="5"/>
        <v>284.58321600000005</v>
      </c>
      <c r="BJ16" s="196">
        <f t="shared" si="36"/>
        <v>357.48937033892366</v>
      </c>
      <c r="BK16" s="197">
        <f t="shared" si="37"/>
        <v>150.40279741168024</v>
      </c>
      <c r="BL16" s="197">
        <f t="shared" si="38"/>
        <v>264.6292420170862</v>
      </c>
      <c r="BM16" s="197">
        <f t="shared" si="39"/>
        <v>92.860128321837507</v>
      </c>
      <c r="BN16" s="199">
        <f t="shared" si="40"/>
        <v>243.26292573351773</v>
      </c>
      <c r="BO16" s="196">
        <f t="shared" si="74"/>
        <v>1452.9109782132978</v>
      </c>
      <c r="BP16" s="197">
        <f t="shared" si="41"/>
        <v>814.63006470799337</v>
      </c>
      <c r="BQ16" s="197">
        <f t="shared" si="42"/>
        <v>7317.2097377148548</v>
      </c>
      <c r="BR16" s="197">
        <f t="shared" si="43"/>
        <v>-5864.2987595015575</v>
      </c>
      <c r="BS16" s="199">
        <f t="shared" si="44"/>
        <v>-5049.6686947935641</v>
      </c>
      <c r="BT16" s="197"/>
      <c r="BV16" s="900">
        <v>5</v>
      </c>
      <c r="BW16" s="197">
        <f t="shared" si="45"/>
        <v>11.617000000000001</v>
      </c>
      <c r="BX16" s="197">
        <f>'Energy Inputs'!$F$58*$BX$8</f>
        <v>144</v>
      </c>
      <c r="BY16" s="197">
        <f t="shared" si="46"/>
        <v>1672.8480000000002</v>
      </c>
      <c r="BZ16" s="197">
        <f>'Margins summary'!$U$14</f>
        <v>175.95</v>
      </c>
      <c r="CA16" s="197">
        <f t="shared" si="47"/>
        <v>1848.7980000000002</v>
      </c>
      <c r="CB16" s="197"/>
      <c r="CC16" s="918">
        <f>'Energy NPV'!U69</f>
        <v>309.57878399999998</v>
      </c>
      <c r="CD16" s="197"/>
      <c r="CE16" s="197">
        <f t="shared" si="48"/>
        <v>309.57878399999998</v>
      </c>
      <c r="CF16" s="197">
        <f t="shared" si="6"/>
        <v>1363.2692160000001</v>
      </c>
      <c r="CG16" s="197">
        <f t="shared" si="7"/>
        <v>1539.2192160000002</v>
      </c>
      <c r="CH16" s="196">
        <f t="shared" si="49"/>
        <v>1429.9574813556947</v>
      </c>
      <c r="CI16" s="197">
        <f t="shared" si="50"/>
        <v>150.40279741168024</v>
      </c>
      <c r="CJ16" s="197">
        <f t="shared" si="51"/>
        <v>264.6292420170862</v>
      </c>
      <c r="CK16" s="197">
        <f t="shared" si="52"/>
        <v>1165.3282393386085</v>
      </c>
      <c r="CL16" s="199">
        <f t="shared" si="53"/>
        <v>1315.7310367502887</v>
      </c>
      <c r="CM16" s="196">
        <f t="shared" si="75"/>
        <v>5811.6439128531911</v>
      </c>
      <c r="CN16" s="197">
        <f t="shared" si="54"/>
        <v>814.63006470799337</v>
      </c>
      <c r="CO16" s="197">
        <f t="shared" si="55"/>
        <v>7317.2097377148548</v>
      </c>
      <c r="CP16" s="197">
        <f t="shared" si="56"/>
        <v>-1505.5658248616642</v>
      </c>
      <c r="CQ16" s="199">
        <f t="shared" si="57"/>
        <v>-690.93576015367057</v>
      </c>
      <c r="CR16" s="197"/>
      <c r="CT16" s="204">
        <f t="shared" si="76"/>
        <v>5</v>
      </c>
      <c r="CU16" s="197">
        <f t="shared" si="58"/>
        <v>11.617000000000001</v>
      </c>
      <c r="CV16" s="197">
        <f>'Energy Inputs'!$F$58*$CV$8</f>
        <v>0</v>
      </c>
      <c r="CW16" s="197">
        <f t="shared" si="59"/>
        <v>0</v>
      </c>
      <c r="CX16" s="197">
        <f>'Margins summary'!$U$14</f>
        <v>175.95</v>
      </c>
      <c r="CY16" s="197">
        <f t="shared" si="60"/>
        <v>175.95</v>
      </c>
      <c r="CZ16" s="197"/>
      <c r="DA16" s="918">
        <f>'Energy NPV'!U69</f>
        <v>309.57878399999998</v>
      </c>
      <c r="DB16" s="197"/>
      <c r="DC16" s="197">
        <f t="shared" si="61"/>
        <v>309.57878399999998</v>
      </c>
      <c r="DD16" s="197">
        <f t="shared" si="8"/>
        <v>-309.57878399999998</v>
      </c>
      <c r="DE16" s="197">
        <f t="shared" si="9"/>
        <v>-133.628784</v>
      </c>
      <c r="DF16" s="196">
        <f t="shared" si="62"/>
        <v>0</v>
      </c>
      <c r="DG16" s="197">
        <f t="shared" si="63"/>
        <v>150.40279741168024</v>
      </c>
      <c r="DH16" s="197">
        <f t="shared" si="64"/>
        <v>264.6292420170862</v>
      </c>
      <c r="DI16" s="197">
        <f t="shared" si="65"/>
        <v>-264.6292420170862</v>
      </c>
      <c r="DJ16" s="199">
        <f t="shared" si="66"/>
        <v>-114.22644460540594</v>
      </c>
      <c r="DK16" s="196">
        <f t="shared" si="77"/>
        <v>0</v>
      </c>
      <c r="DL16" s="197">
        <f t="shared" si="67"/>
        <v>814.63006470799337</v>
      </c>
      <c r="DM16" s="197">
        <f t="shared" si="68"/>
        <v>7317.2097377148548</v>
      </c>
      <c r="DN16" s="197">
        <f t="shared" si="69"/>
        <v>-7317.2097377148548</v>
      </c>
      <c r="DO16" s="199">
        <f t="shared" si="70"/>
        <v>-6502.5796730068623</v>
      </c>
    </row>
    <row r="17" spans="2:119" x14ac:dyDescent="0.3">
      <c r="B17" s="204">
        <f t="shared" si="71"/>
        <v>6</v>
      </c>
      <c r="C17" s="197">
        <f>'Energy NPV'!$D70</f>
        <v>11.617000000000001</v>
      </c>
      <c r="D17" s="197">
        <f>'Energy Inputs'!$F$58*$E$8</f>
        <v>72</v>
      </c>
      <c r="E17" s="197">
        <f t="shared" si="10"/>
        <v>836.42400000000009</v>
      </c>
      <c r="F17" s="197">
        <f>'Margins summary'!$U$14</f>
        <v>175.95</v>
      </c>
      <c r="G17" s="197">
        <f t="shared" si="11"/>
        <v>1012.374</v>
      </c>
      <c r="H17" s="197"/>
      <c r="I17" s="918">
        <f>'Energy NPV'!U70</f>
        <v>309.57878399999998</v>
      </c>
      <c r="J17" s="197"/>
      <c r="K17" s="197">
        <f t="shared" si="12"/>
        <v>309.57878399999998</v>
      </c>
      <c r="L17" s="197">
        <f t="shared" si="0"/>
        <v>526.84521600000016</v>
      </c>
      <c r="M17" s="197">
        <f t="shared" si="1"/>
        <v>702.79521599999998</v>
      </c>
      <c r="N17" s="196">
        <f t="shared" si="13"/>
        <v>687.4795583440839</v>
      </c>
      <c r="O17" s="197">
        <f t="shared" si="14"/>
        <v>144.61807443430789</v>
      </c>
      <c r="P17" s="197">
        <f t="shared" si="15"/>
        <v>254.45119424719823</v>
      </c>
      <c r="Q17" s="197">
        <f t="shared" si="16"/>
        <v>433.02836409688575</v>
      </c>
      <c r="R17" s="199">
        <f t="shared" si="17"/>
        <v>577.64643853119355</v>
      </c>
      <c r="S17" s="196">
        <f t="shared" si="72"/>
        <v>3593.3015147706792</v>
      </c>
      <c r="T17" s="197">
        <f t="shared" si="18"/>
        <v>959.24813914230128</v>
      </c>
      <c r="U17" s="197">
        <f t="shared" si="18"/>
        <v>7571.6609319620529</v>
      </c>
      <c r="V17" s="197">
        <f t="shared" si="18"/>
        <v>-3978.3594171913755</v>
      </c>
      <c r="W17" s="199">
        <f t="shared" si="18"/>
        <v>-3019.111278049073</v>
      </c>
      <c r="X17" s="197"/>
      <c r="Z17" s="900">
        <v>6</v>
      </c>
      <c r="AA17" s="197">
        <f t="shared" si="19"/>
        <v>11.617000000000001</v>
      </c>
      <c r="AB17" s="197">
        <f>'Energy Inputs'!$F$58*$AB$8</f>
        <v>108</v>
      </c>
      <c r="AC17" s="197">
        <f t="shared" si="20"/>
        <v>1254.6360000000002</v>
      </c>
      <c r="AD17" s="197">
        <f>'Margins summary'!$U$14</f>
        <v>175.95</v>
      </c>
      <c r="AE17" s="197">
        <f t="shared" si="21"/>
        <v>1430.5860000000002</v>
      </c>
      <c r="AF17" s="197"/>
      <c r="AG17" s="918">
        <f>'Energy NPV'!U70</f>
        <v>309.57878399999998</v>
      </c>
      <c r="AH17" s="197"/>
      <c r="AI17" s="197">
        <f t="shared" si="22"/>
        <v>309.57878399999998</v>
      </c>
      <c r="AJ17" s="197">
        <f t="shared" si="2"/>
        <v>945.05721600000015</v>
      </c>
      <c r="AK17" s="197">
        <f t="shared" si="3"/>
        <v>1121.0072160000002</v>
      </c>
      <c r="AL17" s="196">
        <f t="shared" si="23"/>
        <v>1031.219337516126</v>
      </c>
      <c r="AM17" s="197">
        <f t="shared" si="24"/>
        <v>144.61807443430789</v>
      </c>
      <c r="AN17" s="197">
        <f t="shared" si="25"/>
        <v>254.45119424719823</v>
      </c>
      <c r="AO17" s="197">
        <f t="shared" si="26"/>
        <v>776.7681432689277</v>
      </c>
      <c r="AP17" s="199">
        <f t="shared" si="27"/>
        <v>921.38621770323562</v>
      </c>
      <c r="AQ17" s="196">
        <f t="shared" si="73"/>
        <v>5389.9522721560197</v>
      </c>
      <c r="AR17" s="197">
        <f t="shared" si="28"/>
        <v>959.24813914230128</v>
      </c>
      <c r="AS17" s="197">
        <f t="shared" si="29"/>
        <v>7571.6609319620529</v>
      </c>
      <c r="AT17" s="197">
        <f t="shared" si="30"/>
        <v>-2181.7086598060337</v>
      </c>
      <c r="AU17" s="199">
        <f t="shared" si="31"/>
        <v>-1222.460520663733</v>
      </c>
      <c r="AV17" s="197"/>
      <c r="AX17" s="900">
        <v>6</v>
      </c>
      <c r="AY17" s="197">
        <f t="shared" si="32"/>
        <v>11.617000000000001</v>
      </c>
      <c r="AZ17" s="197">
        <f>'Energy Inputs'!$F$58*$AZ$8</f>
        <v>36</v>
      </c>
      <c r="BA17" s="197">
        <f t="shared" si="33"/>
        <v>418.21200000000005</v>
      </c>
      <c r="BB17" s="197">
        <f>'Margins summary'!$U$14</f>
        <v>175.95</v>
      </c>
      <c r="BC17" s="197">
        <f t="shared" si="34"/>
        <v>594.16200000000003</v>
      </c>
      <c r="BD17" s="197"/>
      <c r="BE17" s="918">
        <f>'Energy NPV'!U70</f>
        <v>309.57878399999998</v>
      </c>
      <c r="BF17" s="197"/>
      <c r="BG17" s="197">
        <f t="shared" si="35"/>
        <v>309.57878399999998</v>
      </c>
      <c r="BH17" s="197">
        <f t="shared" si="4"/>
        <v>108.63321600000006</v>
      </c>
      <c r="BI17" s="197">
        <f t="shared" si="5"/>
        <v>284.58321600000005</v>
      </c>
      <c r="BJ17" s="196">
        <f t="shared" si="36"/>
        <v>343.73977917204195</v>
      </c>
      <c r="BK17" s="197">
        <f t="shared" si="37"/>
        <v>144.61807443430789</v>
      </c>
      <c r="BL17" s="197">
        <f t="shared" si="38"/>
        <v>254.45119424719823</v>
      </c>
      <c r="BM17" s="197">
        <f t="shared" si="39"/>
        <v>89.288584924843747</v>
      </c>
      <c r="BN17" s="199">
        <f t="shared" si="40"/>
        <v>233.90665935915163</v>
      </c>
      <c r="BO17" s="196">
        <f t="shared" si="74"/>
        <v>1796.6507573853396</v>
      </c>
      <c r="BP17" s="197">
        <f t="shared" si="41"/>
        <v>959.24813914230128</v>
      </c>
      <c r="BQ17" s="197">
        <f t="shared" si="42"/>
        <v>7571.6609319620529</v>
      </c>
      <c r="BR17" s="197">
        <f t="shared" si="43"/>
        <v>-5775.0101745767133</v>
      </c>
      <c r="BS17" s="199">
        <f t="shared" si="44"/>
        <v>-4815.7620354344126</v>
      </c>
      <c r="BT17" s="197"/>
      <c r="BV17" s="900">
        <v>6</v>
      </c>
      <c r="BW17" s="197">
        <f t="shared" si="45"/>
        <v>11.617000000000001</v>
      </c>
      <c r="BX17" s="197">
        <f>'Energy Inputs'!$F$58*$BX$8</f>
        <v>144</v>
      </c>
      <c r="BY17" s="197">
        <f t="shared" si="46"/>
        <v>1672.8480000000002</v>
      </c>
      <c r="BZ17" s="197">
        <f>'Margins summary'!$U$14</f>
        <v>175.95</v>
      </c>
      <c r="CA17" s="197">
        <f t="shared" si="47"/>
        <v>1848.7980000000002</v>
      </c>
      <c r="CB17" s="197"/>
      <c r="CC17" s="918">
        <f>'Energy NPV'!U70</f>
        <v>309.57878399999998</v>
      </c>
      <c r="CD17" s="197"/>
      <c r="CE17" s="197">
        <f t="shared" si="48"/>
        <v>309.57878399999998</v>
      </c>
      <c r="CF17" s="197">
        <f t="shared" si="6"/>
        <v>1363.2692160000001</v>
      </c>
      <c r="CG17" s="197">
        <f t="shared" si="7"/>
        <v>1539.2192160000002</v>
      </c>
      <c r="CH17" s="196">
        <f t="shared" si="49"/>
        <v>1374.9591166881678</v>
      </c>
      <c r="CI17" s="197">
        <f t="shared" si="50"/>
        <v>144.61807443430789</v>
      </c>
      <c r="CJ17" s="197">
        <f t="shared" si="51"/>
        <v>254.45119424719823</v>
      </c>
      <c r="CK17" s="197">
        <f t="shared" si="52"/>
        <v>1120.5079224409697</v>
      </c>
      <c r="CL17" s="199">
        <f t="shared" si="53"/>
        <v>1265.1259968752775</v>
      </c>
      <c r="CM17" s="196">
        <f t="shared" si="75"/>
        <v>7186.6030295413584</v>
      </c>
      <c r="CN17" s="197">
        <f t="shared" si="54"/>
        <v>959.24813914230128</v>
      </c>
      <c r="CO17" s="197">
        <f t="shared" si="55"/>
        <v>7571.6609319620529</v>
      </c>
      <c r="CP17" s="197">
        <f t="shared" si="56"/>
        <v>-385.05790242069452</v>
      </c>
      <c r="CQ17" s="199">
        <f t="shared" si="57"/>
        <v>574.19023672160688</v>
      </c>
      <c r="CR17" s="197"/>
      <c r="CT17" s="204">
        <f t="shared" si="76"/>
        <v>6</v>
      </c>
      <c r="CU17" s="197">
        <f t="shared" si="58"/>
        <v>11.617000000000001</v>
      </c>
      <c r="CV17" s="197">
        <f>'Energy Inputs'!$F$58*$CV$8</f>
        <v>0</v>
      </c>
      <c r="CW17" s="197">
        <f t="shared" si="59"/>
        <v>0</v>
      </c>
      <c r="CX17" s="197">
        <f>'Margins summary'!$U$14</f>
        <v>175.95</v>
      </c>
      <c r="CY17" s="197">
        <f t="shared" si="60"/>
        <v>175.95</v>
      </c>
      <c r="CZ17" s="197"/>
      <c r="DA17" s="918">
        <f>'Energy NPV'!U70</f>
        <v>309.57878399999998</v>
      </c>
      <c r="DB17" s="197"/>
      <c r="DC17" s="197">
        <f t="shared" si="61"/>
        <v>309.57878399999998</v>
      </c>
      <c r="DD17" s="197">
        <f t="shared" si="8"/>
        <v>-309.57878399999998</v>
      </c>
      <c r="DE17" s="197">
        <f t="shared" si="9"/>
        <v>-133.628784</v>
      </c>
      <c r="DF17" s="196">
        <f t="shared" si="62"/>
        <v>0</v>
      </c>
      <c r="DG17" s="197">
        <f t="shared" si="63"/>
        <v>144.61807443430789</v>
      </c>
      <c r="DH17" s="197">
        <f t="shared" si="64"/>
        <v>254.45119424719823</v>
      </c>
      <c r="DI17" s="197">
        <f t="shared" si="65"/>
        <v>-254.45119424719823</v>
      </c>
      <c r="DJ17" s="199">
        <f t="shared" si="66"/>
        <v>-109.83311981289033</v>
      </c>
      <c r="DK17" s="196">
        <f t="shared" si="77"/>
        <v>0</v>
      </c>
      <c r="DL17" s="197">
        <f t="shared" si="67"/>
        <v>959.24813914230128</v>
      </c>
      <c r="DM17" s="197">
        <f t="shared" si="68"/>
        <v>7571.6609319620529</v>
      </c>
      <c r="DN17" s="197">
        <f t="shared" si="69"/>
        <v>-7571.6609319620529</v>
      </c>
      <c r="DO17" s="199">
        <f t="shared" si="70"/>
        <v>-6612.4127928197522</v>
      </c>
    </row>
    <row r="18" spans="2:119" x14ac:dyDescent="0.3">
      <c r="B18" s="204">
        <f t="shared" si="71"/>
        <v>7</v>
      </c>
      <c r="C18" s="197">
        <f>'Energy NPV'!$D71</f>
        <v>11.617000000000001</v>
      </c>
      <c r="D18" s="197">
        <f>'Energy Inputs'!$F$58*$E$8</f>
        <v>72</v>
      </c>
      <c r="E18" s="197">
        <f t="shared" si="10"/>
        <v>836.42400000000009</v>
      </c>
      <c r="F18" s="197">
        <f>'Margins summary'!$U$14</f>
        <v>175.95</v>
      </c>
      <c r="G18" s="197">
        <f t="shared" si="11"/>
        <v>1012.374</v>
      </c>
      <c r="H18" s="197"/>
      <c r="I18" s="918">
        <f>'Energy NPV'!U71</f>
        <v>309.57878399999998</v>
      </c>
      <c r="J18" s="197"/>
      <c r="K18" s="197">
        <f t="shared" si="12"/>
        <v>309.57878399999998</v>
      </c>
      <c r="L18" s="197">
        <f t="shared" si="0"/>
        <v>526.84521600000016</v>
      </c>
      <c r="M18" s="197">
        <f t="shared" si="1"/>
        <v>702.79521599999998</v>
      </c>
      <c r="N18" s="196">
        <f t="shared" si="13"/>
        <v>661.03803686931144</v>
      </c>
      <c r="O18" s="197">
        <f t="shared" si="14"/>
        <v>139.05584080221914</v>
      </c>
      <c r="P18" s="197">
        <f t="shared" si="15"/>
        <v>244.66460985307521</v>
      </c>
      <c r="Q18" s="197">
        <f t="shared" si="16"/>
        <v>416.37342701623629</v>
      </c>
      <c r="R18" s="199">
        <f t="shared" si="17"/>
        <v>555.42926781845529</v>
      </c>
      <c r="S18" s="196">
        <f t="shared" si="72"/>
        <v>4254.3395516399905</v>
      </c>
      <c r="T18" s="197">
        <f t="shared" si="18"/>
        <v>1098.3039799445205</v>
      </c>
      <c r="U18" s="197">
        <f t="shared" si="18"/>
        <v>7816.3255418151284</v>
      </c>
      <c r="V18" s="197">
        <f t="shared" si="18"/>
        <v>-3561.9859901751392</v>
      </c>
      <c r="W18" s="199">
        <f t="shared" si="18"/>
        <v>-2463.6820102306178</v>
      </c>
      <c r="X18" s="197"/>
      <c r="Z18" s="900">
        <v>7</v>
      </c>
      <c r="AA18" s="197">
        <f t="shared" si="19"/>
        <v>11.617000000000001</v>
      </c>
      <c r="AB18" s="197">
        <f>'Energy Inputs'!$F$58*$AB$8</f>
        <v>108</v>
      </c>
      <c r="AC18" s="197">
        <f t="shared" si="20"/>
        <v>1254.6360000000002</v>
      </c>
      <c r="AD18" s="197">
        <f>'Margins summary'!$U$14</f>
        <v>175.95</v>
      </c>
      <c r="AE18" s="197">
        <f t="shared" si="21"/>
        <v>1430.5860000000002</v>
      </c>
      <c r="AF18" s="197"/>
      <c r="AG18" s="918">
        <f>'Energy NPV'!U71</f>
        <v>309.57878399999998</v>
      </c>
      <c r="AH18" s="197"/>
      <c r="AI18" s="197">
        <f t="shared" si="22"/>
        <v>309.57878399999998</v>
      </c>
      <c r="AJ18" s="197">
        <f t="shared" si="2"/>
        <v>945.05721600000015</v>
      </c>
      <c r="AK18" s="197">
        <f t="shared" si="3"/>
        <v>1121.0072160000002</v>
      </c>
      <c r="AL18" s="196">
        <f t="shared" si="23"/>
        <v>991.55705530396722</v>
      </c>
      <c r="AM18" s="197">
        <f t="shared" si="24"/>
        <v>139.05584080221914</v>
      </c>
      <c r="AN18" s="197">
        <f t="shared" si="25"/>
        <v>244.66460985307521</v>
      </c>
      <c r="AO18" s="197">
        <f t="shared" si="26"/>
        <v>746.89244545089196</v>
      </c>
      <c r="AP18" s="199">
        <f t="shared" si="27"/>
        <v>885.94828625311118</v>
      </c>
      <c r="AQ18" s="196">
        <f t="shared" si="73"/>
        <v>6381.5093274599867</v>
      </c>
      <c r="AR18" s="197">
        <f t="shared" si="28"/>
        <v>1098.3039799445205</v>
      </c>
      <c r="AS18" s="197">
        <f t="shared" si="29"/>
        <v>7816.3255418151284</v>
      </c>
      <c r="AT18" s="197">
        <f t="shared" si="30"/>
        <v>-1434.8162143551417</v>
      </c>
      <c r="AU18" s="199">
        <f t="shared" si="31"/>
        <v>-336.51223441062177</v>
      </c>
      <c r="AV18" s="197"/>
      <c r="AX18" s="900">
        <v>7</v>
      </c>
      <c r="AY18" s="197">
        <f t="shared" si="32"/>
        <v>11.617000000000001</v>
      </c>
      <c r="AZ18" s="197">
        <f>'Energy Inputs'!$F$58*$AZ$8</f>
        <v>36</v>
      </c>
      <c r="BA18" s="197">
        <f t="shared" si="33"/>
        <v>418.21200000000005</v>
      </c>
      <c r="BB18" s="197">
        <f>'Margins summary'!$U$14</f>
        <v>175.95</v>
      </c>
      <c r="BC18" s="197">
        <f t="shared" si="34"/>
        <v>594.16200000000003</v>
      </c>
      <c r="BD18" s="197"/>
      <c r="BE18" s="918">
        <f>'Energy NPV'!U71</f>
        <v>309.57878399999998</v>
      </c>
      <c r="BF18" s="197"/>
      <c r="BG18" s="197">
        <f t="shared" si="35"/>
        <v>309.57878399999998</v>
      </c>
      <c r="BH18" s="197">
        <f t="shared" si="4"/>
        <v>108.63321600000006</v>
      </c>
      <c r="BI18" s="197">
        <f t="shared" si="5"/>
        <v>284.58321600000005</v>
      </c>
      <c r="BJ18" s="196">
        <f t="shared" si="36"/>
        <v>330.51901843465572</v>
      </c>
      <c r="BK18" s="197">
        <f t="shared" si="37"/>
        <v>139.05584080221914</v>
      </c>
      <c r="BL18" s="197">
        <f t="shared" si="38"/>
        <v>244.66460985307521</v>
      </c>
      <c r="BM18" s="197">
        <f t="shared" si="39"/>
        <v>85.854408581580529</v>
      </c>
      <c r="BN18" s="199">
        <f t="shared" si="40"/>
        <v>224.91024938379965</v>
      </c>
      <c r="BO18" s="196">
        <f t="shared" si="74"/>
        <v>2127.1697758199953</v>
      </c>
      <c r="BP18" s="197">
        <f t="shared" si="41"/>
        <v>1098.3039799445205</v>
      </c>
      <c r="BQ18" s="197">
        <f t="shared" si="42"/>
        <v>7816.3255418151284</v>
      </c>
      <c r="BR18" s="197">
        <f t="shared" si="43"/>
        <v>-5689.1557659951332</v>
      </c>
      <c r="BS18" s="199">
        <f t="shared" si="44"/>
        <v>-4590.8517860506126</v>
      </c>
      <c r="BT18" s="197"/>
      <c r="BV18" s="900">
        <v>7</v>
      </c>
      <c r="BW18" s="197">
        <f t="shared" si="45"/>
        <v>11.617000000000001</v>
      </c>
      <c r="BX18" s="197">
        <f>'Energy Inputs'!$F$58*$BX$8</f>
        <v>144</v>
      </c>
      <c r="BY18" s="197">
        <f t="shared" si="46"/>
        <v>1672.8480000000002</v>
      </c>
      <c r="BZ18" s="197">
        <f>'Margins summary'!$U$14</f>
        <v>175.95</v>
      </c>
      <c r="CA18" s="197">
        <f t="shared" si="47"/>
        <v>1848.7980000000002</v>
      </c>
      <c r="CB18" s="197"/>
      <c r="CC18" s="918">
        <f>'Energy NPV'!U71</f>
        <v>309.57878399999998</v>
      </c>
      <c r="CD18" s="197"/>
      <c r="CE18" s="197">
        <f t="shared" si="48"/>
        <v>309.57878399999998</v>
      </c>
      <c r="CF18" s="197">
        <f t="shared" si="6"/>
        <v>1363.2692160000001</v>
      </c>
      <c r="CG18" s="197">
        <f t="shared" si="7"/>
        <v>1539.2192160000002</v>
      </c>
      <c r="CH18" s="196">
        <f t="shared" si="49"/>
        <v>1322.0760737386229</v>
      </c>
      <c r="CI18" s="197">
        <f t="shared" si="50"/>
        <v>139.05584080221914</v>
      </c>
      <c r="CJ18" s="197">
        <f t="shared" si="51"/>
        <v>244.66460985307521</v>
      </c>
      <c r="CK18" s="197">
        <f t="shared" si="52"/>
        <v>1077.4114638855476</v>
      </c>
      <c r="CL18" s="199">
        <f t="shared" si="53"/>
        <v>1216.467304687767</v>
      </c>
      <c r="CM18" s="196">
        <f t="shared" si="75"/>
        <v>8508.6791032799811</v>
      </c>
      <c r="CN18" s="197">
        <f t="shared" si="54"/>
        <v>1098.3039799445205</v>
      </c>
      <c r="CO18" s="197">
        <f t="shared" si="55"/>
        <v>7816.3255418151284</v>
      </c>
      <c r="CP18" s="197">
        <f t="shared" si="56"/>
        <v>692.3535614648531</v>
      </c>
      <c r="CQ18" s="199">
        <f t="shared" si="57"/>
        <v>1790.6575414093738</v>
      </c>
      <c r="CR18" s="197"/>
      <c r="CT18" s="204">
        <f t="shared" si="76"/>
        <v>7</v>
      </c>
      <c r="CU18" s="197">
        <f t="shared" si="58"/>
        <v>11.617000000000001</v>
      </c>
      <c r="CV18" s="197">
        <f>'Energy Inputs'!$F$58*$CV$8</f>
        <v>0</v>
      </c>
      <c r="CW18" s="197">
        <f t="shared" si="59"/>
        <v>0</v>
      </c>
      <c r="CX18" s="197">
        <f>'Margins summary'!$U$14</f>
        <v>175.95</v>
      </c>
      <c r="CY18" s="197">
        <f t="shared" si="60"/>
        <v>175.95</v>
      </c>
      <c r="CZ18" s="197"/>
      <c r="DA18" s="918">
        <f>'Energy NPV'!U71</f>
        <v>309.57878399999998</v>
      </c>
      <c r="DB18" s="197"/>
      <c r="DC18" s="197">
        <f t="shared" si="61"/>
        <v>309.57878399999998</v>
      </c>
      <c r="DD18" s="197">
        <f t="shared" si="8"/>
        <v>-309.57878399999998</v>
      </c>
      <c r="DE18" s="197">
        <f t="shared" si="9"/>
        <v>-133.628784</v>
      </c>
      <c r="DF18" s="196">
        <f t="shared" si="62"/>
        <v>0</v>
      </c>
      <c r="DG18" s="197">
        <f t="shared" si="63"/>
        <v>139.05584080221914</v>
      </c>
      <c r="DH18" s="197">
        <f t="shared" si="64"/>
        <v>244.66460985307521</v>
      </c>
      <c r="DI18" s="197">
        <f t="shared" si="65"/>
        <v>-244.66460985307521</v>
      </c>
      <c r="DJ18" s="199">
        <f t="shared" si="66"/>
        <v>-105.60876905085608</v>
      </c>
      <c r="DK18" s="196">
        <f t="shared" si="77"/>
        <v>0</v>
      </c>
      <c r="DL18" s="197">
        <f t="shared" si="67"/>
        <v>1098.3039799445205</v>
      </c>
      <c r="DM18" s="197">
        <f t="shared" si="68"/>
        <v>7816.3255418151284</v>
      </c>
      <c r="DN18" s="197">
        <f t="shared" si="69"/>
        <v>-7816.3255418151284</v>
      </c>
      <c r="DO18" s="199">
        <f t="shared" si="70"/>
        <v>-6718.0215618706079</v>
      </c>
    </row>
    <row r="19" spans="2:119" x14ac:dyDescent="0.3">
      <c r="B19" s="204">
        <f t="shared" si="71"/>
        <v>8</v>
      </c>
      <c r="C19" s="197">
        <f>'Energy NPV'!$D72</f>
        <v>11.617000000000001</v>
      </c>
      <c r="D19" s="197">
        <f>'Energy Inputs'!$F$58*$E$8</f>
        <v>72</v>
      </c>
      <c r="E19" s="197">
        <f t="shared" si="10"/>
        <v>836.42400000000009</v>
      </c>
      <c r="F19" s="197">
        <f>'Margins summary'!$U$14</f>
        <v>175.95</v>
      </c>
      <c r="G19" s="197">
        <f t="shared" si="11"/>
        <v>1012.374</v>
      </c>
      <c r="H19" s="197"/>
      <c r="I19" s="918">
        <f>'Energy NPV'!U72</f>
        <v>309.57878399999998</v>
      </c>
      <c r="J19" s="197"/>
      <c r="K19" s="197">
        <f t="shared" si="12"/>
        <v>309.57878399999998</v>
      </c>
      <c r="L19" s="197">
        <f t="shared" si="0"/>
        <v>526.84521600000016</v>
      </c>
      <c r="M19" s="197">
        <f t="shared" si="1"/>
        <v>702.79521599999998</v>
      </c>
      <c r="N19" s="196">
        <f t="shared" si="13"/>
        <v>635.61349698972265</v>
      </c>
      <c r="O19" s="197">
        <f t="shared" si="14"/>
        <v>133.70753923290303</v>
      </c>
      <c r="P19" s="197">
        <f t="shared" si="15"/>
        <v>235.25443255103389</v>
      </c>
      <c r="Q19" s="197">
        <f t="shared" si="16"/>
        <v>400.35906443868879</v>
      </c>
      <c r="R19" s="199">
        <f t="shared" si="17"/>
        <v>534.06660367159168</v>
      </c>
      <c r="S19" s="196">
        <f t="shared" si="72"/>
        <v>4889.9530486297135</v>
      </c>
      <c r="T19" s="197">
        <f t="shared" si="18"/>
        <v>1232.0115191774235</v>
      </c>
      <c r="U19" s="197">
        <f t="shared" si="18"/>
        <v>8051.5799743661619</v>
      </c>
      <c r="V19" s="197">
        <f t="shared" si="18"/>
        <v>-3161.6269257364506</v>
      </c>
      <c r="W19" s="199">
        <f t="shared" si="18"/>
        <v>-1929.6154065590263</v>
      </c>
      <c r="X19" s="197"/>
      <c r="Z19" s="900">
        <v>8</v>
      </c>
      <c r="AA19" s="197">
        <f t="shared" si="19"/>
        <v>11.617000000000001</v>
      </c>
      <c r="AB19" s="197">
        <f>'Energy Inputs'!$F$58*$AB$8</f>
        <v>108</v>
      </c>
      <c r="AC19" s="197">
        <f t="shared" si="20"/>
        <v>1254.6360000000002</v>
      </c>
      <c r="AD19" s="197">
        <f>'Margins summary'!$U$14</f>
        <v>175.95</v>
      </c>
      <c r="AE19" s="197">
        <f t="shared" si="21"/>
        <v>1430.5860000000002</v>
      </c>
      <c r="AF19" s="197"/>
      <c r="AG19" s="918">
        <f>'Energy NPV'!U72</f>
        <v>309.57878399999998</v>
      </c>
      <c r="AH19" s="197"/>
      <c r="AI19" s="197">
        <f t="shared" si="22"/>
        <v>309.57878399999998</v>
      </c>
      <c r="AJ19" s="197">
        <f t="shared" si="2"/>
        <v>945.05721600000015</v>
      </c>
      <c r="AK19" s="197">
        <f t="shared" si="3"/>
        <v>1121.0072160000002</v>
      </c>
      <c r="AL19" s="196">
        <f t="shared" si="23"/>
        <v>953.42024548458403</v>
      </c>
      <c r="AM19" s="197">
        <f t="shared" si="24"/>
        <v>133.70753923290303</v>
      </c>
      <c r="AN19" s="197">
        <f t="shared" si="25"/>
        <v>235.25443255103389</v>
      </c>
      <c r="AO19" s="197">
        <f t="shared" si="26"/>
        <v>718.16581293355011</v>
      </c>
      <c r="AP19" s="199">
        <f t="shared" si="27"/>
        <v>851.87335216645317</v>
      </c>
      <c r="AQ19" s="196">
        <f t="shared" si="73"/>
        <v>7334.9295729445712</v>
      </c>
      <c r="AR19" s="197">
        <f t="shared" si="28"/>
        <v>1232.0115191774235</v>
      </c>
      <c r="AS19" s="197">
        <f t="shared" si="29"/>
        <v>8051.5799743661619</v>
      </c>
      <c r="AT19" s="197">
        <f t="shared" si="30"/>
        <v>-716.6504014215916</v>
      </c>
      <c r="AU19" s="199">
        <f t="shared" si="31"/>
        <v>515.3611177558314</v>
      </c>
      <c r="AV19" s="197"/>
      <c r="AX19" s="900">
        <v>8</v>
      </c>
      <c r="AY19" s="197">
        <f t="shared" si="32"/>
        <v>11.617000000000001</v>
      </c>
      <c r="AZ19" s="197">
        <f>'Energy Inputs'!$F$58*$AZ$8</f>
        <v>36</v>
      </c>
      <c r="BA19" s="197">
        <f t="shared" si="33"/>
        <v>418.21200000000005</v>
      </c>
      <c r="BB19" s="197">
        <f>'Margins summary'!$U$14</f>
        <v>175.95</v>
      </c>
      <c r="BC19" s="197">
        <f t="shared" si="34"/>
        <v>594.16200000000003</v>
      </c>
      <c r="BD19" s="197"/>
      <c r="BE19" s="918">
        <f>'Energy NPV'!U72</f>
        <v>309.57878399999998</v>
      </c>
      <c r="BF19" s="197"/>
      <c r="BG19" s="197">
        <f t="shared" si="35"/>
        <v>309.57878399999998</v>
      </c>
      <c r="BH19" s="197">
        <f t="shared" si="4"/>
        <v>108.63321600000006</v>
      </c>
      <c r="BI19" s="197">
        <f t="shared" si="5"/>
        <v>284.58321600000005</v>
      </c>
      <c r="BJ19" s="196">
        <f t="shared" si="36"/>
        <v>317.80674849486132</v>
      </c>
      <c r="BK19" s="197">
        <f t="shared" si="37"/>
        <v>133.70753923290303</v>
      </c>
      <c r="BL19" s="197">
        <f t="shared" si="38"/>
        <v>235.25443255103389</v>
      </c>
      <c r="BM19" s="197">
        <f t="shared" si="39"/>
        <v>82.552315943827438</v>
      </c>
      <c r="BN19" s="199">
        <f t="shared" si="40"/>
        <v>216.25985517673047</v>
      </c>
      <c r="BO19" s="196">
        <f t="shared" si="74"/>
        <v>2444.9765243148568</v>
      </c>
      <c r="BP19" s="197">
        <f t="shared" si="41"/>
        <v>1232.0115191774235</v>
      </c>
      <c r="BQ19" s="197">
        <f t="shared" si="42"/>
        <v>8051.5799743661619</v>
      </c>
      <c r="BR19" s="197">
        <f t="shared" si="43"/>
        <v>-5606.603450051306</v>
      </c>
      <c r="BS19" s="199">
        <f t="shared" si="44"/>
        <v>-4374.5919308738821</v>
      </c>
      <c r="BT19" s="197"/>
      <c r="BV19" s="900">
        <v>8</v>
      </c>
      <c r="BW19" s="197">
        <f t="shared" si="45"/>
        <v>11.617000000000001</v>
      </c>
      <c r="BX19" s="197">
        <f>'Energy Inputs'!$F$58*$BX$8</f>
        <v>144</v>
      </c>
      <c r="BY19" s="197">
        <f t="shared" si="46"/>
        <v>1672.8480000000002</v>
      </c>
      <c r="BZ19" s="197">
        <f>'Margins summary'!$U$14</f>
        <v>175.95</v>
      </c>
      <c r="CA19" s="197">
        <f t="shared" si="47"/>
        <v>1848.7980000000002</v>
      </c>
      <c r="CB19" s="197"/>
      <c r="CC19" s="918">
        <f>'Energy NPV'!U72</f>
        <v>309.57878399999998</v>
      </c>
      <c r="CD19" s="197"/>
      <c r="CE19" s="197">
        <f t="shared" si="48"/>
        <v>309.57878399999998</v>
      </c>
      <c r="CF19" s="197">
        <f t="shared" si="6"/>
        <v>1363.2692160000001</v>
      </c>
      <c r="CG19" s="197">
        <f t="shared" si="7"/>
        <v>1539.2192160000002</v>
      </c>
      <c r="CH19" s="196">
        <f t="shared" si="49"/>
        <v>1271.2269939794453</v>
      </c>
      <c r="CI19" s="197">
        <f t="shared" si="50"/>
        <v>133.70753923290303</v>
      </c>
      <c r="CJ19" s="197">
        <f t="shared" si="51"/>
        <v>235.25443255103389</v>
      </c>
      <c r="CK19" s="197">
        <f t="shared" si="52"/>
        <v>1035.9725614284114</v>
      </c>
      <c r="CL19" s="199">
        <f t="shared" si="53"/>
        <v>1169.6801006613143</v>
      </c>
      <c r="CM19" s="196">
        <f t="shared" si="75"/>
        <v>9779.906097259427</v>
      </c>
      <c r="CN19" s="197">
        <f t="shared" si="54"/>
        <v>1232.0115191774235</v>
      </c>
      <c r="CO19" s="197">
        <f t="shared" si="55"/>
        <v>8051.5799743661619</v>
      </c>
      <c r="CP19" s="197">
        <f t="shared" si="56"/>
        <v>1728.3261228932645</v>
      </c>
      <c r="CQ19" s="199">
        <f t="shared" si="57"/>
        <v>2960.3376420706882</v>
      </c>
      <c r="CR19" s="197"/>
      <c r="CT19" s="204">
        <f t="shared" si="76"/>
        <v>8</v>
      </c>
      <c r="CU19" s="197">
        <f t="shared" si="58"/>
        <v>11.617000000000001</v>
      </c>
      <c r="CV19" s="197">
        <f>'Energy Inputs'!$F$58*$CV$8</f>
        <v>0</v>
      </c>
      <c r="CW19" s="197">
        <f t="shared" si="59"/>
        <v>0</v>
      </c>
      <c r="CX19" s="197">
        <f>'Margins summary'!$U$14</f>
        <v>175.95</v>
      </c>
      <c r="CY19" s="197">
        <f t="shared" si="60"/>
        <v>175.95</v>
      </c>
      <c r="CZ19" s="197"/>
      <c r="DA19" s="918">
        <f>'Energy NPV'!U72</f>
        <v>309.57878399999998</v>
      </c>
      <c r="DB19" s="197"/>
      <c r="DC19" s="197">
        <f t="shared" si="61"/>
        <v>309.57878399999998</v>
      </c>
      <c r="DD19" s="197">
        <f t="shared" si="8"/>
        <v>-309.57878399999998</v>
      </c>
      <c r="DE19" s="197">
        <f t="shared" si="9"/>
        <v>-133.628784</v>
      </c>
      <c r="DF19" s="196">
        <f t="shared" si="62"/>
        <v>0</v>
      </c>
      <c r="DG19" s="197">
        <f t="shared" si="63"/>
        <v>133.70753923290303</v>
      </c>
      <c r="DH19" s="197">
        <f t="shared" si="64"/>
        <v>235.25443255103389</v>
      </c>
      <c r="DI19" s="197">
        <f t="shared" si="65"/>
        <v>-235.25443255103389</v>
      </c>
      <c r="DJ19" s="199">
        <f t="shared" si="66"/>
        <v>-101.54689331813086</v>
      </c>
      <c r="DK19" s="196">
        <f t="shared" si="77"/>
        <v>0</v>
      </c>
      <c r="DL19" s="197">
        <f t="shared" si="67"/>
        <v>1232.0115191774235</v>
      </c>
      <c r="DM19" s="197">
        <f t="shared" si="68"/>
        <v>8051.5799743661619</v>
      </c>
      <c r="DN19" s="197">
        <f t="shared" si="69"/>
        <v>-8051.5799743661619</v>
      </c>
      <c r="DO19" s="199">
        <f t="shared" si="70"/>
        <v>-6819.5684551887389</v>
      </c>
    </row>
    <row r="20" spans="2:119" x14ac:dyDescent="0.3">
      <c r="B20" s="204">
        <f t="shared" si="71"/>
        <v>9</v>
      </c>
      <c r="C20" s="197">
        <f>'Energy NPV'!$D73</f>
        <v>11.617000000000001</v>
      </c>
      <c r="D20" s="197">
        <f>'Energy Inputs'!$F$58*$E$8</f>
        <v>72</v>
      </c>
      <c r="E20" s="197">
        <f t="shared" si="10"/>
        <v>836.42400000000009</v>
      </c>
      <c r="F20" s="197">
        <f>'Margins summary'!$U$14</f>
        <v>175.95</v>
      </c>
      <c r="G20" s="197">
        <f t="shared" si="11"/>
        <v>1012.374</v>
      </c>
      <c r="H20" s="197"/>
      <c r="I20" s="918">
        <f>'Energy NPV'!U73</f>
        <v>309.57878399999998</v>
      </c>
      <c r="J20" s="197"/>
      <c r="K20" s="197">
        <f t="shared" si="12"/>
        <v>309.57878399999998</v>
      </c>
      <c r="L20" s="197">
        <f t="shared" si="0"/>
        <v>526.84521600000016</v>
      </c>
      <c r="M20" s="197">
        <f t="shared" si="1"/>
        <v>702.79521599999998</v>
      </c>
      <c r="N20" s="196">
        <f t="shared" si="13"/>
        <v>611.1668240285793</v>
      </c>
      <c r="O20" s="197">
        <f t="shared" si="14"/>
        <v>128.56494157009902</v>
      </c>
      <c r="P20" s="197">
        <f t="shared" si="15"/>
        <v>226.20618514522485</v>
      </c>
      <c r="Q20" s="197">
        <f t="shared" si="16"/>
        <v>384.96063888335453</v>
      </c>
      <c r="R20" s="199">
        <f t="shared" si="17"/>
        <v>513.52558045345347</v>
      </c>
      <c r="S20" s="196">
        <f t="shared" si="72"/>
        <v>5501.1198726582925</v>
      </c>
      <c r="T20" s="197">
        <f t="shared" si="18"/>
        <v>1360.5764607475226</v>
      </c>
      <c r="U20" s="197">
        <f t="shared" si="18"/>
        <v>8277.7861595113864</v>
      </c>
      <c r="V20" s="197">
        <f t="shared" si="18"/>
        <v>-2776.6662868530962</v>
      </c>
      <c r="W20" s="199">
        <f t="shared" si="18"/>
        <v>-1416.0898261055727</v>
      </c>
      <c r="X20" s="197"/>
      <c r="Z20" s="900">
        <v>9</v>
      </c>
      <c r="AA20" s="197">
        <f t="shared" si="19"/>
        <v>11.617000000000001</v>
      </c>
      <c r="AB20" s="197">
        <f>'Energy Inputs'!$F$58*$AB$8</f>
        <v>108</v>
      </c>
      <c r="AC20" s="197">
        <f t="shared" si="20"/>
        <v>1254.6360000000002</v>
      </c>
      <c r="AD20" s="197">
        <f>'Margins summary'!$U$14</f>
        <v>175.95</v>
      </c>
      <c r="AE20" s="197">
        <f t="shared" si="21"/>
        <v>1430.5860000000002</v>
      </c>
      <c r="AF20" s="197"/>
      <c r="AG20" s="918">
        <f>'Energy NPV'!U73</f>
        <v>309.57878399999998</v>
      </c>
      <c r="AH20" s="197"/>
      <c r="AI20" s="197">
        <f t="shared" si="22"/>
        <v>309.57878399999998</v>
      </c>
      <c r="AJ20" s="197">
        <f t="shared" si="2"/>
        <v>945.05721600000015</v>
      </c>
      <c r="AK20" s="197">
        <f t="shared" si="3"/>
        <v>1121.0072160000002</v>
      </c>
      <c r="AL20" s="196">
        <f t="shared" si="23"/>
        <v>916.75023604286901</v>
      </c>
      <c r="AM20" s="197">
        <f t="shared" si="24"/>
        <v>128.56494157009902</v>
      </c>
      <c r="AN20" s="197">
        <f t="shared" si="25"/>
        <v>226.20618514522485</v>
      </c>
      <c r="AO20" s="197">
        <f t="shared" si="26"/>
        <v>690.54405089764418</v>
      </c>
      <c r="AP20" s="199">
        <f t="shared" si="27"/>
        <v>819.10899246774329</v>
      </c>
      <c r="AQ20" s="196">
        <f t="shared" si="73"/>
        <v>8251.679808987441</v>
      </c>
      <c r="AR20" s="197">
        <f t="shared" si="28"/>
        <v>1360.5764607475226</v>
      </c>
      <c r="AS20" s="197">
        <f t="shared" si="29"/>
        <v>8277.7861595113864</v>
      </c>
      <c r="AT20" s="197">
        <f t="shared" si="30"/>
        <v>-26.106350523947413</v>
      </c>
      <c r="AU20" s="199">
        <f t="shared" si="31"/>
        <v>1334.4701102235747</v>
      </c>
      <c r="AV20" s="197"/>
      <c r="AX20" s="900">
        <v>9</v>
      </c>
      <c r="AY20" s="197">
        <f t="shared" si="32"/>
        <v>11.617000000000001</v>
      </c>
      <c r="AZ20" s="197">
        <f>'Energy Inputs'!$F$58*$AZ$8</f>
        <v>36</v>
      </c>
      <c r="BA20" s="197">
        <f t="shared" si="33"/>
        <v>418.21200000000005</v>
      </c>
      <c r="BB20" s="197">
        <f>'Margins summary'!$U$14</f>
        <v>175.95</v>
      </c>
      <c r="BC20" s="197">
        <f t="shared" si="34"/>
        <v>594.16200000000003</v>
      </c>
      <c r="BD20" s="197"/>
      <c r="BE20" s="918">
        <f>'Energy NPV'!U73</f>
        <v>309.57878399999998</v>
      </c>
      <c r="BF20" s="197"/>
      <c r="BG20" s="197">
        <f t="shared" si="35"/>
        <v>309.57878399999998</v>
      </c>
      <c r="BH20" s="197">
        <f t="shared" si="4"/>
        <v>108.63321600000006</v>
      </c>
      <c r="BI20" s="197">
        <f t="shared" si="5"/>
        <v>284.58321600000005</v>
      </c>
      <c r="BJ20" s="196">
        <f t="shared" si="36"/>
        <v>305.58341201428965</v>
      </c>
      <c r="BK20" s="197">
        <f t="shared" si="37"/>
        <v>128.56494157009902</v>
      </c>
      <c r="BL20" s="197">
        <f t="shared" si="38"/>
        <v>226.20618514522485</v>
      </c>
      <c r="BM20" s="197">
        <f t="shared" si="39"/>
        <v>79.377226869064827</v>
      </c>
      <c r="BN20" s="199">
        <f t="shared" si="40"/>
        <v>207.94216843916388</v>
      </c>
      <c r="BO20" s="196">
        <f t="shared" si="74"/>
        <v>2750.5599363291462</v>
      </c>
      <c r="BP20" s="197">
        <f t="shared" si="41"/>
        <v>1360.5764607475226</v>
      </c>
      <c r="BQ20" s="197">
        <f t="shared" si="42"/>
        <v>8277.7861595113864</v>
      </c>
      <c r="BR20" s="197">
        <f t="shared" si="43"/>
        <v>-5527.2262231822415</v>
      </c>
      <c r="BS20" s="199">
        <f t="shared" si="44"/>
        <v>-4166.6497624347185</v>
      </c>
      <c r="BT20" s="197"/>
      <c r="BV20" s="900">
        <v>9</v>
      </c>
      <c r="BW20" s="197">
        <f t="shared" si="45"/>
        <v>11.617000000000001</v>
      </c>
      <c r="BX20" s="197">
        <f>'Energy Inputs'!$F$58*$BX$8</f>
        <v>144</v>
      </c>
      <c r="BY20" s="197">
        <f t="shared" si="46"/>
        <v>1672.8480000000002</v>
      </c>
      <c r="BZ20" s="197">
        <f>'Margins summary'!$U$14</f>
        <v>175.95</v>
      </c>
      <c r="CA20" s="197">
        <f t="shared" si="47"/>
        <v>1848.7980000000002</v>
      </c>
      <c r="CB20" s="197"/>
      <c r="CC20" s="918">
        <f>'Energy NPV'!U73</f>
        <v>309.57878399999998</v>
      </c>
      <c r="CD20" s="197"/>
      <c r="CE20" s="197">
        <f t="shared" si="48"/>
        <v>309.57878399999998</v>
      </c>
      <c r="CF20" s="197">
        <f t="shared" si="6"/>
        <v>1363.2692160000001</v>
      </c>
      <c r="CG20" s="197">
        <f t="shared" si="7"/>
        <v>1539.2192160000002</v>
      </c>
      <c r="CH20" s="196">
        <f t="shared" si="49"/>
        <v>1222.3336480571586</v>
      </c>
      <c r="CI20" s="197">
        <f t="shared" si="50"/>
        <v>128.56494157009902</v>
      </c>
      <c r="CJ20" s="197">
        <f t="shared" si="51"/>
        <v>226.20618514522485</v>
      </c>
      <c r="CK20" s="197">
        <f t="shared" si="52"/>
        <v>996.12746291193378</v>
      </c>
      <c r="CL20" s="199">
        <f t="shared" si="53"/>
        <v>1124.6924044820328</v>
      </c>
      <c r="CM20" s="196">
        <f t="shared" si="75"/>
        <v>11002.239745316585</v>
      </c>
      <c r="CN20" s="197">
        <f t="shared" si="54"/>
        <v>1360.5764607475226</v>
      </c>
      <c r="CO20" s="197">
        <f t="shared" si="55"/>
        <v>8277.7861595113864</v>
      </c>
      <c r="CP20" s="197">
        <f t="shared" si="56"/>
        <v>2724.4535858051981</v>
      </c>
      <c r="CQ20" s="199">
        <f t="shared" si="57"/>
        <v>4085.0300465527207</v>
      </c>
      <c r="CR20" s="197"/>
      <c r="CT20" s="204">
        <f t="shared" si="76"/>
        <v>9</v>
      </c>
      <c r="CU20" s="197">
        <f t="shared" si="58"/>
        <v>11.617000000000001</v>
      </c>
      <c r="CV20" s="197">
        <f>'Energy Inputs'!$F$58*$CV$8</f>
        <v>0</v>
      </c>
      <c r="CW20" s="197">
        <f t="shared" si="59"/>
        <v>0</v>
      </c>
      <c r="CX20" s="197">
        <f>'Margins summary'!$U$14</f>
        <v>175.95</v>
      </c>
      <c r="CY20" s="197">
        <f t="shared" si="60"/>
        <v>175.95</v>
      </c>
      <c r="CZ20" s="197"/>
      <c r="DA20" s="918">
        <f>'Energy NPV'!U73</f>
        <v>309.57878399999998</v>
      </c>
      <c r="DB20" s="197"/>
      <c r="DC20" s="197">
        <f t="shared" si="61"/>
        <v>309.57878399999998</v>
      </c>
      <c r="DD20" s="197">
        <f t="shared" si="8"/>
        <v>-309.57878399999998</v>
      </c>
      <c r="DE20" s="197">
        <f t="shared" si="9"/>
        <v>-133.628784</v>
      </c>
      <c r="DF20" s="196">
        <f t="shared" si="62"/>
        <v>0</v>
      </c>
      <c r="DG20" s="197">
        <f t="shared" si="63"/>
        <v>128.56494157009902</v>
      </c>
      <c r="DH20" s="197">
        <f t="shared" si="64"/>
        <v>226.20618514522485</v>
      </c>
      <c r="DI20" s="197">
        <f t="shared" si="65"/>
        <v>-226.20618514522485</v>
      </c>
      <c r="DJ20" s="199">
        <f t="shared" si="66"/>
        <v>-97.641243575125813</v>
      </c>
      <c r="DK20" s="196">
        <f t="shared" si="77"/>
        <v>0</v>
      </c>
      <c r="DL20" s="197">
        <f t="shared" si="67"/>
        <v>1360.5764607475226</v>
      </c>
      <c r="DM20" s="197">
        <f t="shared" si="68"/>
        <v>8277.7861595113864</v>
      </c>
      <c r="DN20" s="197">
        <f t="shared" si="69"/>
        <v>-8277.7861595113864</v>
      </c>
      <c r="DO20" s="199">
        <f t="shared" si="70"/>
        <v>-6917.2096987638643</v>
      </c>
    </row>
    <row r="21" spans="2:119" x14ac:dyDescent="0.3">
      <c r="B21" s="204">
        <f t="shared" si="71"/>
        <v>10</v>
      </c>
      <c r="C21" s="197">
        <f>'Energy NPV'!$D74</f>
        <v>11.617000000000001</v>
      </c>
      <c r="D21" s="197">
        <f>'Energy Inputs'!$F$58*$E$8</f>
        <v>72</v>
      </c>
      <c r="E21" s="197">
        <f t="shared" si="10"/>
        <v>836.42400000000009</v>
      </c>
      <c r="F21" s="197">
        <f>'Margins summary'!$U$14</f>
        <v>175.95</v>
      </c>
      <c r="G21" s="197">
        <f t="shared" si="11"/>
        <v>1012.374</v>
      </c>
      <c r="H21" s="197"/>
      <c r="I21" s="918">
        <f>'Energy NPV'!U74</f>
        <v>309.57878399999998</v>
      </c>
      <c r="J21" s="197"/>
      <c r="K21" s="197">
        <f t="shared" si="12"/>
        <v>309.57878399999998</v>
      </c>
      <c r="L21" s="197">
        <f t="shared" si="0"/>
        <v>526.84521600000016</v>
      </c>
      <c r="M21" s="197">
        <f t="shared" si="1"/>
        <v>702.79521599999998</v>
      </c>
      <c r="N21" s="196">
        <f t="shared" si="13"/>
        <v>587.66040771978783</v>
      </c>
      <c r="O21" s="197">
        <f t="shared" si="14"/>
        <v>123.62013612509521</v>
      </c>
      <c r="P21" s="197">
        <f t="shared" si="15"/>
        <v>217.50594725502387</v>
      </c>
      <c r="Q21" s="197">
        <f t="shared" si="16"/>
        <v>370.15446046476393</v>
      </c>
      <c r="R21" s="199">
        <f t="shared" si="17"/>
        <v>493.77459658985907</v>
      </c>
      <c r="S21" s="196">
        <f t="shared" si="72"/>
        <v>6088.7802803780805</v>
      </c>
      <c r="T21" s="197">
        <f t="shared" si="18"/>
        <v>1484.1965968726179</v>
      </c>
      <c r="U21" s="197">
        <f t="shared" si="18"/>
        <v>8495.2921067664101</v>
      </c>
      <c r="V21" s="197">
        <f t="shared" si="18"/>
        <v>-2406.5118263883323</v>
      </c>
      <c r="W21" s="199">
        <f t="shared" si="18"/>
        <v>-922.31522951571355</v>
      </c>
      <c r="X21" s="197"/>
      <c r="Z21" s="900">
        <v>10</v>
      </c>
      <c r="AA21" s="197">
        <f t="shared" si="19"/>
        <v>11.617000000000001</v>
      </c>
      <c r="AB21" s="197">
        <f>'Energy Inputs'!$F$58*$AB$8</f>
        <v>108</v>
      </c>
      <c r="AC21" s="197">
        <f t="shared" si="20"/>
        <v>1254.6360000000002</v>
      </c>
      <c r="AD21" s="197">
        <f>'Margins summary'!$U$14</f>
        <v>175.95</v>
      </c>
      <c r="AE21" s="197">
        <f t="shared" si="21"/>
        <v>1430.5860000000002</v>
      </c>
      <c r="AF21" s="197"/>
      <c r="AG21" s="918">
        <f>'Energy NPV'!U74</f>
        <v>309.57878399999998</v>
      </c>
      <c r="AH21" s="197"/>
      <c r="AI21" s="197">
        <f t="shared" si="22"/>
        <v>309.57878399999998</v>
      </c>
      <c r="AJ21" s="197">
        <f t="shared" si="2"/>
        <v>945.05721600000015</v>
      </c>
      <c r="AK21" s="197">
        <f t="shared" si="3"/>
        <v>1121.0072160000002</v>
      </c>
      <c r="AL21" s="196">
        <f t="shared" si="23"/>
        <v>881.49061157968174</v>
      </c>
      <c r="AM21" s="197">
        <f t="shared" si="24"/>
        <v>123.62013612509521</v>
      </c>
      <c r="AN21" s="197">
        <f t="shared" si="25"/>
        <v>217.50594725502387</v>
      </c>
      <c r="AO21" s="197">
        <f t="shared" si="26"/>
        <v>663.98466432465784</v>
      </c>
      <c r="AP21" s="199">
        <f t="shared" si="27"/>
        <v>787.60480044975304</v>
      </c>
      <c r="AQ21" s="196">
        <f t="shared" si="73"/>
        <v>9133.1704205671231</v>
      </c>
      <c r="AR21" s="197">
        <f t="shared" si="28"/>
        <v>1484.1965968726179</v>
      </c>
      <c r="AS21" s="197">
        <f t="shared" si="29"/>
        <v>8495.2921067664101</v>
      </c>
      <c r="AT21" s="197">
        <f t="shared" si="30"/>
        <v>637.87831380071043</v>
      </c>
      <c r="AU21" s="199">
        <f t="shared" si="31"/>
        <v>2122.0749106733278</v>
      </c>
      <c r="AV21" s="197"/>
      <c r="AX21" s="900">
        <v>10</v>
      </c>
      <c r="AY21" s="197">
        <f t="shared" si="32"/>
        <v>11.617000000000001</v>
      </c>
      <c r="AZ21" s="197">
        <f>'Energy Inputs'!$F$58*$AZ$8</f>
        <v>36</v>
      </c>
      <c r="BA21" s="197">
        <f t="shared" si="33"/>
        <v>418.21200000000005</v>
      </c>
      <c r="BB21" s="197">
        <f>'Margins summary'!$U$14</f>
        <v>175.95</v>
      </c>
      <c r="BC21" s="197">
        <f t="shared" si="34"/>
        <v>594.16200000000003</v>
      </c>
      <c r="BD21" s="197"/>
      <c r="BE21" s="918">
        <f>'Energy NPV'!U74</f>
        <v>309.57878399999998</v>
      </c>
      <c r="BF21" s="197"/>
      <c r="BG21" s="197">
        <f t="shared" si="35"/>
        <v>309.57878399999998</v>
      </c>
      <c r="BH21" s="197">
        <f t="shared" si="4"/>
        <v>108.63321600000006</v>
      </c>
      <c r="BI21" s="197">
        <f t="shared" si="5"/>
        <v>284.58321600000005</v>
      </c>
      <c r="BJ21" s="196">
        <f t="shared" si="36"/>
        <v>293.83020385989391</v>
      </c>
      <c r="BK21" s="197">
        <f t="shared" si="37"/>
        <v>123.62013612509521</v>
      </c>
      <c r="BL21" s="197">
        <f t="shared" si="38"/>
        <v>217.50594725502387</v>
      </c>
      <c r="BM21" s="197">
        <f t="shared" si="39"/>
        <v>76.324256604870016</v>
      </c>
      <c r="BN21" s="199">
        <f t="shared" si="40"/>
        <v>199.94439272996524</v>
      </c>
      <c r="BO21" s="196">
        <f t="shared" si="74"/>
        <v>3044.3901401890403</v>
      </c>
      <c r="BP21" s="197">
        <f t="shared" si="41"/>
        <v>1484.1965968726179</v>
      </c>
      <c r="BQ21" s="197">
        <f t="shared" si="42"/>
        <v>8495.2921067664101</v>
      </c>
      <c r="BR21" s="197">
        <f t="shared" si="43"/>
        <v>-5450.9019665773712</v>
      </c>
      <c r="BS21" s="199">
        <f t="shared" si="44"/>
        <v>-3966.7053697047531</v>
      </c>
      <c r="BT21" s="197"/>
      <c r="BV21" s="900">
        <v>10</v>
      </c>
      <c r="BW21" s="197">
        <f t="shared" si="45"/>
        <v>11.617000000000001</v>
      </c>
      <c r="BX21" s="197">
        <f>'Energy Inputs'!$F$58*$BX$8</f>
        <v>144</v>
      </c>
      <c r="BY21" s="197">
        <f t="shared" si="46"/>
        <v>1672.8480000000002</v>
      </c>
      <c r="BZ21" s="197">
        <f>'Margins summary'!$U$14</f>
        <v>175.95</v>
      </c>
      <c r="CA21" s="197">
        <f t="shared" si="47"/>
        <v>1848.7980000000002</v>
      </c>
      <c r="CB21" s="197"/>
      <c r="CC21" s="918">
        <f>'Energy NPV'!U74</f>
        <v>309.57878399999998</v>
      </c>
      <c r="CD21" s="197"/>
      <c r="CE21" s="197">
        <f t="shared" si="48"/>
        <v>309.57878399999998</v>
      </c>
      <c r="CF21" s="197">
        <f t="shared" si="6"/>
        <v>1363.2692160000001</v>
      </c>
      <c r="CG21" s="197">
        <f t="shared" si="7"/>
        <v>1539.2192160000002</v>
      </c>
      <c r="CH21" s="196">
        <f t="shared" si="49"/>
        <v>1175.3208154395757</v>
      </c>
      <c r="CI21" s="197">
        <f t="shared" si="50"/>
        <v>123.62013612509521</v>
      </c>
      <c r="CJ21" s="197">
        <f t="shared" si="51"/>
        <v>217.50594725502387</v>
      </c>
      <c r="CK21" s="197">
        <f t="shared" si="52"/>
        <v>957.81486818455164</v>
      </c>
      <c r="CL21" s="199">
        <f t="shared" si="53"/>
        <v>1081.435004309647</v>
      </c>
      <c r="CM21" s="196">
        <f t="shared" si="75"/>
        <v>12177.560560756161</v>
      </c>
      <c r="CN21" s="197">
        <f t="shared" si="54"/>
        <v>1484.1965968726179</v>
      </c>
      <c r="CO21" s="197">
        <f t="shared" si="55"/>
        <v>8495.2921067664101</v>
      </c>
      <c r="CP21" s="197">
        <f t="shared" si="56"/>
        <v>3682.26845398975</v>
      </c>
      <c r="CQ21" s="199">
        <f t="shared" si="57"/>
        <v>5166.4650508623672</v>
      </c>
      <c r="CR21" s="197"/>
      <c r="CT21" s="204">
        <f t="shared" si="76"/>
        <v>10</v>
      </c>
      <c r="CU21" s="197">
        <f t="shared" si="58"/>
        <v>11.617000000000001</v>
      </c>
      <c r="CV21" s="197">
        <f>'Energy Inputs'!$F$58*$CV$8</f>
        <v>0</v>
      </c>
      <c r="CW21" s="197">
        <f t="shared" si="59"/>
        <v>0</v>
      </c>
      <c r="CX21" s="197">
        <f>'Margins summary'!$U$14</f>
        <v>175.95</v>
      </c>
      <c r="CY21" s="197">
        <f t="shared" si="60"/>
        <v>175.95</v>
      </c>
      <c r="CZ21" s="197"/>
      <c r="DA21" s="918">
        <f>'Energy NPV'!U74</f>
        <v>309.57878399999998</v>
      </c>
      <c r="DB21" s="197"/>
      <c r="DC21" s="197">
        <f t="shared" si="61"/>
        <v>309.57878399999998</v>
      </c>
      <c r="DD21" s="197">
        <f t="shared" si="8"/>
        <v>-309.57878399999998</v>
      </c>
      <c r="DE21" s="197">
        <f t="shared" si="9"/>
        <v>-133.628784</v>
      </c>
      <c r="DF21" s="196">
        <f t="shared" si="62"/>
        <v>0</v>
      </c>
      <c r="DG21" s="197">
        <f t="shared" si="63"/>
        <v>123.62013612509521</v>
      </c>
      <c r="DH21" s="197">
        <f t="shared" si="64"/>
        <v>217.50594725502387</v>
      </c>
      <c r="DI21" s="197">
        <f t="shared" si="65"/>
        <v>-217.50594725502387</v>
      </c>
      <c r="DJ21" s="199">
        <f t="shared" si="66"/>
        <v>-93.885811129928655</v>
      </c>
      <c r="DK21" s="196">
        <f t="shared" si="77"/>
        <v>0</v>
      </c>
      <c r="DL21" s="197">
        <f t="shared" si="67"/>
        <v>1484.1965968726179</v>
      </c>
      <c r="DM21" s="197">
        <f t="shared" si="68"/>
        <v>8495.2921067664101</v>
      </c>
      <c r="DN21" s="197">
        <f t="shared" si="69"/>
        <v>-8495.2921067664101</v>
      </c>
      <c r="DO21" s="199">
        <f t="shared" si="70"/>
        <v>-7011.095509893793</v>
      </c>
    </row>
    <row r="22" spans="2:119" x14ac:dyDescent="0.3">
      <c r="B22" s="204">
        <f t="shared" si="71"/>
        <v>11</v>
      </c>
      <c r="C22" s="197">
        <f>'Energy NPV'!$D75</f>
        <v>11.617000000000001</v>
      </c>
      <c r="D22" s="197">
        <f>'Energy Inputs'!$F$58*$E$8</f>
        <v>72</v>
      </c>
      <c r="E22" s="197">
        <f t="shared" si="10"/>
        <v>836.42400000000009</v>
      </c>
      <c r="F22" s="197">
        <f>'Margins summary'!$U$14</f>
        <v>175.95</v>
      </c>
      <c r="G22" s="197">
        <f t="shared" si="11"/>
        <v>1012.374</v>
      </c>
      <c r="H22" s="197"/>
      <c r="I22" s="918">
        <f>'Energy NPV'!U75</f>
        <v>309.57878399999998</v>
      </c>
      <c r="J22" s="197"/>
      <c r="K22" s="197">
        <f t="shared" si="12"/>
        <v>309.57878399999998</v>
      </c>
      <c r="L22" s="197">
        <f t="shared" si="0"/>
        <v>526.84521600000016</v>
      </c>
      <c r="M22" s="197">
        <f t="shared" si="1"/>
        <v>702.79521599999998</v>
      </c>
      <c r="N22" s="196">
        <f t="shared" si="13"/>
        <v>565.05808434594974</v>
      </c>
      <c r="O22" s="197">
        <f t="shared" si="14"/>
        <v>118.86551550489925</v>
      </c>
      <c r="P22" s="197">
        <f t="shared" si="15"/>
        <v>209.1403338990614</v>
      </c>
      <c r="Q22" s="197">
        <f t="shared" si="16"/>
        <v>355.91775044688842</v>
      </c>
      <c r="R22" s="199">
        <f t="shared" si="17"/>
        <v>474.78326595178754</v>
      </c>
      <c r="S22" s="196">
        <f t="shared" si="72"/>
        <v>6653.8383647240298</v>
      </c>
      <c r="T22" s="197">
        <f t="shared" si="18"/>
        <v>1603.0621123775172</v>
      </c>
      <c r="U22" s="197">
        <f t="shared" si="18"/>
        <v>8704.4324406654723</v>
      </c>
      <c r="V22" s="197">
        <f t="shared" si="18"/>
        <v>-2050.5940759414439</v>
      </c>
      <c r="W22" s="199">
        <f t="shared" si="18"/>
        <v>-447.53196356392601</v>
      </c>
      <c r="X22" s="197"/>
      <c r="Z22" s="900">
        <v>11</v>
      </c>
      <c r="AA22" s="197">
        <f t="shared" si="19"/>
        <v>11.617000000000001</v>
      </c>
      <c r="AB22" s="197">
        <f>'Energy Inputs'!$F$58*$AB$8</f>
        <v>108</v>
      </c>
      <c r="AC22" s="197">
        <f t="shared" si="20"/>
        <v>1254.6360000000002</v>
      </c>
      <c r="AD22" s="197">
        <f>'Margins summary'!$U$14</f>
        <v>175.95</v>
      </c>
      <c r="AE22" s="197">
        <f t="shared" si="21"/>
        <v>1430.5860000000002</v>
      </c>
      <c r="AF22" s="197"/>
      <c r="AG22" s="918">
        <f>'Energy NPV'!U75</f>
        <v>309.57878399999998</v>
      </c>
      <c r="AH22" s="197"/>
      <c r="AI22" s="197">
        <f t="shared" si="22"/>
        <v>309.57878399999998</v>
      </c>
      <c r="AJ22" s="197">
        <f t="shared" si="2"/>
        <v>945.05721600000015</v>
      </c>
      <c r="AK22" s="197">
        <f t="shared" si="3"/>
        <v>1121.0072160000002</v>
      </c>
      <c r="AL22" s="196">
        <f t="shared" si="23"/>
        <v>847.58712651892472</v>
      </c>
      <c r="AM22" s="197">
        <f t="shared" si="24"/>
        <v>118.86551550489925</v>
      </c>
      <c r="AN22" s="197">
        <f t="shared" si="25"/>
        <v>209.1403338990614</v>
      </c>
      <c r="AO22" s="197">
        <f t="shared" si="26"/>
        <v>638.44679261986323</v>
      </c>
      <c r="AP22" s="199">
        <f t="shared" si="27"/>
        <v>757.31230812476258</v>
      </c>
      <c r="AQ22" s="196">
        <f t="shared" si="73"/>
        <v>9980.7575470860484</v>
      </c>
      <c r="AR22" s="197">
        <f t="shared" si="28"/>
        <v>1603.0621123775172</v>
      </c>
      <c r="AS22" s="197">
        <f t="shared" si="29"/>
        <v>8704.4324406654723</v>
      </c>
      <c r="AT22" s="197">
        <f t="shared" si="30"/>
        <v>1276.3251064205738</v>
      </c>
      <c r="AU22" s="199">
        <f t="shared" si="31"/>
        <v>2879.3872187980905</v>
      </c>
      <c r="AV22" s="197"/>
      <c r="AX22" s="900">
        <v>11</v>
      </c>
      <c r="AY22" s="197">
        <f t="shared" si="32"/>
        <v>11.617000000000001</v>
      </c>
      <c r="AZ22" s="197">
        <f>'Energy Inputs'!$F$58*$AZ$8</f>
        <v>36</v>
      </c>
      <c r="BA22" s="197">
        <f t="shared" si="33"/>
        <v>418.21200000000005</v>
      </c>
      <c r="BB22" s="197">
        <f>'Margins summary'!$U$14</f>
        <v>175.95</v>
      </c>
      <c r="BC22" s="197">
        <f t="shared" si="34"/>
        <v>594.16200000000003</v>
      </c>
      <c r="BD22" s="197"/>
      <c r="BE22" s="918">
        <f>'Energy NPV'!U75</f>
        <v>309.57878399999998</v>
      </c>
      <c r="BF22" s="197"/>
      <c r="BG22" s="197">
        <f t="shared" si="35"/>
        <v>309.57878399999998</v>
      </c>
      <c r="BH22" s="197">
        <f t="shared" si="4"/>
        <v>108.63321600000006</v>
      </c>
      <c r="BI22" s="197">
        <f t="shared" si="5"/>
        <v>284.58321600000005</v>
      </c>
      <c r="BJ22" s="196">
        <f t="shared" si="36"/>
        <v>282.52904217297487</v>
      </c>
      <c r="BK22" s="197">
        <f t="shared" si="37"/>
        <v>118.86551550489925</v>
      </c>
      <c r="BL22" s="197">
        <f t="shared" si="38"/>
        <v>209.1403338990614</v>
      </c>
      <c r="BM22" s="197">
        <f t="shared" si="39"/>
        <v>73.38870827391348</v>
      </c>
      <c r="BN22" s="199">
        <f t="shared" si="40"/>
        <v>192.25422377881273</v>
      </c>
      <c r="BO22" s="196">
        <f t="shared" si="74"/>
        <v>3326.9191823620149</v>
      </c>
      <c r="BP22" s="197">
        <f t="shared" si="41"/>
        <v>1603.0621123775172</v>
      </c>
      <c r="BQ22" s="197">
        <f t="shared" si="42"/>
        <v>8704.4324406654723</v>
      </c>
      <c r="BR22" s="197">
        <f t="shared" si="43"/>
        <v>-5377.5132583034574</v>
      </c>
      <c r="BS22" s="199">
        <f t="shared" si="44"/>
        <v>-3774.4511459259402</v>
      </c>
      <c r="BT22" s="197"/>
      <c r="BV22" s="900">
        <v>11</v>
      </c>
      <c r="BW22" s="197">
        <f t="shared" si="45"/>
        <v>11.617000000000001</v>
      </c>
      <c r="BX22" s="197">
        <f>'Energy Inputs'!$F$58*$BX$8</f>
        <v>144</v>
      </c>
      <c r="BY22" s="197">
        <f t="shared" si="46"/>
        <v>1672.8480000000002</v>
      </c>
      <c r="BZ22" s="197">
        <f>'Margins summary'!$U$14</f>
        <v>175.95</v>
      </c>
      <c r="CA22" s="197">
        <f t="shared" si="47"/>
        <v>1848.7980000000002</v>
      </c>
      <c r="CB22" s="197"/>
      <c r="CC22" s="918">
        <f>'Energy NPV'!U75</f>
        <v>309.57878399999998</v>
      </c>
      <c r="CD22" s="197"/>
      <c r="CE22" s="197">
        <f t="shared" si="48"/>
        <v>309.57878399999998</v>
      </c>
      <c r="CF22" s="197">
        <f t="shared" si="6"/>
        <v>1363.2692160000001</v>
      </c>
      <c r="CG22" s="197">
        <f t="shared" si="7"/>
        <v>1539.2192160000002</v>
      </c>
      <c r="CH22" s="196">
        <f t="shared" si="49"/>
        <v>1130.1161686918995</v>
      </c>
      <c r="CI22" s="197">
        <f t="shared" si="50"/>
        <v>118.86551550489925</v>
      </c>
      <c r="CJ22" s="197">
        <f t="shared" si="51"/>
        <v>209.1403338990614</v>
      </c>
      <c r="CK22" s="197">
        <f t="shared" si="52"/>
        <v>920.9758347928381</v>
      </c>
      <c r="CL22" s="199">
        <f t="shared" si="53"/>
        <v>1039.8413502977373</v>
      </c>
      <c r="CM22" s="196">
        <f t="shared" si="75"/>
        <v>13307.67672944806</v>
      </c>
      <c r="CN22" s="197">
        <f t="shared" si="54"/>
        <v>1603.0621123775172</v>
      </c>
      <c r="CO22" s="197">
        <f t="shared" si="55"/>
        <v>8704.4324406654723</v>
      </c>
      <c r="CP22" s="197">
        <f t="shared" si="56"/>
        <v>4603.2442887825882</v>
      </c>
      <c r="CQ22" s="199">
        <f t="shared" si="57"/>
        <v>6206.3064011601045</v>
      </c>
      <c r="CR22" s="197"/>
      <c r="CT22" s="204">
        <f t="shared" si="76"/>
        <v>11</v>
      </c>
      <c r="CU22" s="197">
        <f t="shared" si="58"/>
        <v>11.617000000000001</v>
      </c>
      <c r="CV22" s="197">
        <f>'Energy Inputs'!$F$58*$CV$8</f>
        <v>0</v>
      </c>
      <c r="CW22" s="197">
        <f t="shared" si="59"/>
        <v>0</v>
      </c>
      <c r="CX22" s="197">
        <f>'Margins summary'!$U$14</f>
        <v>175.95</v>
      </c>
      <c r="CY22" s="197">
        <f t="shared" si="60"/>
        <v>175.95</v>
      </c>
      <c r="CZ22" s="197"/>
      <c r="DA22" s="918">
        <f>'Energy NPV'!U75</f>
        <v>309.57878399999998</v>
      </c>
      <c r="DB22" s="197"/>
      <c r="DC22" s="197">
        <f t="shared" si="61"/>
        <v>309.57878399999998</v>
      </c>
      <c r="DD22" s="197">
        <f t="shared" si="8"/>
        <v>-309.57878399999998</v>
      </c>
      <c r="DE22" s="197">
        <f t="shared" si="9"/>
        <v>-133.628784</v>
      </c>
      <c r="DF22" s="196">
        <f t="shared" si="62"/>
        <v>0</v>
      </c>
      <c r="DG22" s="197">
        <f t="shared" si="63"/>
        <v>118.86551550489925</v>
      </c>
      <c r="DH22" s="197">
        <f t="shared" si="64"/>
        <v>209.1403338990614</v>
      </c>
      <c r="DI22" s="197">
        <f t="shared" si="65"/>
        <v>-209.1403338990614</v>
      </c>
      <c r="DJ22" s="199">
        <f t="shared" si="66"/>
        <v>-90.274818394162168</v>
      </c>
      <c r="DK22" s="196">
        <f t="shared" si="77"/>
        <v>0</v>
      </c>
      <c r="DL22" s="197">
        <f t="shared" si="67"/>
        <v>1603.0621123775172</v>
      </c>
      <c r="DM22" s="197">
        <f t="shared" si="68"/>
        <v>8704.4324406654723</v>
      </c>
      <c r="DN22" s="197">
        <f t="shared" si="69"/>
        <v>-8704.4324406654723</v>
      </c>
      <c r="DO22" s="199">
        <f t="shared" si="70"/>
        <v>-7101.3703282879551</v>
      </c>
    </row>
    <row r="23" spans="2:119" x14ac:dyDescent="0.3">
      <c r="B23" s="204">
        <f t="shared" si="71"/>
        <v>12</v>
      </c>
      <c r="C23" s="197">
        <f>'Energy NPV'!$D76</f>
        <v>11.617000000000001</v>
      </c>
      <c r="D23" s="197">
        <f>'Energy Inputs'!$F$58*$E$8</f>
        <v>72</v>
      </c>
      <c r="E23" s="197">
        <f t="shared" si="10"/>
        <v>836.42400000000009</v>
      </c>
      <c r="F23" s="197">
        <f>'Margins summary'!$U$14</f>
        <v>175.95</v>
      </c>
      <c r="G23" s="197">
        <f t="shared" si="11"/>
        <v>1012.374</v>
      </c>
      <c r="H23" s="197"/>
      <c r="I23" s="918">
        <f>'Energy NPV'!U76</f>
        <v>309.57878399999998</v>
      </c>
      <c r="J23" s="197"/>
      <c r="K23" s="197">
        <f t="shared" si="12"/>
        <v>309.57878399999998</v>
      </c>
      <c r="L23" s="197">
        <f t="shared" si="0"/>
        <v>526.84521600000016</v>
      </c>
      <c r="M23" s="197">
        <f t="shared" si="1"/>
        <v>702.79521599999998</v>
      </c>
      <c r="N23" s="196">
        <f t="shared" si="13"/>
        <v>543.32508110187484</v>
      </c>
      <c r="O23" s="197">
        <f t="shared" si="14"/>
        <v>114.29376490855698</v>
      </c>
      <c r="P23" s="197">
        <f t="shared" si="15"/>
        <v>201.09647490294367</v>
      </c>
      <c r="Q23" s="197">
        <f t="shared" si="16"/>
        <v>342.22860619893117</v>
      </c>
      <c r="R23" s="199">
        <f t="shared" si="17"/>
        <v>456.52237110748808</v>
      </c>
      <c r="S23" s="196">
        <f t="shared" si="72"/>
        <v>7197.163445825905</v>
      </c>
      <c r="T23" s="197">
        <f t="shared" si="18"/>
        <v>1717.3558772860742</v>
      </c>
      <c r="U23" s="197">
        <f t="shared" si="18"/>
        <v>8905.5289155684168</v>
      </c>
      <c r="V23" s="197">
        <f t="shared" si="18"/>
        <v>-1708.3654697425127</v>
      </c>
      <c r="W23" s="199">
        <f t="shared" si="18"/>
        <v>8.9904075435620712</v>
      </c>
      <c r="X23" s="197"/>
      <c r="Z23" s="900">
        <v>12</v>
      </c>
      <c r="AA23" s="197">
        <f t="shared" si="19"/>
        <v>11.617000000000001</v>
      </c>
      <c r="AB23" s="197">
        <f>'Energy Inputs'!$F$58*$AB$8</f>
        <v>108</v>
      </c>
      <c r="AC23" s="197">
        <f t="shared" si="20"/>
        <v>1254.6360000000002</v>
      </c>
      <c r="AD23" s="197">
        <f>'Margins summary'!$U$14</f>
        <v>175.95</v>
      </c>
      <c r="AE23" s="197">
        <f t="shared" si="21"/>
        <v>1430.5860000000002</v>
      </c>
      <c r="AF23" s="197"/>
      <c r="AG23" s="918">
        <f>'Energy NPV'!U76</f>
        <v>309.57878399999998</v>
      </c>
      <c r="AH23" s="197"/>
      <c r="AI23" s="197">
        <f t="shared" si="22"/>
        <v>309.57878399999998</v>
      </c>
      <c r="AJ23" s="197">
        <f t="shared" si="2"/>
        <v>945.05721600000015</v>
      </c>
      <c r="AK23" s="197">
        <f t="shared" si="3"/>
        <v>1121.0072160000002</v>
      </c>
      <c r="AL23" s="196">
        <f t="shared" si="23"/>
        <v>814.98762165281232</v>
      </c>
      <c r="AM23" s="197">
        <f t="shared" si="24"/>
        <v>114.29376490855698</v>
      </c>
      <c r="AN23" s="197">
        <f t="shared" si="25"/>
        <v>201.09647490294367</v>
      </c>
      <c r="AO23" s="197">
        <f t="shared" si="26"/>
        <v>613.89114674986854</v>
      </c>
      <c r="AP23" s="199">
        <f t="shared" si="27"/>
        <v>728.18491165842556</v>
      </c>
      <c r="AQ23" s="196">
        <f t="shared" si="73"/>
        <v>10795.74516873886</v>
      </c>
      <c r="AR23" s="197">
        <f t="shared" si="28"/>
        <v>1717.3558772860742</v>
      </c>
      <c r="AS23" s="197">
        <f t="shared" si="29"/>
        <v>8905.5289155684168</v>
      </c>
      <c r="AT23" s="197">
        <f t="shared" si="30"/>
        <v>1890.2162531704423</v>
      </c>
      <c r="AU23" s="199">
        <f t="shared" si="31"/>
        <v>3607.5721304565159</v>
      </c>
      <c r="AV23" s="197"/>
      <c r="AX23" s="900">
        <v>12</v>
      </c>
      <c r="AY23" s="197">
        <f t="shared" si="32"/>
        <v>11.617000000000001</v>
      </c>
      <c r="AZ23" s="197">
        <f>'Energy Inputs'!$F$58*$AZ$8</f>
        <v>36</v>
      </c>
      <c r="BA23" s="197">
        <f t="shared" si="33"/>
        <v>418.21200000000005</v>
      </c>
      <c r="BB23" s="197">
        <f>'Margins summary'!$U$14</f>
        <v>175.95</v>
      </c>
      <c r="BC23" s="197">
        <f t="shared" si="34"/>
        <v>594.16200000000003</v>
      </c>
      <c r="BD23" s="197"/>
      <c r="BE23" s="918">
        <f>'Energy NPV'!U76</f>
        <v>309.57878399999998</v>
      </c>
      <c r="BF23" s="197"/>
      <c r="BG23" s="197">
        <f t="shared" si="35"/>
        <v>309.57878399999998</v>
      </c>
      <c r="BH23" s="197">
        <f t="shared" si="4"/>
        <v>108.63321600000006</v>
      </c>
      <c r="BI23" s="197">
        <f t="shared" si="5"/>
        <v>284.58321600000005</v>
      </c>
      <c r="BJ23" s="196">
        <f t="shared" si="36"/>
        <v>271.66254055093742</v>
      </c>
      <c r="BK23" s="197">
        <f t="shared" si="37"/>
        <v>114.29376490855698</v>
      </c>
      <c r="BL23" s="197">
        <f t="shared" si="38"/>
        <v>201.09647490294367</v>
      </c>
      <c r="BM23" s="197">
        <f t="shared" si="39"/>
        <v>70.566065647993739</v>
      </c>
      <c r="BN23" s="199">
        <f t="shared" si="40"/>
        <v>184.85983055655072</v>
      </c>
      <c r="BO23" s="196">
        <f t="shared" si="74"/>
        <v>3598.5817229129525</v>
      </c>
      <c r="BP23" s="197">
        <f t="shared" si="41"/>
        <v>1717.3558772860742</v>
      </c>
      <c r="BQ23" s="197">
        <f t="shared" si="42"/>
        <v>8905.5289155684168</v>
      </c>
      <c r="BR23" s="197">
        <f t="shared" si="43"/>
        <v>-5306.9471926554634</v>
      </c>
      <c r="BS23" s="199">
        <f t="shared" si="44"/>
        <v>-3589.5913153693896</v>
      </c>
      <c r="BT23" s="197"/>
      <c r="BV23" s="900">
        <v>12</v>
      </c>
      <c r="BW23" s="197">
        <f t="shared" si="45"/>
        <v>11.617000000000001</v>
      </c>
      <c r="BX23" s="197">
        <f>'Energy Inputs'!$F$58*$BX$8</f>
        <v>144</v>
      </c>
      <c r="BY23" s="197">
        <f t="shared" si="46"/>
        <v>1672.8480000000002</v>
      </c>
      <c r="BZ23" s="197">
        <f>'Margins summary'!$U$14</f>
        <v>175.95</v>
      </c>
      <c r="CA23" s="197">
        <f t="shared" si="47"/>
        <v>1848.7980000000002</v>
      </c>
      <c r="CB23" s="197"/>
      <c r="CC23" s="918">
        <f>'Energy NPV'!U76</f>
        <v>309.57878399999998</v>
      </c>
      <c r="CD23" s="197"/>
      <c r="CE23" s="197">
        <f t="shared" si="48"/>
        <v>309.57878399999998</v>
      </c>
      <c r="CF23" s="197">
        <f t="shared" si="6"/>
        <v>1363.2692160000001</v>
      </c>
      <c r="CG23" s="197">
        <f t="shared" si="7"/>
        <v>1539.2192160000002</v>
      </c>
      <c r="CH23" s="196">
        <f t="shared" si="49"/>
        <v>1086.6501622037497</v>
      </c>
      <c r="CI23" s="197">
        <f t="shared" si="50"/>
        <v>114.29376490855698</v>
      </c>
      <c r="CJ23" s="197">
        <f t="shared" si="51"/>
        <v>201.09647490294367</v>
      </c>
      <c r="CK23" s="197">
        <f t="shared" si="52"/>
        <v>885.55368730080602</v>
      </c>
      <c r="CL23" s="199">
        <f t="shared" si="53"/>
        <v>999.84745220936293</v>
      </c>
      <c r="CM23" s="196">
        <f t="shared" si="75"/>
        <v>14394.32689165181</v>
      </c>
      <c r="CN23" s="197">
        <f t="shared" si="54"/>
        <v>1717.3558772860742</v>
      </c>
      <c r="CO23" s="197">
        <f t="shared" si="55"/>
        <v>8905.5289155684168</v>
      </c>
      <c r="CP23" s="197">
        <f t="shared" si="56"/>
        <v>5488.7979760833941</v>
      </c>
      <c r="CQ23" s="199">
        <f t="shared" si="57"/>
        <v>7206.1538533694675</v>
      </c>
      <c r="CR23" s="197"/>
      <c r="CT23" s="204">
        <f t="shared" si="76"/>
        <v>12</v>
      </c>
      <c r="CU23" s="197">
        <f t="shared" si="58"/>
        <v>11.617000000000001</v>
      </c>
      <c r="CV23" s="197">
        <f>'Energy Inputs'!$F$58*$CV$8</f>
        <v>0</v>
      </c>
      <c r="CW23" s="197">
        <f t="shared" si="59"/>
        <v>0</v>
      </c>
      <c r="CX23" s="197">
        <f>'Margins summary'!$U$14</f>
        <v>175.95</v>
      </c>
      <c r="CY23" s="197">
        <f t="shared" si="60"/>
        <v>175.95</v>
      </c>
      <c r="CZ23" s="197"/>
      <c r="DA23" s="918">
        <f>'Energy NPV'!U76</f>
        <v>309.57878399999998</v>
      </c>
      <c r="DB23" s="197"/>
      <c r="DC23" s="197">
        <f t="shared" si="61"/>
        <v>309.57878399999998</v>
      </c>
      <c r="DD23" s="197">
        <f t="shared" si="8"/>
        <v>-309.57878399999998</v>
      </c>
      <c r="DE23" s="197">
        <f t="shared" si="9"/>
        <v>-133.628784</v>
      </c>
      <c r="DF23" s="196">
        <f t="shared" si="62"/>
        <v>0</v>
      </c>
      <c r="DG23" s="197">
        <f t="shared" si="63"/>
        <v>114.29376490855698</v>
      </c>
      <c r="DH23" s="197">
        <f t="shared" si="64"/>
        <v>201.09647490294367</v>
      </c>
      <c r="DI23" s="197">
        <f t="shared" si="65"/>
        <v>-201.09647490294367</v>
      </c>
      <c r="DJ23" s="199">
        <f t="shared" si="66"/>
        <v>-86.802709994386703</v>
      </c>
      <c r="DK23" s="196">
        <f t="shared" si="77"/>
        <v>0</v>
      </c>
      <c r="DL23" s="197">
        <f t="shared" si="67"/>
        <v>1717.3558772860742</v>
      </c>
      <c r="DM23" s="197">
        <f t="shared" si="68"/>
        <v>8905.5289155684168</v>
      </c>
      <c r="DN23" s="197">
        <f t="shared" si="69"/>
        <v>-8905.5289155684168</v>
      </c>
      <c r="DO23" s="199">
        <f t="shared" si="70"/>
        <v>-7188.1730382823416</v>
      </c>
    </row>
    <row r="24" spans="2:119" x14ac:dyDescent="0.3">
      <c r="B24" s="204">
        <f t="shared" si="71"/>
        <v>13</v>
      </c>
      <c r="C24" s="197">
        <f>'Energy NPV'!$D77</f>
        <v>11.617000000000001</v>
      </c>
      <c r="D24" s="197">
        <f>'Energy Inputs'!$F$58*$E$8</f>
        <v>72</v>
      </c>
      <c r="E24" s="197">
        <f t="shared" si="10"/>
        <v>836.42400000000009</v>
      </c>
      <c r="F24" s="197">
        <f>'Margins summary'!$U$14</f>
        <v>175.95</v>
      </c>
      <c r="G24" s="197">
        <f t="shared" si="11"/>
        <v>1012.374</v>
      </c>
      <c r="H24" s="197"/>
      <c r="I24" s="918">
        <f>'Energy NPV'!U77</f>
        <v>309.57878399999998</v>
      </c>
      <c r="J24" s="197"/>
      <c r="K24" s="197">
        <f t="shared" si="12"/>
        <v>309.57878399999998</v>
      </c>
      <c r="L24" s="197">
        <f t="shared" si="0"/>
        <v>526.84521600000016</v>
      </c>
      <c r="M24" s="197">
        <f t="shared" si="1"/>
        <v>702.79521599999998</v>
      </c>
      <c r="N24" s="196">
        <f t="shared" si="13"/>
        <v>522.42796259795648</v>
      </c>
      <c r="O24" s="197">
        <f t="shared" si="14"/>
        <v>109.89785087361246</v>
      </c>
      <c r="P24" s="197">
        <f t="shared" si="15"/>
        <v>193.36199509898427</v>
      </c>
      <c r="Q24" s="197">
        <f t="shared" si="16"/>
        <v>329.06596749897221</v>
      </c>
      <c r="R24" s="199">
        <f t="shared" si="17"/>
        <v>438.96381837258457</v>
      </c>
      <c r="S24" s="196">
        <f t="shared" si="72"/>
        <v>7719.5914084238611</v>
      </c>
      <c r="T24" s="197">
        <f t="shared" si="18"/>
        <v>1827.2537281596867</v>
      </c>
      <c r="U24" s="197">
        <f t="shared" si="18"/>
        <v>9098.8909106674018</v>
      </c>
      <c r="V24" s="197">
        <f t="shared" si="18"/>
        <v>-1379.2995022435405</v>
      </c>
      <c r="W24" s="199">
        <f t="shared" si="18"/>
        <v>447.95422591614664</v>
      </c>
      <c r="X24" s="197"/>
      <c r="Z24" s="900">
        <v>13</v>
      </c>
      <c r="AA24" s="197">
        <f t="shared" si="19"/>
        <v>11.617000000000001</v>
      </c>
      <c r="AB24" s="197">
        <f>'Energy Inputs'!$F$58*$AB$8</f>
        <v>108</v>
      </c>
      <c r="AC24" s="197">
        <f t="shared" si="20"/>
        <v>1254.6360000000002</v>
      </c>
      <c r="AD24" s="197">
        <f>'Margins summary'!$U$14</f>
        <v>175.95</v>
      </c>
      <c r="AE24" s="197">
        <f t="shared" si="21"/>
        <v>1430.5860000000002</v>
      </c>
      <c r="AF24" s="197"/>
      <c r="AG24" s="918">
        <f>'Energy NPV'!U77</f>
        <v>309.57878399999998</v>
      </c>
      <c r="AH24" s="197"/>
      <c r="AI24" s="197">
        <f t="shared" si="22"/>
        <v>309.57878399999998</v>
      </c>
      <c r="AJ24" s="197">
        <f t="shared" si="2"/>
        <v>945.05721600000015</v>
      </c>
      <c r="AK24" s="197">
        <f t="shared" si="3"/>
        <v>1121.0072160000002</v>
      </c>
      <c r="AL24" s="196">
        <f t="shared" si="23"/>
        <v>783.64194389693478</v>
      </c>
      <c r="AM24" s="197">
        <f t="shared" si="24"/>
        <v>109.89785087361246</v>
      </c>
      <c r="AN24" s="197">
        <f t="shared" si="25"/>
        <v>193.36199509898427</v>
      </c>
      <c r="AO24" s="197">
        <f t="shared" si="26"/>
        <v>590.2799487979504</v>
      </c>
      <c r="AP24" s="199">
        <f t="shared" si="27"/>
        <v>700.17779967156287</v>
      </c>
      <c r="AQ24" s="196">
        <f t="shared" si="73"/>
        <v>11579.387112635795</v>
      </c>
      <c r="AR24" s="197">
        <f t="shared" si="28"/>
        <v>1827.2537281596867</v>
      </c>
      <c r="AS24" s="197">
        <f t="shared" si="29"/>
        <v>9098.8909106674018</v>
      </c>
      <c r="AT24" s="197">
        <f t="shared" si="30"/>
        <v>2480.4962019683926</v>
      </c>
      <c r="AU24" s="199">
        <f t="shared" si="31"/>
        <v>4307.7499301280786</v>
      </c>
      <c r="AV24" s="197"/>
      <c r="AX24" s="900">
        <v>13</v>
      </c>
      <c r="AY24" s="197">
        <f t="shared" si="32"/>
        <v>11.617000000000001</v>
      </c>
      <c r="AZ24" s="197">
        <f>'Energy Inputs'!$F$58*$AZ$8</f>
        <v>36</v>
      </c>
      <c r="BA24" s="197">
        <f t="shared" si="33"/>
        <v>418.21200000000005</v>
      </c>
      <c r="BB24" s="197">
        <f>'Margins summary'!$U$14</f>
        <v>175.95</v>
      </c>
      <c r="BC24" s="197">
        <f t="shared" si="34"/>
        <v>594.16200000000003</v>
      </c>
      <c r="BD24" s="197"/>
      <c r="BE24" s="918">
        <f>'Energy NPV'!U77</f>
        <v>309.57878399999998</v>
      </c>
      <c r="BF24" s="197"/>
      <c r="BG24" s="197">
        <f t="shared" si="35"/>
        <v>309.57878399999998</v>
      </c>
      <c r="BH24" s="197">
        <f t="shared" si="4"/>
        <v>108.63321600000006</v>
      </c>
      <c r="BI24" s="197">
        <f t="shared" si="5"/>
        <v>284.58321600000005</v>
      </c>
      <c r="BJ24" s="196">
        <f t="shared" si="36"/>
        <v>261.21398129897824</v>
      </c>
      <c r="BK24" s="197">
        <f t="shared" si="37"/>
        <v>109.89785087361246</v>
      </c>
      <c r="BL24" s="197">
        <f t="shared" si="38"/>
        <v>193.36199509898427</v>
      </c>
      <c r="BM24" s="197">
        <f t="shared" si="39"/>
        <v>67.851986199993959</v>
      </c>
      <c r="BN24" s="199">
        <f t="shared" si="40"/>
        <v>177.74983707360641</v>
      </c>
      <c r="BO24" s="196">
        <f t="shared" si="74"/>
        <v>3859.7957042119306</v>
      </c>
      <c r="BP24" s="197">
        <f t="shared" si="41"/>
        <v>1827.2537281596867</v>
      </c>
      <c r="BQ24" s="197">
        <f t="shared" si="42"/>
        <v>9098.8909106674018</v>
      </c>
      <c r="BR24" s="197">
        <f t="shared" si="43"/>
        <v>-5239.0952064554695</v>
      </c>
      <c r="BS24" s="199">
        <f t="shared" si="44"/>
        <v>-3411.841478295783</v>
      </c>
      <c r="BT24" s="197"/>
      <c r="BV24" s="900">
        <v>13</v>
      </c>
      <c r="BW24" s="197">
        <f t="shared" si="45"/>
        <v>11.617000000000001</v>
      </c>
      <c r="BX24" s="197">
        <f>'Energy Inputs'!$F$58*$BX$8</f>
        <v>144</v>
      </c>
      <c r="BY24" s="197">
        <f t="shared" si="46"/>
        <v>1672.8480000000002</v>
      </c>
      <c r="BZ24" s="197">
        <f>'Margins summary'!$U$14</f>
        <v>175.95</v>
      </c>
      <c r="CA24" s="197">
        <f t="shared" si="47"/>
        <v>1848.7980000000002</v>
      </c>
      <c r="CB24" s="197"/>
      <c r="CC24" s="918">
        <f>'Energy NPV'!U77</f>
        <v>309.57878399999998</v>
      </c>
      <c r="CD24" s="197"/>
      <c r="CE24" s="197">
        <f t="shared" si="48"/>
        <v>309.57878399999998</v>
      </c>
      <c r="CF24" s="197">
        <f t="shared" si="6"/>
        <v>1363.2692160000001</v>
      </c>
      <c r="CG24" s="197">
        <f t="shared" si="7"/>
        <v>1539.2192160000002</v>
      </c>
      <c r="CH24" s="196">
        <f t="shared" si="49"/>
        <v>1044.855925195913</v>
      </c>
      <c r="CI24" s="197">
        <f t="shared" si="50"/>
        <v>109.89785087361246</v>
      </c>
      <c r="CJ24" s="197">
        <f t="shared" si="51"/>
        <v>193.36199509898427</v>
      </c>
      <c r="CK24" s="197">
        <f t="shared" si="52"/>
        <v>851.49393009692858</v>
      </c>
      <c r="CL24" s="199">
        <f t="shared" si="53"/>
        <v>961.39178097054116</v>
      </c>
      <c r="CM24" s="196">
        <f t="shared" si="75"/>
        <v>15439.182816847722</v>
      </c>
      <c r="CN24" s="197">
        <f t="shared" si="54"/>
        <v>1827.2537281596867</v>
      </c>
      <c r="CO24" s="197">
        <f t="shared" si="55"/>
        <v>9098.8909106674018</v>
      </c>
      <c r="CP24" s="197">
        <f t="shared" si="56"/>
        <v>6340.2919061803223</v>
      </c>
      <c r="CQ24" s="199">
        <f t="shared" si="57"/>
        <v>8167.5456343400083</v>
      </c>
      <c r="CR24" s="197"/>
      <c r="CT24" s="204">
        <f t="shared" si="76"/>
        <v>13</v>
      </c>
      <c r="CU24" s="197">
        <f t="shared" si="58"/>
        <v>11.617000000000001</v>
      </c>
      <c r="CV24" s="197">
        <f>'Energy Inputs'!$F$58*$CV$8</f>
        <v>0</v>
      </c>
      <c r="CW24" s="197">
        <f t="shared" si="59"/>
        <v>0</v>
      </c>
      <c r="CX24" s="197">
        <f>'Margins summary'!$U$14</f>
        <v>175.95</v>
      </c>
      <c r="CY24" s="197">
        <f t="shared" si="60"/>
        <v>175.95</v>
      </c>
      <c r="CZ24" s="197"/>
      <c r="DA24" s="918">
        <f>'Energy NPV'!U77</f>
        <v>309.57878399999998</v>
      </c>
      <c r="DB24" s="197"/>
      <c r="DC24" s="197">
        <f t="shared" si="61"/>
        <v>309.57878399999998</v>
      </c>
      <c r="DD24" s="197">
        <f t="shared" si="8"/>
        <v>-309.57878399999998</v>
      </c>
      <c r="DE24" s="197">
        <f t="shared" si="9"/>
        <v>-133.628784</v>
      </c>
      <c r="DF24" s="196">
        <f t="shared" si="62"/>
        <v>0</v>
      </c>
      <c r="DG24" s="197">
        <f t="shared" si="63"/>
        <v>109.89785087361246</v>
      </c>
      <c r="DH24" s="197">
        <f t="shared" si="64"/>
        <v>193.36199509898427</v>
      </c>
      <c r="DI24" s="197">
        <f t="shared" si="65"/>
        <v>-193.36199509898427</v>
      </c>
      <c r="DJ24" s="199">
        <f t="shared" si="66"/>
        <v>-83.464144225371811</v>
      </c>
      <c r="DK24" s="196">
        <f t="shared" si="77"/>
        <v>0</v>
      </c>
      <c r="DL24" s="197">
        <f t="shared" si="67"/>
        <v>1827.2537281596867</v>
      </c>
      <c r="DM24" s="197">
        <f t="shared" si="68"/>
        <v>9098.8909106674018</v>
      </c>
      <c r="DN24" s="197">
        <f t="shared" si="69"/>
        <v>-9098.8909106674018</v>
      </c>
      <c r="DO24" s="199">
        <f t="shared" si="70"/>
        <v>-7271.6371825077131</v>
      </c>
    </row>
    <row r="25" spans="2:119" x14ac:dyDescent="0.3">
      <c r="B25" s="204">
        <f t="shared" si="71"/>
        <v>14</v>
      </c>
      <c r="C25" s="197">
        <f>'Energy NPV'!$D78</f>
        <v>11.617000000000001</v>
      </c>
      <c r="D25" s="197">
        <f>'Energy Inputs'!$F$58*$E$8</f>
        <v>72</v>
      </c>
      <c r="E25" s="197">
        <f t="shared" si="10"/>
        <v>836.42400000000009</v>
      </c>
      <c r="F25" s="197">
        <f>'Margins summary'!$U$14</f>
        <v>175.95</v>
      </c>
      <c r="G25" s="197">
        <f t="shared" si="11"/>
        <v>1012.374</v>
      </c>
      <c r="H25" s="197"/>
      <c r="I25" s="918">
        <f>'Energy NPV'!U78</f>
        <v>309.57878399999998</v>
      </c>
      <c r="J25" s="197"/>
      <c r="K25" s="197">
        <f t="shared" si="12"/>
        <v>309.57878399999998</v>
      </c>
      <c r="L25" s="197">
        <f t="shared" si="0"/>
        <v>526.84521600000016</v>
      </c>
      <c r="M25" s="197">
        <f t="shared" si="1"/>
        <v>702.79521599999998</v>
      </c>
      <c r="N25" s="196">
        <f t="shared" si="13"/>
        <v>502.33457942111198</v>
      </c>
      <c r="O25" s="197">
        <f t="shared" si="14"/>
        <v>105.67101045539658</v>
      </c>
      <c r="P25" s="197">
        <f t="shared" si="15"/>
        <v>185.92499528748488</v>
      </c>
      <c r="Q25" s="197">
        <f t="shared" si="16"/>
        <v>316.40958413362716</v>
      </c>
      <c r="R25" s="199">
        <f t="shared" si="17"/>
        <v>422.08059458902363</v>
      </c>
      <c r="S25" s="196">
        <f t="shared" si="72"/>
        <v>8221.9259878449739</v>
      </c>
      <c r="T25" s="197">
        <f t="shared" si="18"/>
        <v>1932.9247386150832</v>
      </c>
      <c r="U25" s="197">
        <f t="shared" si="18"/>
        <v>9284.8159059548871</v>
      </c>
      <c r="V25" s="197">
        <f t="shared" si="18"/>
        <v>-1062.8899181099132</v>
      </c>
      <c r="W25" s="199">
        <f t="shared" si="18"/>
        <v>870.03482050517027</v>
      </c>
      <c r="X25" s="197"/>
      <c r="Z25" s="900">
        <v>14</v>
      </c>
      <c r="AA25" s="197">
        <f t="shared" si="19"/>
        <v>11.617000000000001</v>
      </c>
      <c r="AB25" s="197">
        <f>'Energy Inputs'!$F$58*$AB$8</f>
        <v>108</v>
      </c>
      <c r="AC25" s="197">
        <f t="shared" si="20"/>
        <v>1254.6360000000002</v>
      </c>
      <c r="AD25" s="197">
        <f>'Margins summary'!$U$14</f>
        <v>175.95</v>
      </c>
      <c r="AE25" s="197">
        <f t="shared" si="21"/>
        <v>1430.5860000000002</v>
      </c>
      <c r="AF25" s="197"/>
      <c r="AG25" s="918">
        <f>'Energy NPV'!U78</f>
        <v>309.57878399999998</v>
      </c>
      <c r="AH25" s="197"/>
      <c r="AI25" s="197">
        <f t="shared" si="22"/>
        <v>309.57878399999998</v>
      </c>
      <c r="AJ25" s="197">
        <f t="shared" si="2"/>
        <v>945.05721600000015</v>
      </c>
      <c r="AK25" s="197">
        <f t="shared" si="3"/>
        <v>1121.0072160000002</v>
      </c>
      <c r="AL25" s="196">
        <f t="shared" si="23"/>
        <v>753.50186913166795</v>
      </c>
      <c r="AM25" s="197">
        <f t="shared" si="24"/>
        <v>105.67101045539658</v>
      </c>
      <c r="AN25" s="197">
        <f t="shared" si="25"/>
        <v>185.92499528748488</v>
      </c>
      <c r="AO25" s="197">
        <f t="shared" si="26"/>
        <v>567.57687384418307</v>
      </c>
      <c r="AP25" s="199">
        <f t="shared" si="27"/>
        <v>673.24788429957971</v>
      </c>
      <c r="AQ25" s="196">
        <f t="shared" si="73"/>
        <v>12332.888981767463</v>
      </c>
      <c r="AR25" s="197">
        <f t="shared" si="28"/>
        <v>1932.9247386150832</v>
      </c>
      <c r="AS25" s="197">
        <f t="shared" si="29"/>
        <v>9284.8159059548871</v>
      </c>
      <c r="AT25" s="197">
        <f t="shared" si="30"/>
        <v>3048.0730758125756</v>
      </c>
      <c r="AU25" s="199">
        <f t="shared" si="31"/>
        <v>4980.9978144276583</v>
      </c>
      <c r="AV25" s="197"/>
      <c r="AX25" s="900">
        <v>14</v>
      </c>
      <c r="AY25" s="197">
        <f t="shared" si="32"/>
        <v>11.617000000000001</v>
      </c>
      <c r="AZ25" s="197">
        <f>'Energy Inputs'!$F$58*$AZ$8</f>
        <v>36</v>
      </c>
      <c r="BA25" s="197">
        <f t="shared" si="33"/>
        <v>418.21200000000005</v>
      </c>
      <c r="BB25" s="197">
        <f>'Margins summary'!$U$14</f>
        <v>175.95</v>
      </c>
      <c r="BC25" s="197">
        <f t="shared" si="34"/>
        <v>594.16200000000003</v>
      </c>
      <c r="BD25" s="197"/>
      <c r="BE25" s="918">
        <f>'Energy NPV'!U78</f>
        <v>309.57878399999998</v>
      </c>
      <c r="BF25" s="197"/>
      <c r="BG25" s="197">
        <f t="shared" si="35"/>
        <v>309.57878399999998</v>
      </c>
      <c r="BH25" s="197">
        <f t="shared" si="4"/>
        <v>108.63321600000006</v>
      </c>
      <c r="BI25" s="197">
        <f t="shared" si="5"/>
        <v>284.58321600000005</v>
      </c>
      <c r="BJ25" s="196">
        <f t="shared" si="36"/>
        <v>251.16728971055599</v>
      </c>
      <c r="BK25" s="197">
        <f t="shared" si="37"/>
        <v>105.67101045539658</v>
      </c>
      <c r="BL25" s="197">
        <f t="shared" si="38"/>
        <v>185.92499528748488</v>
      </c>
      <c r="BM25" s="197">
        <f t="shared" si="39"/>
        <v>65.242294423071115</v>
      </c>
      <c r="BN25" s="199">
        <f t="shared" si="40"/>
        <v>170.9133048784677</v>
      </c>
      <c r="BO25" s="196">
        <f t="shared" si="74"/>
        <v>4110.9629939224869</v>
      </c>
      <c r="BP25" s="197">
        <f t="shared" si="41"/>
        <v>1932.9247386150832</v>
      </c>
      <c r="BQ25" s="197">
        <f t="shared" si="42"/>
        <v>9284.8159059548871</v>
      </c>
      <c r="BR25" s="197">
        <f t="shared" si="43"/>
        <v>-5173.8529120323983</v>
      </c>
      <c r="BS25" s="199">
        <f t="shared" si="44"/>
        <v>-3240.9281734173151</v>
      </c>
      <c r="BT25" s="197"/>
      <c r="BV25" s="900">
        <v>14</v>
      </c>
      <c r="BW25" s="197">
        <f t="shared" si="45"/>
        <v>11.617000000000001</v>
      </c>
      <c r="BX25" s="197">
        <f>'Energy Inputs'!$F$58*$BX$8</f>
        <v>144</v>
      </c>
      <c r="BY25" s="197">
        <f t="shared" si="46"/>
        <v>1672.8480000000002</v>
      </c>
      <c r="BZ25" s="197">
        <f>'Margins summary'!$U$14</f>
        <v>175.95</v>
      </c>
      <c r="CA25" s="197">
        <f t="shared" si="47"/>
        <v>1848.7980000000002</v>
      </c>
      <c r="CB25" s="197"/>
      <c r="CC25" s="918">
        <f>'Energy NPV'!U78</f>
        <v>309.57878399999998</v>
      </c>
      <c r="CD25" s="197"/>
      <c r="CE25" s="197">
        <f t="shared" si="48"/>
        <v>309.57878399999998</v>
      </c>
      <c r="CF25" s="197">
        <f t="shared" si="6"/>
        <v>1363.2692160000001</v>
      </c>
      <c r="CG25" s="197">
        <f t="shared" si="7"/>
        <v>1539.2192160000002</v>
      </c>
      <c r="CH25" s="196">
        <f t="shared" si="49"/>
        <v>1004.669158842224</v>
      </c>
      <c r="CI25" s="197">
        <f t="shared" si="50"/>
        <v>105.67101045539658</v>
      </c>
      <c r="CJ25" s="197">
        <f t="shared" si="51"/>
        <v>185.92499528748488</v>
      </c>
      <c r="CK25" s="197">
        <f t="shared" si="52"/>
        <v>818.74416355473909</v>
      </c>
      <c r="CL25" s="199">
        <f t="shared" si="53"/>
        <v>924.41517401013562</v>
      </c>
      <c r="CM25" s="196">
        <f t="shared" si="75"/>
        <v>16443.851975689948</v>
      </c>
      <c r="CN25" s="197">
        <f t="shared" si="54"/>
        <v>1932.9247386150832</v>
      </c>
      <c r="CO25" s="197">
        <f t="shared" si="55"/>
        <v>9284.8159059548871</v>
      </c>
      <c r="CP25" s="197">
        <f t="shared" si="56"/>
        <v>7159.0360697350616</v>
      </c>
      <c r="CQ25" s="199">
        <f t="shared" si="57"/>
        <v>9091.9608083501444</v>
      </c>
      <c r="CR25" s="197"/>
      <c r="CT25" s="204">
        <f t="shared" si="76"/>
        <v>14</v>
      </c>
      <c r="CU25" s="197">
        <f t="shared" si="58"/>
        <v>11.617000000000001</v>
      </c>
      <c r="CV25" s="197">
        <f>'Energy Inputs'!$F$58*$CV$8</f>
        <v>0</v>
      </c>
      <c r="CW25" s="197">
        <f t="shared" si="59"/>
        <v>0</v>
      </c>
      <c r="CX25" s="197">
        <f>'Margins summary'!$U$14</f>
        <v>175.95</v>
      </c>
      <c r="CY25" s="197">
        <f t="shared" si="60"/>
        <v>175.95</v>
      </c>
      <c r="CZ25" s="197"/>
      <c r="DA25" s="918">
        <f>'Energy NPV'!U78</f>
        <v>309.57878399999998</v>
      </c>
      <c r="DB25" s="197"/>
      <c r="DC25" s="197">
        <f t="shared" si="61"/>
        <v>309.57878399999998</v>
      </c>
      <c r="DD25" s="197">
        <f t="shared" si="8"/>
        <v>-309.57878399999998</v>
      </c>
      <c r="DE25" s="197">
        <f t="shared" si="9"/>
        <v>-133.628784</v>
      </c>
      <c r="DF25" s="196">
        <f t="shared" si="62"/>
        <v>0</v>
      </c>
      <c r="DG25" s="197">
        <f t="shared" si="63"/>
        <v>105.67101045539658</v>
      </c>
      <c r="DH25" s="197">
        <f t="shared" si="64"/>
        <v>185.92499528748488</v>
      </c>
      <c r="DI25" s="197">
        <f t="shared" si="65"/>
        <v>-185.92499528748488</v>
      </c>
      <c r="DJ25" s="199">
        <f t="shared" si="66"/>
        <v>-80.253984832088278</v>
      </c>
      <c r="DK25" s="196">
        <f t="shared" si="77"/>
        <v>0</v>
      </c>
      <c r="DL25" s="197">
        <f t="shared" si="67"/>
        <v>1932.9247386150832</v>
      </c>
      <c r="DM25" s="197">
        <f t="shared" si="68"/>
        <v>9284.8159059548871</v>
      </c>
      <c r="DN25" s="197">
        <f t="shared" si="69"/>
        <v>-9284.8159059548871</v>
      </c>
      <c r="DO25" s="199">
        <f t="shared" si="70"/>
        <v>-7351.8911673398015</v>
      </c>
    </row>
    <row r="26" spans="2:119" x14ac:dyDescent="0.3">
      <c r="B26" s="204">
        <f t="shared" si="71"/>
        <v>15</v>
      </c>
      <c r="C26" s="197">
        <f>'Energy NPV'!$D79</f>
        <v>11.617000000000001</v>
      </c>
      <c r="D26" s="197">
        <f>'Energy Inputs'!$F$58*$E$8</f>
        <v>72</v>
      </c>
      <c r="E26" s="197">
        <f t="shared" si="10"/>
        <v>836.42400000000009</v>
      </c>
      <c r="F26" s="197">
        <f>'Margins summary'!$U$14</f>
        <v>175.95</v>
      </c>
      <c r="G26" s="197">
        <f t="shared" si="11"/>
        <v>1012.374</v>
      </c>
      <c r="H26" s="197"/>
      <c r="I26" s="918">
        <f>'Energy NPV'!U79</f>
        <v>309.57878399999998</v>
      </c>
      <c r="J26" s="197"/>
      <c r="K26" s="197">
        <f t="shared" si="12"/>
        <v>309.57878399999998</v>
      </c>
      <c r="L26" s="197">
        <f t="shared" si="0"/>
        <v>526.84521600000016</v>
      </c>
      <c r="M26" s="197">
        <f t="shared" si="1"/>
        <v>702.79521599999998</v>
      </c>
      <c r="N26" s="196">
        <f t="shared" si="13"/>
        <v>483.01401867414614</v>
      </c>
      <c r="O26" s="197">
        <f t="shared" si="14"/>
        <v>101.60674082249672</v>
      </c>
      <c r="P26" s="197">
        <f t="shared" si="15"/>
        <v>178.7740339302739</v>
      </c>
      <c r="Q26" s="197">
        <f t="shared" si="16"/>
        <v>304.23998474387224</v>
      </c>
      <c r="R26" s="199">
        <f t="shared" si="17"/>
        <v>405.84672556636889</v>
      </c>
      <c r="S26" s="196">
        <f t="shared" si="72"/>
        <v>8704.9400065191203</v>
      </c>
      <c r="T26" s="197">
        <f t="shared" si="18"/>
        <v>2034.5314794375799</v>
      </c>
      <c r="U26" s="197">
        <f t="shared" si="18"/>
        <v>9463.5899398851616</v>
      </c>
      <c r="V26" s="197">
        <f t="shared" si="18"/>
        <v>-758.64993336604095</v>
      </c>
      <c r="W26" s="199">
        <f t="shared" si="18"/>
        <v>1275.8815460715391</v>
      </c>
      <c r="X26" s="197"/>
      <c r="Z26" s="900">
        <v>15</v>
      </c>
      <c r="AA26" s="197">
        <f t="shared" si="19"/>
        <v>11.617000000000001</v>
      </c>
      <c r="AB26" s="197">
        <f>'Energy Inputs'!$F$58*$AB$8</f>
        <v>108</v>
      </c>
      <c r="AC26" s="197">
        <f t="shared" si="20"/>
        <v>1254.6360000000002</v>
      </c>
      <c r="AD26" s="197">
        <f>'Margins summary'!$U$14</f>
        <v>175.95</v>
      </c>
      <c r="AE26" s="197">
        <f t="shared" si="21"/>
        <v>1430.5860000000002</v>
      </c>
      <c r="AF26" s="197"/>
      <c r="AG26" s="918">
        <f>'Energy NPV'!U79</f>
        <v>309.57878399999998</v>
      </c>
      <c r="AH26" s="197"/>
      <c r="AI26" s="197">
        <f t="shared" si="22"/>
        <v>309.57878399999998</v>
      </c>
      <c r="AJ26" s="197">
        <f t="shared" si="2"/>
        <v>945.05721600000015</v>
      </c>
      <c r="AK26" s="197">
        <f t="shared" si="3"/>
        <v>1121.0072160000002</v>
      </c>
      <c r="AL26" s="196">
        <f t="shared" si="23"/>
        <v>724.52102801121919</v>
      </c>
      <c r="AM26" s="197">
        <f t="shared" si="24"/>
        <v>101.60674082249672</v>
      </c>
      <c r="AN26" s="197">
        <f t="shared" si="25"/>
        <v>178.7740339302739</v>
      </c>
      <c r="AO26" s="197">
        <f t="shared" si="26"/>
        <v>545.74699408094523</v>
      </c>
      <c r="AP26" s="199">
        <f t="shared" si="27"/>
        <v>647.35373490344205</v>
      </c>
      <c r="AQ26" s="196">
        <f t="shared" si="73"/>
        <v>13057.410009778681</v>
      </c>
      <c r="AR26" s="197">
        <f t="shared" si="28"/>
        <v>2034.5314794375799</v>
      </c>
      <c r="AS26" s="197">
        <f t="shared" si="29"/>
        <v>9463.5899398851616</v>
      </c>
      <c r="AT26" s="197">
        <f t="shared" si="30"/>
        <v>3593.8200698935207</v>
      </c>
      <c r="AU26" s="199">
        <f t="shared" si="31"/>
        <v>5628.3515493311006</v>
      </c>
      <c r="AV26" s="197"/>
      <c r="AX26" s="900">
        <v>15</v>
      </c>
      <c r="AY26" s="197">
        <f t="shared" si="32"/>
        <v>11.617000000000001</v>
      </c>
      <c r="AZ26" s="197">
        <f>'Energy Inputs'!$F$58*$AZ$8</f>
        <v>36</v>
      </c>
      <c r="BA26" s="197">
        <f t="shared" si="33"/>
        <v>418.21200000000005</v>
      </c>
      <c r="BB26" s="197">
        <f>'Margins summary'!$U$14</f>
        <v>175.95</v>
      </c>
      <c r="BC26" s="197">
        <f t="shared" si="34"/>
        <v>594.16200000000003</v>
      </c>
      <c r="BD26" s="197"/>
      <c r="BE26" s="918">
        <f>'Energy NPV'!U79</f>
        <v>309.57878399999998</v>
      </c>
      <c r="BF26" s="197"/>
      <c r="BG26" s="197">
        <f t="shared" si="35"/>
        <v>309.57878399999998</v>
      </c>
      <c r="BH26" s="197">
        <f t="shared" si="4"/>
        <v>108.63321600000006</v>
      </c>
      <c r="BI26" s="197">
        <f t="shared" si="5"/>
        <v>284.58321600000005</v>
      </c>
      <c r="BJ26" s="196">
        <f t="shared" si="36"/>
        <v>241.50700933707307</v>
      </c>
      <c r="BK26" s="197">
        <f t="shared" si="37"/>
        <v>101.60674082249672</v>
      </c>
      <c r="BL26" s="197">
        <f t="shared" si="38"/>
        <v>178.7740339302739</v>
      </c>
      <c r="BM26" s="197">
        <f t="shared" si="39"/>
        <v>62.732975406799149</v>
      </c>
      <c r="BN26" s="199">
        <f t="shared" si="40"/>
        <v>164.33971622929587</v>
      </c>
      <c r="BO26" s="196">
        <f t="shared" si="74"/>
        <v>4352.4700032595601</v>
      </c>
      <c r="BP26" s="197">
        <f t="shared" si="41"/>
        <v>2034.5314794375799</v>
      </c>
      <c r="BQ26" s="197">
        <f t="shared" si="42"/>
        <v>9463.5899398851616</v>
      </c>
      <c r="BR26" s="197">
        <f t="shared" si="43"/>
        <v>-5111.1199366255987</v>
      </c>
      <c r="BS26" s="199">
        <f t="shared" si="44"/>
        <v>-3076.5884571880192</v>
      </c>
      <c r="BT26" s="197"/>
      <c r="BV26" s="900">
        <v>15</v>
      </c>
      <c r="BW26" s="197">
        <f t="shared" si="45"/>
        <v>11.617000000000001</v>
      </c>
      <c r="BX26" s="197">
        <f>'Energy Inputs'!$F$58*$BX$8</f>
        <v>144</v>
      </c>
      <c r="BY26" s="197">
        <f t="shared" si="46"/>
        <v>1672.8480000000002</v>
      </c>
      <c r="BZ26" s="197">
        <f>'Margins summary'!$U$14</f>
        <v>175.95</v>
      </c>
      <c r="CA26" s="197">
        <f t="shared" si="47"/>
        <v>1848.7980000000002</v>
      </c>
      <c r="CB26" s="197"/>
      <c r="CC26" s="918">
        <f>'Energy NPV'!U79</f>
        <v>309.57878399999998</v>
      </c>
      <c r="CD26" s="197"/>
      <c r="CE26" s="197">
        <f t="shared" si="48"/>
        <v>309.57878399999998</v>
      </c>
      <c r="CF26" s="197">
        <f t="shared" si="6"/>
        <v>1363.2692160000001</v>
      </c>
      <c r="CG26" s="197">
        <f t="shared" si="7"/>
        <v>1539.2192160000002</v>
      </c>
      <c r="CH26" s="196">
        <f t="shared" si="49"/>
        <v>966.02803734829229</v>
      </c>
      <c r="CI26" s="197">
        <f t="shared" si="50"/>
        <v>101.60674082249672</v>
      </c>
      <c r="CJ26" s="197">
        <f t="shared" si="51"/>
        <v>178.7740339302739</v>
      </c>
      <c r="CK26" s="197">
        <f t="shared" si="52"/>
        <v>787.25400341801833</v>
      </c>
      <c r="CL26" s="199">
        <f t="shared" si="53"/>
        <v>888.86074424051503</v>
      </c>
      <c r="CM26" s="196">
        <f t="shared" si="75"/>
        <v>17409.880013038241</v>
      </c>
      <c r="CN26" s="197">
        <f t="shared" si="54"/>
        <v>2034.5314794375799</v>
      </c>
      <c r="CO26" s="197">
        <f t="shared" si="55"/>
        <v>9463.5899398851616</v>
      </c>
      <c r="CP26" s="197">
        <f t="shared" si="56"/>
        <v>7946.2900731530799</v>
      </c>
      <c r="CQ26" s="199">
        <f t="shared" si="57"/>
        <v>9980.8215525906598</v>
      </c>
      <c r="CR26" s="197"/>
      <c r="CT26" s="204">
        <f t="shared" si="76"/>
        <v>15</v>
      </c>
      <c r="CU26" s="197">
        <f t="shared" si="58"/>
        <v>11.617000000000001</v>
      </c>
      <c r="CV26" s="197">
        <f>'Energy Inputs'!$F$58*$CV$8</f>
        <v>0</v>
      </c>
      <c r="CW26" s="197">
        <f t="shared" si="59"/>
        <v>0</v>
      </c>
      <c r="CX26" s="197">
        <f>'Margins summary'!$U$14</f>
        <v>175.95</v>
      </c>
      <c r="CY26" s="197">
        <f t="shared" si="60"/>
        <v>175.95</v>
      </c>
      <c r="CZ26" s="197"/>
      <c r="DA26" s="918">
        <f>'Energy NPV'!U79</f>
        <v>309.57878399999998</v>
      </c>
      <c r="DB26" s="197"/>
      <c r="DC26" s="197">
        <f t="shared" si="61"/>
        <v>309.57878399999998</v>
      </c>
      <c r="DD26" s="197">
        <f t="shared" si="8"/>
        <v>-309.57878399999998</v>
      </c>
      <c r="DE26" s="197">
        <f t="shared" si="9"/>
        <v>-133.628784</v>
      </c>
      <c r="DF26" s="196">
        <f t="shared" si="62"/>
        <v>0</v>
      </c>
      <c r="DG26" s="197">
        <f t="shared" si="63"/>
        <v>101.60674082249672</v>
      </c>
      <c r="DH26" s="197">
        <f t="shared" si="64"/>
        <v>178.7740339302739</v>
      </c>
      <c r="DI26" s="197">
        <f t="shared" si="65"/>
        <v>-178.7740339302739</v>
      </c>
      <c r="DJ26" s="199">
        <f t="shared" si="66"/>
        <v>-77.167293107777198</v>
      </c>
      <c r="DK26" s="196">
        <f t="shared" si="77"/>
        <v>0</v>
      </c>
      <c r="DL26" s="197">
        <f t="shared" si="67"/>
        <v>2034.5314794375799</v>
      </c>
      <c r="DM26" s="197">
        <f t="shared" si="68"/>
        <v>9463.5899398851616</v>
      </c>
      <c r="DN26" s="197">
        <f t="shared" si="69"/>
        <v>-9463.5899398851616</v>
      </c>
      <c r="DO26" s="199">
        <f t="shared" si="70"/>
        <v>-7429.0584604475789</v>
      </c>
    </row>
    <row r="27" spans="2:119" x14ac:dyDescent="0.3">
      <c r="B27" s="206">
        <f t="shared" si="71"/>
        <v>16</v>
      </c>
      <c r="C27" s="207">
        <f>'Energy NPV'!$D80</f>
        <v>11.617000000000001</v>
      </c>
      <c r="D27" s="207">
        <f>'Energy Inputs'!$F$58*$E$8</f>
        <v>72</v>
      </c>
      <c r="E27" s="207">
        <f t="shared" si="10"/>
        <v>836.42400000000009</v>
      </c>
      <c r="F27" s="207">
        <f>'Margins summary'!$U$14</f>
        <v>175.95</v>
      </c>
      <c r="G27" s="207">
        <f t="shared" si="11"/>
        <v>1012.374</v>
      </c>
      <c r="H27" s="207"/>
      <c r="I27" s="919">
        <f>'Energy NPV'!U80</f>
        <v>196.57878399999998</v>
      </c>
      <c r="J27" s="207">
        <f>'Energy margins'!$X$67</f>
        <v>192.1</v>
      </c>
      <c r="K27" s="207">
        <f t="shared" si="12"/>
        <v>388.67878399999995</v>
      </c>
      <c r="L27" s="207">
        <f t="shared" si="0"/>
        <v>447.74521600000014</v>
      </c>
      <c r="M27" s="207">
        <f t="shared" si="1"/>
        <v>623.69521600000007</v>
      </c>
      <c r="N27" s="208">
        <f t="shared" si="13"/>
        <v>464.43655641744823</v>
      </c>
      <c r="O27" s="207">
        <f t="shared" si="14"/>
        <v>97.698789252400701</v>
      </c>
      <c r="P27" s="207">
        <f t="shared" si="15"/>
        <v>215.81953171296033</v>
      </c>
      <c r="Q27" s="207">
        <f t="shared" si="16"/>
        <v>248.6170247044879</v>
      </c>
      <c r="R27" s="209">
        <f>M27/((1+$B$4)^(B27-1))</f>
        <v>346.31581395688858</v>
      </c>
      <c r="S27" s="208">
        <f t="shared" si="72"/>
        <v>9169.376562936568</v>
      </c>
      <c r="T27" s="207">
        <f t="shared" si="18"/>
        <v>2132.2302686899807</v>
      </c>
      <c r="U27" s="207">
        <f t="shared" si="18"/>
        <v>9679.4094715981228</v>
      </c>
      <c r="V27" s="207">
        <f t="shared" si="18"/>
        <v>-510.03290866155305</v>
      </c>
      <c r="W27" s="209">
        <f t="shared" si="18"/>
        <v>1622.1973600284277</v>
      </c>
      <c r="X27" s="197"/>
      <c r="Z27" s="901">
        <v>16</v>
      </c>
      <c r="AA27" s="207">
        <f t="shared" si="19"/>
        <v>11.617000000000001</v>
      </c>
      <c r="AB27" s="207">
        <f>'Energy Inputs'!$F$58*$AB$8</f>
        <v>108</v>
      </c>
      <c r="AC27" s="207">
        <f>AA27*AB27</f>
        <v>1254.6360000000002</v>
      </c>
      <c r="AD27" s="207">
        <f>'Margins summary'!$U$14</f>
        <v>175.95</v>
      </c>
      <c r="AE27" s="207">
        <f t="shared" si="21"/>
        <v>1430.5860000000002</v>
      </c>
      <c r="AF27" s="207"/>
      <c r="AG27" s="919">
        <f>'Energy NPV'!U80</f>
        <v>196.57878399999998</v>
      </c>
      <c r="AH27" s="207">
        <f>'Energy margins'!$X$67</f>
        <v>192.1</v>
      </c>
      <c r="AI27" s="207">
        <f t="shared" si="22"/>
        <v>388.67878399999995</v>
      </c>
      <c r="AJ27" s="207">
        <f t="shared" si="2"/>
        <v>865.95721600000024</v>
      </c>
      <c r="AK27" s="207">
        <f t="shared" si="3"/>
        <v>1041.9072160000003</v>
      </c>
      <c r="AL27" s="208">
        <f t="shared" si="23"/>
        <v>696.65483462617237</v>
      </c>
      <c r="AM27" s="207">
        <f t="shared" si="24"/>
        <v>97.698789252400701</v>
      </c>
      <c r="AN27" s="207">
        <f t="shared" si="25"/>
        <v>215.81953171296033</v>
      </c>
      <c r="AO27" s="207">
        <f t="shared" si="26"/>
        <v>480.83530291321205</v>
      </c>
      <c r="AP27" s="209">
        <f>AK27/((1+$B$4)^(Z27-1))</f>
        <v>578.53409216561272</v>
      </c>
      <c r="AQ27" s="208">
        <f t="shared" si="73"/>
        <v>13754.064844404853</v>
      </c>
      <c r="AR27" s="207">
        <f t="shared" si="28"/>
        <v>2132.2302686899807</v>
      </c>
      <c r="AS27" s="207">
        <f t="shared" si="29"/>
        <v>9679.4094715981228</v>
      </c>
      <c r="AT27" s="207">
        <f t="shared" si="30"/>
        <v>4074.6553728067329</v>
      </c>
      <c r="AU27" s="209">
        <f t="shared" si="31"/>
        <v>6206.8856414967131</v>
      </c>
      <c r="AV27" s="197"/>
      <c r="AX27" s="901">
        <v>16</v>
      </c>
      <c r="AY27" s="207">
        <f t="shared" si="32"/>
        <v>11.617000000000001</v>
      </c>
      <c r="AZ27" s="207">
        <f>'Energy Inputs'!$F$58*$AZ$8</f>
        <v>36</v>
      </c>
      <c r="BA27" s="207">
        <f t="shared" si="33"/>
        <v>418.21200000000005</v>
      </c>
      <c r="BB27" s="207">
        <f>'Margins summary'!$U$14</f>
        <v>175.95</v>
      </c>
      <c r="BC27" s="207">
        <f t="shared" si="34"/>
        <v>594.16200000000003</v>
      </c>
      <c r="BD27" s="207"/>
      <c r="BE27" s="919">
        <f>'Energy NPV'!U80</f>
        <v>196.57878399999998</v>
      </c>
      <c r="BF27" s="207">
        <f>'Energy margins'!$X$67</f>
        <v>192.1</v>
      </c>
      <c r="BG27" s="207">
        <f t="shared" si="35"/>
        <v>388.67878399999995</v>
      </c>
      <c r="BH27" s="207">
        <f t="shared" si="4"/>
        <v>29.533216000000095</v>
      </c>
      <c r="BI27" s="207">
        <f t="shared" si="5"/>
        <v>205.48321600000008</v>
      </c>
      <c r="BJ27" s="208">
        <f t="shared" si="36"/>
        <v>232.21827820872412</v>
      </c>
      <c r="BK27" s="207">
        <f t="shared" si="37"/>
        <v>97.698789252400701</v>
      </c>
      <c r="BL27" s="207">
        <f t="shared" si="38"/>
        <v>215.81953171296033</v>
      </c>
      <c r="BM27" s="207">
        <f t="shared" si="39"/>
        <v>16.398746495763785</v>
      </c>
      <c r="BN27" s="209">
        <f>BI27/((1+$B$4)^(AX27-1))</f>
        <v>114.09753574816447</v>
      </c>
      <c r="BO27" s="208">
        <f t="shared" si="74"/>
        <v>4584.688281468284</v>
      </c>
      <c r="BP27" s="207">
        <f t="shared" si="41"/>
        <v>2132.2302686899807</v>
      </c>
      <c r="BQ27" s="207">
        <f t="shared" si="42"/>
        <v>9679.4094715981228</v>
      </c>
      <c r="BR27" s="207">
        <f t="shared" si="43"/>
        <v>-5094.7211901298351</v>
      </c>
      <c r="BS27" s="209">
        <f t="shared" si="44"/>
        <v>-2962.4909214398549</v>
      </c>
      <c r="BT27" s="197"/>
      <c r="BV27" s="901">
        <v>16</v>
      </c>
      <c r="BW27" s="207">
        <f t="shared" si="45"/>
        <v>11.617000000000001</v>
      </c>
      <c r="BX27" s="207">
        <f>'Energy Inputs'!$F$58*$BX$8</f>
        <v>144</v>
      </c>
      <c r="BY27" s="207">
        <f t="shared" si="46"/>
        <v>1672.8480000000002</v>
      </c>
      <c r="BZ27" s="207">
        <f>'Margins summary'!$U$14</f>
        <v>175.95</v>
      </c>
      <c r="CA27" s="207">
        <f t="shared" si="47"/>
        <v>1848.7980000000002</v>
      </c>
      <c r="CB27" s="207"/>
      <c r="CC27" s="919">
        <f>'Energy NPV'!U80</f>
        <v>196.57878399999998</v>
      </c>
      <c r="CD27" s="207">
        <f>'Energy margins'!$X$67</f>
        <v>192.1</v>
      </c>
      <c r="CE27" s="207">
        <f t="shared" si="48"/>
        <v>388.67878399999995</v>
      </c>
      <c r="CF27" s="207">
        <f t="shared" si="6"/>
        <v>1284.1692160000002</v>
      </c>
      <c r="CG27" s="207">
        <f t="shared" si="7"/>
        <v>1460.1192160000003</v>
      </c>
      <c r="CH27" s="208">
        <f t="shared" si="49"/>
        <v>928.87311283489646</v>
      </c>
      <c r="CI27" s="207">
        <f t="shared" si="50"/>
        <v>97.698789252400701</v>
      </c>
      <c r="CJ27" s="207">
        <f t="shared" si="51"/>
        <v>215.81953171296033</v>
      </c>
      <c r="CK27" s="207">
        <f t="shared" si="52"/>
        <v>713.05358112193608</v>
      </c>
      <c r="CL27" s="209">
        <f>CG27/((1+$B$4)^(BV27-1))</f>
        <v>810.75237037433681</v>
      </c>
      <c r="CM27" s="208">
        <f t="shared" si="75"/>
        <v>18338.753125873136</v>
      </c>
      <c r="CN27" s="207">
        <f t="shared" si="54"/>
        <v>2132.2302686899807</v>
      </c>
      <c r="CO27" s="207">
        <f t="shared" si="55"/>
        <v>9679.4094715981228</v>
      </c>
      <c r="CP27" s="207">
        <f t="shared" si="56"/>
        <v>8659.3436542750169</v>
      </c>
      <c r="CQ27" s="209">
        <f t="shared" si="57"/>
        <v>10791.573922964997</v>
      </c>
      <c r="CR27" s="197"/>
      <c r="CT27" s="206">
        <f t="shared" si="76"/>
        <v>16</v>
      </c>
      <c r="CU27" s="207">
        <f t="shared" si="58"/>
        <v>11.617000000000001</v>
      </c>
      <c r="CV27" s="207">
        <f>'Energy Inputs'!$F$58*$CV$8</f>
        <v>0</v>
      </c>
      <c r="CW27" s="207">
        <f t="shared" si="59"/>
        <v>0</v>
      </c>
      <c r="CX27" s="207">
        <f>'Margins summary'!$U$14</f>
        <v>175.95</v>
      </c>
      <c r="CY27" s="207">
        <f t="shared" si="60"/>
        <v>175.95</v>
      </c>
      <c r="CZ27" s="207"/>
      <c r="DA27" s="919">
        <f>'Energy NPV'!U80</f>
        <v>196.57878399999998</v>
      </c>
      <c r="DB27" s="207">
        <f>'Energy margins'!$X$67</f>
        <v>192.1</v>
      </c>
      <c r="DC27" s="207">
        <f t="shared" si="61"/>
        <v>388.67878399999995</v>
      </c>
      <c r="DD27" s="207">
        <f t="shared" si="8"/>
        <v>-388.67878399999995</v>
      </c>
      <c r="DE27" s="207">
        <f t="shared" si="9"/>
        <v>-212.72878399999996</v>
      </c>
      <c r="DF27" s="208">
        <f t="shared" si="62"/>
        <v>0</v>
      </c>
      <c r="DG27" s="207">
        <f t="shared" si="63"/>
        <v>97.698789252400701</v>
      </c>
      <c r="DH27" s="207">
        <f t="shared" si="64"/>
        <v>215.81953171296033</v>
      </c>
      <c r="DI27" s="207">
        <f t="shared" si="65"/>
        <v>-215.81953171296033</v>
      </c>
      <c r="DJ27" s="209">
        <f>DE27/((1+$B$4)^(CT27-1))</f>
        <v>-118.12074246055963</v>
      </c>
      <c r="DK27" s="208">
        <f t="shared" si="77"/>
        <v>0</v>
      </c>
      <c r="DL27" s="207">
        <f t="shared" si="67"/>
        <v>2132.2302686899807</v>
      </c>
      <c r="DM27" s="207">
        <f t="shared" si="68"/>
        <v>9679.4094715981228</v>
      </c>
      <c r="DN27" s="207">
        <f t="shared" si="69"/>
        <v>-9679.4094715981228</v>
      </c>
      <c r="DO27" s="209">
        <f t="shared" si="70"/>
        <v>-7547.1792029081389</v>
      </c>
    </row>
    <row r="34" spans="2:119" x14ac:dyDescent="0.3">
      <c r="B34" s="228" t="s">
        <v>451</v>
      </c>
      <c r="C34" s="763" t="s">
        <v>394</v>
      </c>
      <c r="D34" s="269" t="s">
        <v>405</v>
      </c>
      <c r="E34" s="194">
        <v>1</v>
      </c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Z34" s="228" t="s">
        <v>451</v>
      </c>
      <c r="AA34" s="211" t="s">
        <v>318</v>
      </c>
      <c r="AB34" s="907">
        <v>1.5</v>
      </c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X34" s="228" t="s">
        <v>451</v>
      </c>
      <c r="AY34" s="211" t="s">
        <v>324</v>
      </c>
      <c r="AZ34" s="908">
        <v>0.5</v>
      </c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V34" s="228" t="s">
        <v>451</v>
      </c>
      <c r="BW34" s="211" t="s">
        <v>325</v>
      </c>
      <c r="BX34" s="908">
        <v>2</v>
      </c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T34" s="228" t="s">
        <v>451</v>
      </c>
      <c r="CU34" s="211" t="s">
        <v>326</v>
      </c>
      <c r="CV34" s="908">
        <v>0</v>
      </c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</row>
    <row r="35" spans="2:119" x14ac:dyDescent="0.3">
      <c r="B35" s="203"/>
      <c r="C35" s="148"/>
      <c r="D35" s="148"/>
      <c r="E35" s="1086"/>
      <c r="F35" s="1086"/>
      <c r="G35" s="1086"/>
      <c r="H35" s="148"/>
      <c r="I35" s="931"/>
      <c r="J35" s="1086"/>
      <c r="K35" s="1086"/>
      <c r="L35" s="148"/>
      <c r="M35" s="148"/>
      <c r="N35" s="1087" t="s">
        <v>275</v>
      </c>
      <c r="O35" s="1088"/>
      <c r="P35" s="1088"/>
      <c r="Q35" s="1088"/>
      <c r="R35" s="1089"/>
      <c r="S35" s="1087" t="s">
        <v>276</v>
      </c>
      <c r="T35" s="1088"/>
      <c r="U35" s="1088"/>
      <c r="V35" s="1088"/>
      <c r="W35" s="1089"/>
      <c r="X35" s="987"/>
      <c r="Z35" s="203"/>
      <c r="AA35" s="148"/>
      <c r="AB35" s="148"/>
      <c r="AC35" s="1086"/>
      <c r="AD35" s="1086"/>
      <c r="AE35" s="1086"/>
      <c r="AF35" s="148"/>
      <c r="AG35" s="931"/>
      <c r="AH35" s="1086"/>
      <c r="AI35" s="1086"/>
      <c r="AJ35" s="148"/>
      <c r="AK35" s="148"/>
      <c r="AL35" s="1087" t="s">
        <v>275</v>
      </c>
      <c r="AM35" s="1088"/>
      <c r="AN35" s="1088"/>
      <c r="AO35" s="1088"/>
      <c r="AP35" s="1089"/>
      <c r="AQ35" s="1087" t="s">
        <v>276</v>
      </c>
      <c r="AR35" s="1088"/>
      <c r="AS35" s="1088"/>
      <c r="AT35" s="1088"/>
      <c r="AU35" s="1089"/>
      <c r="AV35" s="987"/>
      <c r="AX35" s="203"/>
      <c r="AY35" s="148"/>
      <c r="AZ35" s="148"/>
      <c r="BA35" s="1086"/>
      <c r="BB35" s="1086"/>
      <c r="BC35" s="1086"/>
      <c r="BD35" s="148"/>
      <c r="BE35" s="931"/>
      <c r="BF35" s="1086"/>
      <c r="BG35" s="1086"/>
      <c r="BH35" s="148"/>
      <c r="BI35" s="148"/>
      <c r="BJ35" s="1087" t="s">
        <v>275</v>
      </c>
      <c r="BK35" s="1088"/>
      <c r="BL35" s="1088"/>
      <c r="BM35" s="1088"/>
      <c r="BN35" s="1089"/>
      <c r="BO35" s="1087" t="s">
        <v>276</v>
      </c>
      <c r="BP35" s="1088"/>
      <c r="BQ35" s="1088"/>
      <c r="BR35" s="1088"/>
      <c r="BS35" s="1089"/>
      <c r="BT35" s="987"/>
      <c r="BV35" s="203"/>
      <c r="BW35" s="148"/>
      <c r="BX35" s="148"/>
      <c r="BY35" s="1086"/>
      <c r="BZ35" s="1086"/>
      <c r="CA35" s="1086"/>
      <c r="CB35" s="148"/>
      <c r="CC35" s="931"/>
      <c r="CD35" s="1086"/>
      <c r="CE35" s="1086"/>
      <c r="CF35" s="148"/>
      <c r="CG35" s="148"/>
      <c r="CH35" s="1087" t="s">
        <v>275</v>
      </c>
      <c r="CI35" s="1088"/>
      <c r="CJ35" s="1088"/>
      <c r="CK35" s="1088"/>
      <c r="CL35" s="1089"/>
      <c r="CM35" s="1087" t="s">
        <v>276</v>
      </c>
      <c r="CN35" s="1088"/>
      <c r="CO35" s="1088"/>
      <c r="CP35" s="1088"/>
      <c r="CQ35" s="1089"/>
      <c r="CR35" s="987"/>
      <c r="CT35" s="203"/>
      <c r="CU35" s="148"/>
      <c r="CV35" s="148"/>
      <c r="CW35" s="1086"/>
      <c r="CX35" s="1086"/>
      <c r="CY35" s="1086"/>
      <c r="CZ35" s="148"/>
      <c r="DA35" s="931"/>
      <c r="DB35" s="1086"/>
      <c r="DC35" s="1086"/>
      <c r="DD35" s="148"/>
      <c r="DE35" s="148"/>
      <c r="DF35" s="1087" t="s">
        <v>275</v>
      </c>
      <c r="DG35" s="1088"/>
      <c r="DH35" s="1088"/>
      <c r="DI35" s="1088"/>
      <c r="DJ35" s="1089"/>
      <c r="DK35" s="1087" t="s">
        <v>276</v>
      </c>
      <c r="DL35" s="1088"/>
      <c r="DM35" s="1088"/>
      <c r="DN35" s="1088"/>
      <c r="DO35" s="1089"/>
    </row>
    <row r="36" spans="2:119" ht="51" x14ac:dyDescent="0.3">
      <c r="B36" s="204" t="s">
        <v>277</v>
      </c>
      <c r="C36" s="205" t="s">
        <v>303</v>
      </c>
      <c r="D36" s="205" t="s">
        <v>304</v>
      </c>
      <c r="E36" s="171" t="s">
        <v>675</v>
      </c>
      <c r="F36" s="171" t="s">
        <v>666</v>
      </c>
      <c r="G36" s="171" t="s">
        <v>676</v>
      </c>
      <c r="H36" s="205" t="s">
        <v>301</v>
      </c>
      <c r="I36" s="935" t="str">
        <f>'Energy NPV'!U89</f>
        <v>Total Recurring Costs</v>
      </c>
      <c r="J36" s="205" t="s">
        <v>305</v>
      </c>
      <c r="K36" s="171" t="s">
        <v>283</v>
      </c>
      <c r="L36" s="171" t="s">
        <v>677</v>
      </c>
      <c r="M36" s="171" t="s">
        <v>678</v>
      </c>
      <c r="N36" s="195" t="s">
        <v>286</v>
      </c>
      <c r="O36" s="171" t="s">
        <v>679</v>
      </c>
      <c r="P36" s="171" t="s">
        <v>288</v>
      </c>
      <c r="Q36" s="171" t="s">
        <v>680</v>
      </c>
      <c r="R36" s="198" t="s">
        <v>290</v>
      </c>
      <c r="S36" s="195" t="s">
        <v>291</v>
      </c>
      <c r="T36" s="171" t="s">
        <v>681</v>
      </c>
      <c r="U36" s="171" t="s">
        <v>293</v>
      </c>
      <c r="V36" s="171" t="s">
        <v>682</v>
      </c>
      <c r="W36" s="198" t="s">
        <v>295</v>
      </c>
      <c r="X36" s="171"/>
      <c r="Z36" s="204" t="s">
        <v>277</v>
      </c>
      <c r="AA36" s="205" t="s">
        <v>303</v>
      </c>
      <c r="AB36" s="205" t="s">
        <v>304</v>
      </c>
      <c r="AC36" s="171" t="s">
        <v>675</v>
      </c>
      <c r="AD36" s="171" t="s">
        <v>666</v>
      </c>
      <c r="AE36" s="171" t="s">
        <v>676</v>
      </c>
      <c r="AF36" s="205" t="s">
        <v>301</v>
      </c>
      <c r="AG36" s="935" t="str">
        <f>'Energy NPV'!U89</f>
        <v>Total Recurring Costs</v>
      </c>
      <c r="AH36" s="205" t="s">
        <v>305</v>
      </c>
      <c r="AI36" s="171" t="s">
        <v>283</v>
      </c>
      <c r="AJ36" s="171" t="s">
        <v>677</v>
      </c>
      <c r="AK36" s="171" t="s">
        <v>678</v>
      </c>
      <c r="AL36" s="195" t="s">
        <v>286</v>
      </c>
      <c r="AM36" s="171" t="s">
        <v>679</v>
      </c>
      <c r="AN36" s="171" t="s">
        <v>288</v>
      </c>
      <c r="AO36" s="171" t="s">
        <v>680</v>
      </c>
      <c r="AP36" s="198" t="s">
        <v>290</v>
      </c>
      <c r="AQ36" s="195" t="s">
        <v>291</v>
      </c>
      <c r="AR36" s="171" t="s">
        <v>681</v>
      </c>
      <c r="AS36" s="171" t="s">
        <v>293</v>
      </c>
      <c r="AT36" s="171" t="s">
        <v>682</v>
      </c>
      <c r="AU36" s="198" t="s">
        <v>295</v>
      </c>
      <c r="AV36" s="171"/>
      <c r="AX36" s="204" t="s">
        <v>277</v>
      </c>
      <c r="AY36" s="205" t="s">
        <v>303</v>
      </c>
      <c r="AZ36" s="205" t="s">
        <v>304</v>
      </c>
      <c r="BA36" s="171" t="s">
        <v>675</v>
      </c>
      <c r="BB36" s="171" t="s">
        <v>666</v>
      </c>
      <c r="BC36" s="171" t="s">
        <v>676</v>
      </c>
      <c r="BD36" s="205" t="s">
        <v>301</v>
      </c>
      <c r="BE36" s="935" t="str">
        <f>'Energy NPV'!U89</f>
        <v>Total Recurring Costs</v>
      </c>
      <c r="BF36" s="205" t="s">
        <v>305</v>
      </c>
      <c r="BG36" s="171" t="s">
        <v>283</v>
      </c>
      <c r="BH36" s="171" t="s">
        <v>677</v>
      </c>
      <c r="BI36" s="171" t="s">
        <v>678</v>
      </c>
      <c r="BJ36" s="195" t="s">
        <v>286</v>
      </c>
      <c r="BK36" s="171" t="s">
        <v>679</v>
      </c>
      <c r="BL36" s="171" t="s">
        <v>288</v>
      </c>
      <c r="BM36" s="171" t="s">
        <v>680</v>
      </c>
      <c r="BN36" s="198" t="s">
        <v>290</v>
      </c>
      <c r="BO36" s="195" t="s">
        <v>291</v>
      </c>
      <c r="BP36" s="171" t="s">
        <v>681</v>
      </c>
      <c r="BQ36" s="171" t="s">
        <v>293</v>
      </c>
      <c r="BR36" s="171" t="s">
        <v>682</v>
      </c>
      <c r="BS36" s="198" t="s">
        <v>295</v>
      </c>
      <c r="BT36" s="171"/>
      <c r="BV36" s="204" t="s">
        <v>277</v>
      </c>
      <c r="BW36" s="205" t="s">
        <v>303</v>
      </c>
      <c r="BX36" s="205" t="s">
        <v>304</v>
      </c>
      <c r="BY36" s="171" t="s">
        <v>675</v>
      </c>
      <c r="BZ36" s="171" t="s">
        <v>666</v>
      </c>
      <c r="CA36" s="171" t="s">
        <v>676</v>
      </c>
      <c r="CB36" s="205" t="s">
        <v>301</v>
      </c>
      <c r="CC36" s="935" t="str">
        <f>'Energy NPV'!U89</f>
        <v>Total Recurring Costs</v>
      </c>
      <c r="CD36" s="205" t="s">
        <v>305</v>
      </c>
      <c r="CE36" s="171" t="s">
        <v>283</v>
      </c>
      <c r="CF36" s="171" t="s">
        <v>677</v>
      </c>
      <c r="CG36" s="171" t="s">
        <v>678</v>
      </c>
      <c r="CH36" s="195" t="s">
        <v>286</v>
      </c>
      <c r="CI36" s="171" t="s">
        <v>679</v>
      </c>
      <c r="CJ36" s="171" t="s">
        <v>288</v>
      </c>
      <c r="CK36" s="171" t="s">
        <v>680</v>
      </c>
      <c r="CL36" s="198" t="s">
        <v>290</v>
      </c>
      <c r="CM36" s="195" t="s">
        <v>291</v>
      </c>
      <c r="CN36" s="171" t="s">
        <v>681</v>
      </c>
      <c r="CO36" s="171" t="s">
        <v>293</v>
      </c>
      <c r="CP36" s="171" t="s">
        <v>682</v>
      </c>
      <c r="CQ36" s="198" t="s">
        <v>295</v>
      </c>
      <c r="CR36" s="171"/>
      <c r="CT36" s="204" t="s">
        <v>277</v>
      </c>
      <c r="CU36" s="205" t="s">
        <v>303</v>
      </c>
      <c r="CV36" s="205" t="s">
        <v>304</v>
      </c>
      <c r="CW36" s="171" t="s">
        <v>675</v>
      </c>
      <c r="CX36" s="171" t="s">
        <v>666</v>
      </c>
      <c r="CY36" s="171" t="s">
        <v>676</v>
      </c>
      <c r="CZ36" s="205" t="s">
        <v>301</v>
      </c>
      <c r="DA36" s="935" t="str">
        <f>'Energy NPV'!U89</f>
        <v>Total Recurring Costs</v>
      </c>
      <c r="DB36" s="205" t="s">
        <v>305</v>
      </c>
      <c r="DC36" s="171" t="s">
        <v>283</v>
      </c>
      <c r="DD36" s="171" t="s">
        <v>677</v>
      </c>
      <c r="DE36" s="171" t="s">
        <v>678</v>
      </c>
      <c r="DF36" s="195" t="s">
        <v>286</v>
      </c>
      <c r="DG36" s="171" t="s">
        <v>679</v>
      </c>
      <c r="DH36" s="171" t="s">
        <v>288</v>
      </c>
      <c r="DI36" s="171" t="s">
        <v>680</v>
      </c>
      <c r="DJ36" s="198" t="s">
        <v>290</v>
      </c>
      <c r="DK36" s="195" t="s">
        <v>291</v>
      </c>
      <c r="DL36" s="171" t="s">
        <v>681</v>
      </c>
      <c r="DM36" s="171" t="s">
        <v>293</v>
      </c>
      <c r="DN36" s="171" t="s">
        <v>682</v>
      </c>
      <c r="DO36" s="198" t="s">
        <v>295</v>
      </c>
    </row>
    <row r="37" spans="2:119" x14ac:dyDescent="0.3">
      <c r="B37" s="173"/>
      <c r="C37" s="226" t="s">
        <v>341</v>
      </c>
      <c r="D37" s="226" t="s">
        <v>601</v>
      </c>
      <c r="E37" s="201" t="s">
        <v>599</v>
      </c>
      <c r="F37" s="201" t="s">
        <v>599</v>
      </c>
      <c r="G37" s="201" t="s">
        <v>599</v>
      </c>
      <c r="H37" s="201" t="s">
        <v>599</v>
      </c>
      <c r="I37" s="969" t="str">
        <f>'Energy NPV'!U90</f>
        <v>(€ ha-1)</v>
      </c>
      <c r="J37" s="201" t="s">
        <v>599</v>
      </c>
      <c r="K37" s="201" t="s">
        <v>599</v>
      </c>
      <c r="L37" s="201" t="s">
        <v>599</v>
      </c>
      <c r="M37" s="202" t="s">
        <v>599</v>
      </c>
      <c r="N37" s="201" t="s">
        <v>599</v>
      </c>
      <c r="O37" s="201" t="s">
        <v>599</v>
      </c>
      <c r="P37" s="201" t="s">
        <v>599</v>
      </c>
      <c r="Q37" s="201" t="s">
        <v>599</v>
      </c>
      <c r="R37" s="202" t="s">
        <v>599</v>
      </c>
      <c r="S37" s="201" t="s">
        <v>599</v>
      </c>
      <c r="T37" s="201" t="s">
        <v>599</v>
      </c>
      <c r="U37" s="201" t="s">
        <v>599</v>
      </c>
      <c r="V37" s="201" t="s">
        <v>599</v>
      </c>
      <c r="W37" s="202" t="s">
        <v>599</v>
      </c>
      <c r="X37" s="988"/>
      <c r="Z37" s="173"/>
      <c r="AA37" s="226" t="s">
        <v>341</v>
      </c>
      <c r="AB37" s="226" t="s">
        <v>601</v>
      </c>
      <c r="AC37" s="201" t="s">
        <v>599</v>
      </c>
      <c r="AD37" s="201" t="s">
        <v>599</v>
      </c>
      <c r="AE37" s="201" t="s">
        <v>599</v>
      </c>
      <c r="AF37" s="201" t="s">
        <v>599</v>
      </c>
      <c r="AG37" s="969" t="str">
        <f>'Energy NPV'!U90</f>
        <v>(€ ha-1)</v>
      </c>
      <c r="AH37" s="201" t="s">
        <v>599</v>
      </c>
      <c r="AI37" s="201" t="s">
        <v>599</v>
      </c>
      <c r="AJ37" s="201" t="s">
        <v>599</v>
      </c>
      <c r="AK37" s="202" t="s">
        <v>599</v>
      </c>
      <c r="AL37" s="201" t="s">
        <v>599</v>
      </c>
      <c r="AM37" s="201" t="s">
        <v>599</v>
      </c>
      <c r="AN37" s="201" t="s">
        <v>599</v>
      </c>
      <c r="AO37" s="201" t="s">
        <v>599</v>
      </c>
      <c r="AP37" s="202" t="s">
        <v>599</v>
      </c>
      <c r="AQ37" s="201" t="s">
        <v>599</v>
      </c>
      <c r="AR37" s="201" t="s">
        <v>599</v>
      </c>
      <c r="AS37" s="201" t="s">
        <v>599</v>
      </c>
      <c r="AT37" s="201" t="s">
        <v>599</v>
      </c>
      <c r="AU37" s="202" t="s">
        <v>599</v>
      </c>
      <c r="AV37" s="988"/>
      <c r="AX37" s="173"/>
      <c r="AY37" s="226" t="s">
        <v>341</v>
      </c>
      <c r="AZ37" s="226" t="s">
        <v>601</v>
      </c>
      <c r="BA37" s="201" t="s">
        <v>599</v>
      </c>
      <c r="BB37" s="201" t="s">
        <v>599</v>
      </c>
      <c r="BC37" s="201" t="s">
        <v>599</v>
      </c>
      <c r="BD37" s="201" t="s">
        <v>599</v>
      </c>
      <c r="BE37" s="969" t="str">
        <f>'Energy NPV'!U90</f>
        <v>(€ ha-1)</v>
      </c>
      <c r="BF37" s="201" t="s">
        <v>599</v>
      </c>
      <c r="BG37" s="201" t="s">
        <v>599</v>
      </c>
      <c r="BH37" s="201" t="s">
        <v>599</v>
      </c>
      <c r="BI37" s="202" t="s">
        <v>599</v>
      </c>
      <c r="BJ37" s="201" t="s">
        <v>599</v>
      </c>
      <c r="BK37" s="201" t="s">
        <v>599</v>
      </c>
      <c r="BL37" s="201" t="s">
        <v>599</v>
      </c>
      <c r="BM37" s="201" t="s">
        <v>599</v>
      </c>
      <c r="BN37" s="202" t="s">
        <v>599</v>
      </c>
      <c r="BO37" s="201" t="s">
        <v>599</v>
      </c>
      <c r="BP37" s="201" t="s">
        <v>599</v>
      </c>
      <c r="BQ37" s="201" t="s">
        <v>599</v>
      </c>
      <c r="BR37" s="201" t="s">
        <v>599</v>
      </c>
      <c r="BS37" s="202" t="s">
        <v>599</v>
      </c>
      <c r="BT37" s="988"/>
      <c r="BV37" s="173"/>
      <c r="BW37" s="226" t="s">
        <v>341</v>
      </c>
      <c r="BX37" s="226" t="s">
        <v>601</v>
      </c>
      <c r="BY37" s="201" t="s">
        <v>599</v>
      </c>
      <c r="BZ37" s="201" t="s">
        <v>599</v>
      </c>
      <c r="CA37" s="201" t="s">
        <v>599</v>
      </c>
      <c r="CB37" s="201" t="s">
        <v>599</v>
      </c>
      <c r="CC37" s="969" t="str">
        <f>'Energy NPV'!U90</f>
        <v>(€ ha-1)</v>
      </c>
      <c r="CD37" s="201" t="s">
        <v>599</v>
      </c>
      <c r="CE37" s="201" t="s">
        <v>599</v>
      </c>
      <c r="CF37" s="201" t="s">
        <v>599</v>
      </c>
      <c r="CG37" s="202" t="s">
        <v>599</v>
      </c>
      <c r="CH37" s="201" t="s">
        <v>599</v>
      </c>
      <c r="CI37" s="201" t="s">
        <v>599</v>
      </c>
      <c r="CJ37" s="201" t="s">
        <v>599</v>
      </c>
      <c r="CK37" s="201" t="s">
        <v>599</v>
      </c>
      <c r="CL37" s="202" t="s">
        <v>599</v>
      </c>
      <c r="CM37" s="201" t="s">
        <v>599</v>
      </c>
      <c r="CN37" s="201" t="s">
        <v>599</v>
      </c>
      <c r="CO37" s="201" t="s">
        <v>599</v>
      </c>
      <c r="CP37" s="201" t="s">
        <v>599</v>
      </c>
      <c r="CQ37" s="202" t="s">
        <v>599</v>
      </c>
      <c r="CR37" s="988"/>
      <c r="CT37" s="173"/>
      <c r="CU37" s="226" t="s">
        <v>341</v>
      </c>
      <c r="CV37" s="226" t="s">
        <v>601</v>
      </c>
      <c r="CW37" s="201" t="s">
        <v>599</v>
      </c>
      <c r="CX37" s="201" t="s">
        <v>599</v>
      </c>
      <c r="CY37" s="201" t="s">
        <v>599</v>
      </c>
      <c r="CZ37" s="201" t="s">
        <v>599</v>
      </c>
      <c r="DA37" s="969" t="str">
        <f>'Energy NPV'!U90</f>
        <v>(€ ha-1)</v>
      </c>
      <c r="DB37" s="201" t="s">
        <v>599</v>
      </c>
      <c r="DC37" s="201" t="s">
        <v>599</v>
      </c>
      <c r="DD37" s="201" t="s">
        <v>599</v>
      </c>
      <c r="DE37" s="202" t="s">
        <v>599</v>
      </c>
      <c r="DF37" s="201" t="s">
        <v>599</v>
      </c>
      <c r="DG37" s="201" t="s">
        <v>599</v>
      </c>
      <c r="DH37" s="201" t="s">
        <v>599</v>
      </c>
      <c r="DI37" s="201" t="s">
        <v>599</v>
      </c>
      <c r="DJ37" s="202" t="s">
        <v>599</v>
      </c>
      <c r="DK37" s="201" t="s">
        <v>599</v>
      </c>
      <c r="DL37" s="201" t="s">
        <v>599</v>
      </c>
      <c r="DM37" s="201" t="s">
        <v>599</v>
      </c>
      <c r="DN37" s="201" t="s">
        <v>599</v>
      </c>
      <c r="DO37" s="202" t="s">
        <v>599</v>
      </c>
    </row>
    <row r="38" spans="2:119" x14ac:dyDescent="0.3">
      <c r="B38" s="204">
        <v>1</v>
      </c>
      <c r="C38" s="197">
        <f>'Energy NPV'!$D91</f>
        <v>0</v>
      </c>
      <c r="D38" s="197">
        <f>'Energy Inputs'!$G$58*$E$34</f>
        <v>72</v>
      </c>
      <c r="E38" s="197">
        <f>C38*D38</f>
        <v>0</v>
      </c>
      <c r="F38" s="197">
        <f>'Margins summary'!$W$14</f>
        <v>175.95</v>
      </c>
      <c r="G38" s="197">
        <f>E38+F38</f>
        <v>175.95</v>
      </c>
      <c r="H38" s="197">
        <f>'Margins summary'!$V$20</f>
        <v>2234.4822840000002</v>
      </c>
      <c r="I38" s="918">
        <f>'Energy NPV'!U91</f>
        <v>0</v>
      </c>
      <c r="J38" s="197"/>
      <c r="K38" s="197">
        <f>H38+I38+J38</f>
        <v>2234.4822840000002</v>
      </c>
      <c r="L38" s="197">
        <f t="shared" ref="L38:L53" si="78">E38-K38</f>
        <v>-2234.4822840000002</v>
      </c>
      <c r="M38" s="197">
        <f t="shared" ref="M38:M53" si="79">G38-K38</f>
        <v>-2058.5322840000003</v>
      </c>
      <c r="N38" s="1018">
        <f>E38/(1+$B$4)^(B38-1)</f>
        <v>0</v>
      </c>
      <c r="O38" s="213">
        <f>F38/(1+$B$4)^(B38-1)</f>
        <v>175.95</v>
      </c>
      <c r="P38" s="213">
        <f>K38/(1+$B$4)^(B38-1)</f>
        <v>2234.4822840000002</v>
      </c>
      <c r="Q38" s="213">
        <f>L38/(1+$B$4)^(B38-1)</f>
        <v>-2234.4822840000002</v>
      </c>
      <c r="R38" s="929">
        <f>M38/(1+$B$4)^(B38-1)</f>
        <v>-2058.5322840000003</v>
      </c>
      <c r="S38" s="196">
        <f>N38</f>
        <v>0</v>
      </c>
      <c r="T38" s="197">
        <f>O38</f>
        <v>175.95</v>
      </c>
      <c r="U38" s="197">
        <f>P38</f>
        <v>2234.4822840000002</v>
      </c>
      <c r="V38" s="197">
        <f>Q38</f>
        <v>-2234.4822840000002</v>
      </c>
      <c r="W38" s="199">
        <f>R38</f>
        <v>-2058.5322840000003</v>
      </c>
      <c r="X38" s="197"/>
      <c r="Z38" s="899">
        <v>1</v>
      </c>
      <c r="AA38" s="197">
        <f>$C38</f>
        <v>0</v>
      </c>
      <c r="AB38" s="197">
        <f>'Energy Inputs'!$G$58*$AB$34</f>
        <v>108</v>
      </c>
      <c r="AC38" s="197">
        <f>AA38*AB38</f>
        <v>0</v>
      </c>
      <c r="AD38" s="197">
        <f>'Margins summary'!$W$14</f>
        <v>175.95</v>
      </c>
      <c r="AE38" s="197">
        <f>AC38+AD38</f>
        <v>175.95</v>
      </c>
      <c r="AF38" s="197">
        <f>'Margins summary'!$V$20</f>
        <v>2234.4822840000002</v>
      </c>
      <c r="AG38" s="918">
        <f>'Energy NPV'!U91</f>
        <v>0</v>
      </c>
      <c r="AH38" s="197"/>
      <c r="AI38" s="197">
        <f>AF38+AG38+AH38</f>
        <v>2234.4822840000002</v>
      </c>
      <c r="AJ38" s="197">
        <f t="shared" ref="AJ38:AJ53" si="80">AC38-AI38</f>
        <v>-2234.4822840000002</v>
      </c>
      <c r="AK38" s="197">
        <f t="shared" ref="AK38:AK53" si="81">AE38-AI38</f>
        <v>-2058.5322840000003</v>
      </c>
      <c r="AL38" s="1018">
        <f>AC38/(1+$B$4)^(Z38-1)</f>
        <v>0</v>
      </c>
      <c r="AM38" s="213">
        <f>AD38/(1+$B$4)^(Z38-1)</f>
        <v>175.95</v>
      </c>
      <c r="AN38" s="213">
        <f>AI38/(1+$B$4)^(Z38-1)</f>
        <v>2234.4822840000002</v>
      </c>
      <c r="AO38" s="213">
        <f>AJ38/(1+$B$4)^(Z38-1)</f>
        <v>-2234.4822840000002</v>
      </c>
      <c r="AP38" s="929">
        <f>AK38/(1+$B$4)^(Z38-1)</f>
        <v>-2058.5322840000003</v>
      </c>
      <c r="AQ38" s="196">
        <f>AL38</f>
        <v>0</v>
      </c>
      <c r="AR38" s="197">
        <f>AM38</f>
        <v>175.95</v>
      </c>
      <c r="AS38" s="197">
        <f>AN38</f>
        <v>2234.4822840000002</v>
      </c>
      <c r="AT38" s="197">
        <f>AO38</f>
        <v>-2234.4822840000002</v>
      </c>
      <c r="AU38" s="199">
        <f>AP38</f>
        <v>-2058.5322840000003</v>
      </c>
      <c r="AV38" s="197"/>
      <c r="AX38" s="899">
        <v>1</v>
      </c>
      <c r="AY38" s="197">
        <f>$C38</f>
        <v>0</v>
      </c>
      <c r="AZ38" s="197">
        <f>'Energy Inputs'!$G$58*$AZ$34</f>
        <v>36</v>
      </c>
      <c r="BA38" s="197">
        <f>AY38*AZ38</f>
        <v>0</v>
      </c>
      <c r="BB38" s="197">
        <f>'Margins summary'!$W$14</f>
        <v>175.95</v>
      </c>
      <c r="BC38" s="197">
        <f>BA38+BB38</f>
        <v>175.95</v>
      </c>
      <c r="BD38" s="197">
        <f>'Margins summary'!$V$20</f>
        <v>2234.4822840000002</v>
      </c>
      <c r="BE38" s="918">
        <f>'Energy NPV'!U91</f>
        <v>0</v>
      </c>
      <c r="BF38" s="197"/>
      <c r="BG38" s="197">
        <f>BD38+BE38+BF38</f>
        <v>2234.4822840000002</v>
      </c>
      <c r="BH38" s="197">
        <f t="shared" ref="BH38:BH53" si="82">BA38-BG38</f>
        <v>-2234.4822840000002</v>
      </c>
      <c r="BI38" s="197">
        <f t="shared" ref="BI38:BI53" si="83">BC38-BG38</f>
        <v>-2058.5322840000003</v>
      </c>
      <c r="BJ38" s="1018">
        <f>BA38/(1+$B$4)^(AX38-1)</f>
        <v>0</v>
      </c>
      <c r="BK38" s="213">
        <f>BB38/(1+$B$4)^(AX38-1)</f>
        <v>175.95</v>
      </c>
      <c r="BL38" s="213">
        <f>BG38/(1+$B$4)^(AX38-1)</f>
        <v>2234.4822840000002</v>
      </c>
      <c r="BM38" s="213">
        <f>BH38/(1+$B$4)^(AX38-1)</f>
        <v>-2234.4822840000002</v>
      </c>
      <c r="BN38" s="929">
        <f>BI38/(1+$B$4)^(AX38-1)</f>
        <v>-2058.5322840000003</v>
      </c>
      <c r="BO38" s="196">
        <f>BJ38</f>
        <v>0</v>
      </c>
      <c r="BP38" s="197">
        <f>BK38</f>
        <v>175.95</v>
      </c>
      <c r="BQ38" s="197">
        <f>BL38</f>
        <v>2234.4822840000002</v>
      </c>
      <c r="BR38" s="197">
        <f>BM38</f>
        <v>-2234.4822840000002</v>
      </c>
      <c r="BS38" s="199">
        <f>BN38</f>
        <v>-2058.5322840000003</v>
      </c>
      <c r="BT38" s="197"/>
      <c r="BV38" s="899">
        <v>1</v>
      </c>
      <c r="BW38" s="197">
        <f>$C38</f>
        <v>0</v>
      </c>
      <c r="BX38" s="197">
        <f>'Energy Inputs'!$G$58*$BX$34</f>
        <v>144</v>
      </c>
      <c r="BY38" s="197">
        <f>BW38*BX38</f>
        <v>0</v>
      </c>
      <c r="BZ38" s="197">
        <f>'Margins summary'!$W$14</f>
        <v>175.95</v>
      </c>
      <c r="CA38" s="197">
        <f>BY38+BZ38</f>
        <v>175.95</v>
      </c>
      <c r="CB38" s="197">
        <f>'Margins summary'!$V$20</f>
        <v>2234.4822840000002</v>
      </c>
      <c r="CC38" s="918">
        <f>'Energy NPV'!U91</f>
        <v>0</v>
      </c>
      <c r="CD38" s="197"/>
      <c r="CE38" s="197">
        <f>CB38+CC38+CD38</f>
        <v>2234.4822840000002</v>
      </c>
      <c r="CF38" s="197">
        <f t="shared" ref="CF38:CF53" si="84">BY38-CE38</f>
        <v>-2234.4822840000002</v>
      </c>
      <c r="CG38" s="197">
        <f t="shared" ref="CG38:CG53" si="85">CA38-CE38</f>
        <v>-2058.5322840000003</v>
      </c>
      <c r="CH38" s="1018">
        <f>BY38/(1+$B$4)^(BV38-1)</f>
        <v>0</v>
      </c>
      <c r="CI38" s="213">
        <f>BZ38/(1+$B$4)^(BV38-1)</f>
        <v>175.95</v>
      </c>
      <c r="CJ38" s="213">
        <f>CE38/(1+$B$4)^(BV38-1)</f>
        <v>2234.4822840000002</v>
      </c>
      <c r="CK38" s="213">
        <f>CF38/(1+$B$4)^(BV38-1)</f>
        <v>-2234.4822840000002</v>
      </c>
      <c r="CL38" s="929">
        <f>CG38/(1+$B$4)^(BV38-1)</f>
        <v>-2058.5322840000003</v>
      </c>
      <c r="CM38" s="196">
        <f>CH38</f>
        <v>0</v>
      </c>
      <c r="CN38" s="197">
        <f>CI38</f>
        <v>175.95</v>
      </c>
      <c r="CO38" s="197">
        <f>CJ38</f>
        <v>2234.4822840000002</v>
      </c>
      <c r="CP38" s="197">
        <f>CK38</f>
        <v>-2234.4822840000002</v>
      </c>
      <c r="CQ38" s="199">
        <f>CL38</f>
        <v>-2058.5322840000003</v>
      </c>
      <c r="CR38" s="197"/>
      <c r="CT38" s="204">
        <v>1</v>
      </c>
      <c r="CU38" s="197">
        <f>$C38</f>
        <v>0</v>
      </c>
      <c r="CV38" s="197">
        <f>'Energy Inputs'!$G$58*$CV$34</f>
        <v>0</v>
      </c>
      <c r="CW38" s="197">
        <f>CU38*CV38</f>
        <v>0</v>
      </c>
      <c r="CX38" s="197">
        <f>'Margins summary'!$W$14</f>
        <v>175.95</v>
      </c>
      <c r="CY38" s="197">
        <f>CW38+CX38</f>
        <v>175.95</v>
      </c>
      <c r="CZ38" s="197">
        <f>'Margins summary'!$V$20</f>
        <v>2234.4822840000002</v>
      </c>
      <c r="DA38" s="918">
        <f>'Energy NPV'!U91</f>
        <v>0</v>
      </c>
      <c r="DB38" s="197"/>
      <c r="DC38" s="197">
        <f>CZ38+DA38+DB38</f>
        <v>2234.4822840000002</v>
      </c>
      <c r="DD38" s="197">
        <f t="shared" ref="DD38:DD53" si="86">CW38-DC38</f>
        <v>-2234.4822840000002</v>
      </c>
      <c r="DE38" s="197">
        <f t="shared" ref="DE38:DE53" si="87">CY38-DC38</f>
        <v>-2058.5322840000003</v>
      </c>
      <c r="DF38" s="1018">
        <f>CW38/(1+$B$4)^(CT38-1)</f>
        <v>0</v>
      </c>
      <c r="DG38" s="213">
        <f>CX38/(1+$B$4)^(CT38-1)</f>
        <v>175.95</v>
      </c>
      <c r="DH38" s="213">
        <f>DC38/(1+$B$4)^(CT38-1)</f>
        <v>2234.4822840000002</v>
      </c>
      <c r="DI38" s="213">
        <f>DD38/(1+$B$4)^(CT38-1)</f>
        <v>-2234.4822840000002</v>
      </c>
      <c r="DJ38" s="929">
        <f>DE38/(1+$B$4)^(CT38-1)</f>
        <v>-2058.5322840000003</v>
      </c>
      <c r="DK38" s="196">
        <f>DF38</f>
        <v>0</v>
      </c>
      <c r="DL38" s="197">
        <f>DG38</f>
        <v>175.95</v>
      </c>
      <c r="DM38" s="197">
        <f>DH38</f>
        <v>2234.4822840000002</v>
      </c>
      <c r="DN38" s="197">
        <f>DI38</f>
        <v>-2234.4822840000002</v>
      </c>
      <c r="DO38" s="199">
        <f>DJ38</f>
        <v>-2058.5322840000003</v>
      </c>
    </row>
    <row r="39" spans="2:119" x14ac:dyDescent="0.3">
      <c r="B39" s="204">
        <f>B38+1</f>
        <v>2</v>
      </c>
      <c r="C39" s="197">
        <f>'Energy NPV'!$D92</f>
        <v>9.9333333333333336</v>
      </c>
      <c r="D39" s="197">
        <f>'Energy Inputs'!$G$58*$E$34</f>
        <v>72</v>
      </c>
      <c r="E39" s="197">
        <f>C39*D39</f>
        <v>715.2</v>
      </c>
      <c r="F39" s="197">
        <f>'Margins summary'!$W$14</f>
        <v>175.95</v>
      </c>
      <c r="G39" s="197">
        <f t="shared" ref="G39:G53" si="88">E39+F39</f>
        <v>891.15000000000009</v>
      </c>
      <c r="H39" s="197"/>
      <c r="I39" s="918">
        <f>'Energy NPV'!U92</f>
        <v>590.26478399999996</v>
      </c>
      <c r="J39" s="197"/>
      <c r="K39" s="197">
        <f t="shared" ref="K39:K53" si="89">H39+I39+J39</f>
        <v>590.26478399999996</v>
      </c>
      <c r="L39" s="197">
        <f t="shared" si="78"/>
        <v>124.93521600000008</v>
      </c>
      <c r="M39" s="197">
        <f t="shared" si="79"/>
        <v>300.88521600000013</v>
      </c>
      <c r="N39" s="196">
        <f t="shared" ref="N39:N53" si="90">E39/(1+$B$4)^(B39-1)</f>
        <v>687.69230769230774</v>
      </c>
      <c r="O39" s="197">
        <f t="shared" ref="O39:O53" si="91">F39/(1+$B$4)^(B39-1)</f>
        <v>169.18269230769229</v>
      </c>
      <c r="P39" s="197">
        <f t="shared" ref="P39:P52" si="92">K39/(1+$B$4)^(B39-1)</f>
        <v>567.56229230769225</v>
      </c>
      <c r="Q39" s="197">
        <f t="shared" ref="Q39:Q53" si="93">L39/(1+$B$4)^(B39-1)</f>
        <v>120.13001538461546</v>
      </c>
      <c r="R39" s="199">
        <f t="shared" ref="R39:R52" si="94">M39/(1+$B$4)^(B39-1)</f>
        <v>289.31270769230781</v>
      </c>
      <c r="S39" s="196">
        <f>S38+N39</f>
        <v>687.69230769230774</v>
      </c>
      <c r="T39" s="197">
        <f t="shared" ref="T39:W53" si="95">T38+O39</f>
        <v>345.13269230769231</v>
      </c>
      <c r="U39" s="197">
        <f t="shared" si="95"/>
        <v>2802.0445763076923</v>
      </c>
      <c r="V39" s="197">
        <f t="shared" si="95"/>
        <v>-2114.3522686153847</v>
      </c>
      <c r="W39" s="199">
        <f t="shared" si="95"/>
        <v>-1769.2195763076925</v>
      </c>
      <c r="X39" s="197"/>
      <c r="Z39" s="900">
        <v>2</v>
      </c>
      <c r="AA39" s="197">
        <f t="shared" ref="AA39:AA53" si="96">$C39</f>
        <v>9.9333333333333336</v>
      </c>
      <c r="AB39" s="197">
        <f>'Energy Inputs'!$G$58*$AB$34</f>
        <v>108</v>
      </c>
      <c r="AC39" s="197">
        <f>AA39*AB39</f>
        <v>1072.8</v>
      </c>
      <c r="AD39" s="197">
        <f>'Margins summary'!$W$14</f>
        <v>175.95</v>
      </c>
      <c r="AE39" s="197">
        <f t="shared" ref="AE39:AE53" si="97">AC39+AD39</f>
        <v>1248.75</v>
      </c>
      <c r="AF39" s="197"/>
      <c r="AG39" s="918">
        <f>'Energy NPV'!U92</f>
        <v>590.26478399999996</v>
      </c>
      <c r="AH39" s="197"/>
      <c r="AI39" s="197">
        <f t="shared" ref="AI39:AI53" si="98">AF39+AG39+AH39</f>
        <v>590.26478399999996</v>
      </c>
      <c r="AJ39" s="197">
        <f t="shared" si="80"/>
        <v>482.53521599999999</v>
      </c>
      <c r="AK39" s="197">
        <f t="shared" si="81"/>
        <v>658.48521600000004</v>
      </c>
      <c r="AL39" s="196">
        <f t="shared" ref="AL39:AL53" si="99">AC39/(1+$B$4)^(Z39-1)</f>
        <v>1031.5384615384614</v>
      </c>
      <c r="AM39" s="197">
        <f t="shared" ref="AM39:AM53" si="100">AD39/(1+$B$4)^(Z39-1)</f>
        <v>169.18269230769229</v>
      </c>
      <c r="AN39" s="197">
        <f t="shared" ref="AN39:AN52" si="101">AI39/(1+$B$4)^(Z39-1)</f>
        <v>567.56229230769225</v>
      </c>
      <c r="AO39" s="197">
        <f t="shared" ref="AO39:AO53" si="102">AJ39/(1+$B$4)^(Z39-1)</f>
        <v>463.97616923076919</v>
      </c>
      <c r="AP39" s="199">
        <f t="shared" ref="AP39:AP52" si="103">AK39/(1+$B$4)^(Z39-1)</f>
        <v>633.15886153846157</v>
      </c>
      <c r="AQ39" s="196">
        <f>AQ38+AL39</f>
        <v>1031.5384615384614</v>
      </c>
      <c r="AR39" s="197">
        <f t="shared" ref="AR39:AR53" si="104">AR38+AM39</f>
        <v>345.13269230769231</v>
      </c>
      <c r="AS39" s="197">
        <f t="shared" ref="AS39:AS53" si="105">AS38+AN39</f>
        <v>2802.0445763076923</v>
      </c>
      <c r="AT39" s="197">
        <f t="shared" ref="AT39:AT53" si="106">AT38+AO39</f>
        <v>-1770.5061147692309</v>
      </c>
      <c r="AU39" s="199">
        <f t="shared" ref="AU39:AU53" si="107">AU38+AP39</f>
        <v>-1425.3734224615387</v>
      </c>
      <c r="AV39" s="197"/>
      <c r="AX39" s="900">
        <v>2</v>
      </c>
      <c r="AY39" s="197">
        <f t="shared" ref="AY39:AY53" si="108">$C39</f>
        <v>9.9333333333333336</v>
      </c>
      <c r="AZ39" s="197">
        <f>'Energy Inputs'!$G$58*$AZ$34</f>
        <v>36</v>
      </c>
      <c r="BA39" s="197">
        <f>AY39*AZ39</f>
        <v>357.6</v>
      </c>
      <c r="BB39" s="197">
        <f>'Margins summary'!$W$14</f>
        <v>175.95</v>
      </c>
      <c r="BC39" s="197">
        <f t="shared" ref="BC39:BC53" si="109">BA39+BB39</f>
        <v>533.54999999999995</v>
      </c>
      <c r="BD39" s="197"/>
      <c r="BE39" s="918">
        <f>'Energy NPV'!U92</f>
        <v>590.26478399999996</v>
      </c>
      <c r="BF39" s="197"/>
      <c r="BG39" s="197">
        <f t="shared" ref="BG39:BG53" si="110">BD39+BE39+BF39</f>
        <v>590.26478399999996</v>
      </c>
      <c r="BH39" s="197">
        <f t="shared" si="82"/>
        <v>-232.66478399999994</v>
      </c>
      <c r="BI39" s="197">
        <f t="shared" si="83"/>
        <v>-56.714784000000009</v>
      </c>
      <c r="BJ39" s="196">
        <f t="shared" ref="BJ39:BJ53" si="111">BA39/(1+$B$4)^(AX39-1)</f>
        <v>343.84615384615387</v>
      </c>
      <c r="BK39" s="197">
        <f t="shared" ref="BK39:BK53" si="112">BB39/(1+$B$4)^(AX39-1)</f>
        <v>169.18269230769229</v>
      </c>
      <c r="BL39" s="197">
        <f t="shared" ref="BL39:BL52" si="113">BG39/(1+$B$4)^(AX39-1)</f>
        <v>567.56229230769225</v>
      </c>
      <c r="BM39" s="197">
        <f t="shared" ref="BM39:BM53" si="114">BH39/(1+$B$4)^(AX39-1)</f>
        <v>-223.71613846153841</v>
      </c>
      <c r="BN39" s="199">
        <f t="shared" ref="BN39:BN52" si="115">BI39/(1+$B$4)^(AX39-1)</f>
        <v>-54.533446153846164</v>
      </c>
      <c r="BO39" s="196">
        <f>BO38+BJ39</f>
        <v>343.84615384615387</v>
      </c>
      <c r="BP39" s="197">
        <f t="shared" ref="BP39:BP53" si="116">BP38+BK39</f>
        <v>345.13269230769231</v>
      </c>
      <c r="BQ39" s="197">
        <f t="shared" ref="BQ39:BQ53" si="117">BQ38+BL39</f>
        <v>2802.0445763076923</v>
      </c>
      <c r="BR39" s="197">
        <f t="shared" ref="BR39:BR53" si="118">BR38+BM39</f>
        <v>-2458.1984224615385</v>
      </c>
      <c r="BS39" s="199">
        <f t="shared" ref="BS39:BS53" si="119">BS38+BN39</f>
        <v>-2113.0657301538463</v>
      </c>
      <c r="BT39" s="197"/>
      <c r="BV39" s="900">
        <v>2</v>
      </c>
      <c r="BW39" s="197">
        <f t="shared" ref="BW39:BW53" si="120">$C39</f>
        <v>9.9333333333333336</v>
      </c>
      <c r="BX39" s="197">
        <f>'Energy Inputs'!$G$58*$BX$34</f>
        <v>144</v>
      </c>
      <c r="BY39" s="197">
        <f>BW39*BX39</f>
        <v>1430.4</v>
      </c>
      <c r="BZ39" s="197">
        <f>'Margins summary'!$W$14</f>
        <v>175.95</v>
      </c>
      <c r="CA39" s="197">
        <f t="shared" ref="CA39:CA53" si="121">BY39+BZ39</f>
        <v>1606.3500000000001</v>
      </c>
      <c r="CB39" s="197"/>
      <c r="CC39" s="918">
        <f>'Energy NPV'!U92</f>
        <v>590.26478399999996</v>
      </c>
      <c r="CD39" s="197"/>
      <c r="CE39" s="197">
        <f t="shared" ref="CE39:CE53" si="122">CB39+CC39+CD39</f>
        <v>590.26478399999996</v>
      </c>
      <c r="CF39" s="197">
        <f t="shared" si="84"/>
        <v>840.13521600000013</v>
      </c>
      <c r="CG39" s="197">
        <f t="shared" si="85"/>
        <v>1016.0852160000002</v>
      </c>
      <c r="CH39" s="196">
        <f t="shared" ref="CH39:CH53" si="123">BY39/(1+$B$4)^(BV39-1)</f>
        <v>1375.3846153846155</v>
      </c>
      <c r="CI39" s="197">
        <f t="shared" ref="CI39:CI53" si="124">BZ39/(1+$B$4)^(BV39-1)</f>
        <v>169.18269230769229</v>
      </c>
      <c r="CJ39" s="197">
        <f t="shared" ref="CJ39:CJ52" si="125">CE39/(1+$B$4)^(BV39-1)</f>
        <v>567.56229230769225</v>
      </c>
      <c r="CK39" s="197">
        <f t="shared" ref="CK39:CK53" si="126">CF39/(1+$B$4)^(BV39-1)</f>
        <v>807.82232307692323</v>
      </c>
      <c r="CL39" s="199">
        <f t="shared" ref="CL39:CL52" si="127">CG39/(1+$B$4)^(BV39-1)</f>
        <v>977.00501538461549</v>
      </c>
      <c r="CM39" s="196">
        <f>CM38+CH39</f>
        <v>1375.3846153846155</v>
      </c>
      <c r="CN39" s="197">
        <f t="shared" ref="CN39:CN53" si="128">CN38+CI39</f>
        <v>345.13269230769231</v>
      </c>
      <c r="CO39" s="197">
        <f t="shared" ref="CO39:CO53" si="129">CO38+CJ39</f>
        <v>2802.0445763076923</v>
      </c>
      <c r="CP39" s="197">
        <f t="shared" ref="CP39:CP53" si="130">CP38+CK39</f>
        <v>-1426.6599609230771</v>
      </c>
      <c r="CQ39" s="199">
        <f t="shared" ref="CQ39:CQ53" si="131">CQ38+CL39</f>
        <v>-1081.5272686153849</v>
      </c>
      <c r="CR39" s="197"/>
      <c r="CT39" s="204">
        <v>2</v>
      </c>
      <c r="CU39" s="197">
        <f t="shared" ref="CU39:CU53" si="132">$C39</f>
        <v>9.9333333333333336</v>
      </c>
      <c r="CV39" s="197">
        <f>'Energy Inputs'!$G$58*$CV$34</f>
        <v>0</v>
      </c>
      <c r="CW39" s="197">
        <f>CU39*CV39</f>
        <v>0</v>
      </c>
      <c r="CX39" s="197">
        <f>'Margins summary'!$W$14</f>
        <v>175.95</v>
      </c>
      <c r="CY39" s="197">
        <f t="shared" ref="CY39:CY53" si="133">CW39+CX39</f>
        <v>175.95</v>
      </c>
      <c r="CZ39" s="197"/>
      <c r="DA39" s="918">
        <f>'Energy NPV'!U92</f>
        <v>590.26478399999996</v>
      </c>
      <c r="DB39" s="197"/>
      <c r="DC39" s="197">
        <f t="shared" ref="DC39:DC53" si="134">CZ39+DA39+DB39</f>
        <v>590.26478399999996</v>
      </c>
      <c r="DD39" s="197">
        <f t="shared" si="86"/>
        <v>-590.26478399999996</v>
      </c>
      <c r="DE39" s="197">
        <f t="shared" si="87"/>
        <v>-414.31478399999997</v>
      </c>
      <c r="DF39" s="196">
        <f t="shared" ref="DF39:DF53" si="135">CW39/(1+$B$4)^(CT39-1)</f>
        <v>0</v>
      </c>
      <c r="DG39" s="197">
        <f t="shared" ref="DG39:DG53" si="136">CX39/(1+$B$4)^(CT39-1)</f>
        <v>169.18269230769229</v>
      </c>
      <c r="DH39" s="197">
        <f t="shared" ref="DH39:DH52" si="137">DC39/(1+$B$4)^(CT39-1)</f>
        <v>567.56229230769225</v>
      </c>
      <c r="DI39" s="197">
        <f t="shared" ref="DI39:DI53" si="138">DD39/(1+$B$4)^(CT39-1)</f>
        <v>-567.56229230769225</v>
      </c>
      <c r="DJ39" s="199">
        <f t="shared" ref="DJ39:DJ52" si="139">DE39/(1+$B$4)^(CT39-1)</f>
        <v>-398.37959999999998</v>
      </c>
      <c r="DK39" s="196">
        <f>DK38+DF39</f>
        <v>0</v>
      </c>
      <c r="DL39" s="197">
        <f t="shared" ref="DL39:DL53" si="140">DL38+DG39</f>
        <v>345.13269230769231</v>
      </c>
      <c r="DM39" s="197">
        <f t="shared" ref="DM39:DM53" si="141">DM38+DH39</f>
        <v>2802.0445763076923</v>
      </c>
      <c r="DN39" s="197">
        <f t="shared" ref="DN39:DN53" si="142">DN38+DI39</f>
        <v>-2802.0445763076923</v>
      </c>
      <c r="DO39" s="199">
        <f t="shared" ref="DO39:DO53" si="143">DO38+DJ39</f>
        <v>-2456.9118840000001</v>
      </c>
    </row>
    <row r="40" spans="2:119" x14ac:dyDescent="0.3">
      <c r="B40" s="204">
        <f t="shared" ref="B40:B53" si="144">B39+1</f>
        <v>3</v>
      </c>
      <c r="C40" s="197">
        <f>'Energy NPV'!$D93</f>
        <v>14.700000000000001</v>
      </c>
      <c r="D40" s="197">
        <f>'Energy Inputs'!$G$58*$E$34</f>
        <v>72</v>
      </c>
      <c r="E40" s="197">
        <f t="shared" ref="E40:E53" si="145">C40*D40</f>
        <v>1058.4000000000001</v>
      </c>
      <c r="F40" s="197">
        <f>'Margins summary'!$W$14</f>
        <v>175.95</v>
      </c>
      <c r="G40" s="197">
        <f t="shared" si="88"/>
        <v>1234.3500000000001</v>
      </c>
      <c r="H40" s="197"/>
      <c r="I40" s="918">
        <f>'Energy NPV'!U93</f>
        <v>590.26478399999996</v>
      </c>
      <c r="J40" s="197"/>
      <c r="K40" s="197">
        <f t="shared" si="89"/>
        <v>590.26478399999996</v>
      </c>
      <c r="L40" s="197">
        <f t="shared" si="78"/>
        <v>468.13521600000013</v>
      </c>
      <c r="M40" s="197">
        <f t="shared" si="79"/>
        <v>644.08521600000017</v>
      </c>
      <c r="N40" s="196">
        <f t="shared" si="90"/>
        <v>978.55029585798809</v>
      </c>
      <c r="O40" s="197">
        <f t="shared" si="91"/>
        <v>162.67566568047334</v>
      </c>
      <c r="P40" s="197">
        <f t="shared" si="92"/>
        <v>545.73297337278098</v>
      </c>
      <c r="Q40" s="197">
        <f t="shared" si="93"/>
        <v>432.81732248520717</v>
      </c>
      <c r="R40" s="199">
        <f t="shared" si="94"/>
        <v>595.49298816568057</v>
      </c>
      <c r="S40" s="196">
        <f t="shared" ref="S40:S53" si="146">S39+N40</f>
        <v>1666.2426035502958</v>
      </c>
      <c r="T40" s="197">
        <f t="shared" si="95"/>
        <v>507.80835798816565</v>
      </c>
      <c r="U40" s="197">
        <f t="shared" si="95"/>
        <v>3347.7775496804734</v>
      </c>
      <c r="V40" s="197">
        <f t="shared" si="95"/>
        <v>-1681.5349461301776</v>
      </c>
      <c r="W40" s="199">
        <f t="shared" si="95"/>
        <v>-1173.7265881420119</v>
      </c>
      <c r="X40" s="197"/>
      <c r="Z40" s="900">
        <v>3</v>
      </c>
      <c r="AA40" s="197">
        <f t="shared" si="96"/>
        <v>14.700000000000001</v>
      </c>
      <c r="AB40" s="197">
        <f>'Energy Inputs'!$G$58*$AB$34</f>
        <v>108</v>
      </c>
      <c r="AC40" s="197">
        <f t="shared" ref="AC40:AC53" si="147">AA40*AB40</f>
        <v>1587.6000000000001</v>
      </c>
      <c r="AD40" s="197">
        <f>'Margins summary'!$W$14</f>
        <v>175.95</v>
      </c>
      <c r="AE40" s="197">
        <f t="shared" si="97"/>
        <v>1763.5500000000002</v>
      </c>
      <c r="AF40" s="197"/>
      <c r="AG40" s="918">
        <f>'Energy NPV'!U93</f>
        <v>590.26478399999996</v>
      </c>
      <c r="AH40" s="197"/>
      <c r="AI40" s="197">
        <f t="shared" si="98"/>
        <v>590.26478399999996</v>
      </c>
      <c r="AJ40" s="197">
        <f t="shared" si="80"/>
        <v>997.33521600000017</v>
      </c>
      <c r="AK40" s="197">
        <f t="shared" si="81"/>
        <v>1173.2852160000002</v>
      </c>
      <c r="AL40" s="196">
        <f t="shared" si="99"/>
        <v>1467.8254437869823</v>
      </c>
      <c r="AM40" s="197">
        <f t="shared" si="100"/>
        <v>162.67566568047334</v>
      </c>
      <c r="AN40" s="197">
        <f t="shared" si="101"/>
        <v>545.73297337278098</v>
      </c>
      <c r="AO40" s="197">
        <f t="shared" si="102"/>
        <v>922.09247041420122</v>
      </c>
      <c r="AP40" s="199">
        <f t="shared" si="103"/>
        <v>1084.7681360946747</v>
      </c>
      <c r="AQ40" s="196">
        <f t="shared" ref="AQ40:AQ52" si="148">AQ39+AL40</f>
        <v>2499.3639053254437</v>
      </c>
      <c r="AR40" s="197">
        <f t="shared" si="104"/>
        <v>507.80835798816565</v>
      </c>
      <c r="AS40" s="197">
        <f t="shared" si="105"/>
        <v>3347.7775496804734</v>
      </c>
      <c r="AT40" s="197">
        <f t="shared" si="106"/>
        <v>-848.41364435502965</v>
      </c>
      <c r="AU40" s="199">
        <f t="shared" si="107"/>
        <v>-340.60528636686399</v>
      </c>
      <c r="AV40" s="197"/>
      <c r="AX40" s="900">
        <v>3</v>
      </c>
      <c r="AY40" s="197">
        <f t="shared" si="108"/>
        <v>14.700000000000001</v>
      </c>
      <c r="AZ40" s="197">
        <f>'Energy Inputs'!$G$58*$AZ$34</f>
        <v>36</v>
      </c>
      <c r="BA40" s="197">
        <f t="shared" ref="BA40:BA53" si="149">AY40*AZ40</f>
        <v>529.20000000000005</v>
      </c>
      <c r="BB40" s="197">
        <f>'Margins summary'!$W$14</f>
        <v>175.95</v>
      </c>
      <c r="BC40" s="197">
        <f t="shared" si="109"/>
        <v>705.15000000000009</v>
      </c>
      <c r="BD40" s="197"/>
      <c r="BE40" s="918">
        <f>'Energy NPV'!U93</f>
        <v>590.26478399999996</v>
      </c>
      <c r="BF40" s="197"/>
      <c r="BG40" s="197">
        <f t="shared" si="110"/>
        <v>590.26478399999996</v>
      </c>
      <c r="BH40" s="197">
        <f t="shared" si="82"/>
        <v>-61.064783999999918</v>
      </c>
      <c r="BI40" s="197">
        <f t="shared" si="83"/>
        <v>114.88521600000013</v>
      </c>
      <c r="BJ40" s="196">
        <f t="shared" si="111"/>
        <v>489.27514792899404</v>
      </c>
      <c r="BK40" s="197">
        <f t="shared" si="112"/>
        <v>162.67566568047334</v>
      </c>
      <c r="BL40" s="197">
        <f t="shared" si="113"/>
        <v>545.73297337278098</v>
      </c>
      <c r="BM40" s="197">
        <f t="shared" si="114"/>
        <v>-56.457825443786902</v>
      </c>
      <c r="BN40" s="199">
        <f t="shared" si="115"/>
        <v>106.2178402366865</v>
      </c>
      <c r="BO40" s="196">
        <f t="shared" ref="BO40:BO53" si="150">BO39+BJ40</f>
        <v>833.12130177514791</v>
      </c>
      <c r="BP40" s="197">
        <f t="shared" si="116"/>
        <v>507.80835798816565</v>
      </c>
      <c r="BQ40" s="197">
        <f t="shared" si="117"/>
        <v>3347.7775496804734</v>
      </c>
      <c r="BR40" s="197">
        <f t="shared" si="118"/>
        <v>-2514.6562479053255</v>
      </c>
      <c r="BS40" s="199">
        <f t="shared" si="119"/>
        <v>-2006.8478899171598</v>
      </c>
      <c r="BT40" s="197"/>
      <c r="BV40" s="900">
        <v>3</v>
      </c>
      <c r="BW40" s="197">
        <f t="shared" si="120"/>
        <v>14.700000000000001</v>
      </c>
      <c r="BX40" s="197">
        <f>'Energy Inputs'!$G$58*$BX$34</f>
        <v>144</v>
      </c>
      <c r="BY40" s="197">
        <f t="shared" ref="BY40:BY53" si="151">BW40*BX40</f>
        <v>2116.8000000000002</v>
      </c>
      <c r="BZ40" s="197">
        <f>'Margins summary'!$W$14</f>
        <v>175.95</v>
      </c>
      <c r="CA40" s="197">
        <f t="shared" si="121"/>
        <v>2292.75</v>
      </c>
      <c r="CB40" s="197"/>
      <c r="CC40" s="918">
        <f>'Energy NPV'!U93</f>
        <v>590.26478399999996</v>
      </c>
      <c r="CD40" s="197"/>
      <c r="CE40" s="197">
        <f t="shared" si="122"/>
        <v>590.26478399999996</v>
      </c>
      <c r="CF40" s="197">
        <f t="shared" si="84"/>
        <v>1526.5352160000002</v>
      </c>
      <c r="CG40" s="197">
        <f t="shared" si="85"/>
        <v>1702.485216</v>
      </c>
      <c r="CH40" s="196">
        <f t="shared" si="123"/>
        <v>1957.1005917159762</v>
      </c>
      <c r="CI40" s="197">
        <f t="shared" si="124"/>
        <v>162.67566568047334</v>
      </c>
      <c r="CJ40" s="197">
        <f t="shared" si="125"/>
        <v>545.73297337278098</v>
      </c>
      <c r="CK40" s="197">
        <f t="shared" si="126"/>
        <v>1411.3676183431953</v>
      </c>
      <c r="CL40" s="199">
        <f t="shared" si="127"/>
        <v>1574.0432840236685</v>
      </c>
      <c r="CM40" s="196">
        <f t="shared" ref="CM40:CM53" si="152">CM39+CH40</f>
        <v>3332.4852071005917</v>
      </c>
      <c r="CN40" s="197">
        <f t="shared" si="128"/>
        <v>507.80835798816565</v>
      </c>
      <c r="CO40" s="197">
        <f t="shared" si="129"/>
        <v>3347.7775496804734</v>
      </c>
      <c r="CP40" s="197">
        <f t="shared" si="130"/>
        <v>-15.292342579881733</v>
      </c>
      <c r="CQ40" s="199">
        <f t="shared" si="131"/>
        <v>492.51601540828369</v>
      </c>
      <c r="CR40" s="197"/>
      <c r="CT40" s="204">
        <f t="shared" ref="CT40:CT53" si="153">CT39+1</f>
        <v>3</v>
      </c>
      <c r="CU40" s="197">
        <f t="shared" si="132"/>
        <v>14.700000000000001</v>
      </c>
      <c r="CV40" s="197">
        <f>'Energy Inputs'!$G$58*$CV$34</f>
        <v>0</v>
      </c>
      <c r="CW40" s="197">
        <f t="shared" ref="CW40:CW53" si="154">CU40*CV40</f>
        <v>0</v>
      </c>
      <c r="CX40" s="197">
        <f>'Margins summary'!$W$14</f>
        <v>175.95</v>
      </c>
      <c r="CY40" s="197">
        <f t="shared" si="133"/>
        <v>175.95</v>
      </c>
      <c r="CZ40" s="197"/>
      <c r="DA40" s="918">
        <f>'Energy NPV'!U93</f>
        <v>590.26478399999996</v>
      </c>
      <c r="DB40" s="197"/>
      <c r="DC40" s="197">
        <f t="shared" si="134"/>
        <v>590.26478399999996</v>
      </c>
      <c r="DD40" s="197">
        <f t="shared" si="86"/>
        <v>-590.26478399999996</v>
      </c>
      <c r="DE40" s="197">
        <f t="shared" si="87"/>
        <v>-414.31478399999997</v>
      </c>
      <c r="DF40" s="196">
        <f t="shared" si="135"/>
        <v>0</v>
      </c>
      <c r="DG40" s="197">
        <f t="shared" si="136"/>
        <v>162.67566568047334</v>
      </c>
      <c r="DH40" s="197">
        <f t="shared" si="137"/>
        <v>545.73297337278098</v>
      </c>
      <c r="DI40" s="197">
        <f t="shared" si="138"/>
        <v>-545.73297337278098</v>
      </c>
      <c r="DJ40" s="199">
        <f t="shared" si="139"/>
        <v>-383.05730769230763</v>
      </c>
      <c r="DK40" s="196">
        <f t="shared" ref="DK40:DK53" si="155">DK39+DF40</f>
        <v>0</v>
      </c>
      <c r="DL40" s="197">
        <f t="shared" si="140"/>
        <v>507.80835798816565</v>
      </c>
      <c r="DM40" s="197">
        <f t="shared" si="141"/>
        <v>3347.7775496804734</v>
      </c>
      <c r="DN40" s="197">
        <f t="shared" si="142"/>
        <v>-3347.7775496804734</v>
      </c>
      <c r="DO40" s="199">
        <f t="shared" si="143"/>
        <v>-2839.9691916923075</v>
      </c>
    </row>
    <row r="41" spans="2:119" x14ac:dyDescent="0.3">
      <c r="B41" s="204">
        <f t="shared" si="144"/>
        <v>4</v>
      </c>
      <c r="C41" s="197">
        <f>'Energy NPV'!$D94</f>
        <v>15.733333333333334</v>
      </c>
      <c r="D41" s="197">
        <f>'Energy Inputs'!$G$58*$E$34</f>
        <v>72</v>
      </c>
      <c r="E41" s="197">
        <f t="shared" si="145"/>
        <v>1132.8000000000002</v>
      </c>
      <c r="F41" s="197">
        <f>'Margins summary'!$W$14</f>
        <v>175.95</v>
      </c>
      <c r="G41" s="197">
        <f t="shared" si="88"/>
        <v>1308.7500000000002</v>
      </c>
      <c r="H41" s="197"/>
      <c r="I41" s="918">
        <f>'Energy NPV'!U94</f>
        <v>408.3347839999999</v>
      </c>
      <c r="J41" s="197"/>
      <c r="K41" s="197">
        <f t="shared" si="89"/>
        <v>408.3347839999999</v>
      </c>
      <c r="L41" s="197">
        <f t="shared" si="78"/>
        <v>724.46521600000028</v>
      </c>
      <c r="M41" s="197">
        <f t="shared" si="79"/>
        <v>900.41521600000033</v>
      </c>
      <c r="N41" s="196">
        <f t="shared" si="90"/>
        <v>1007.0550751024125</v>
      </c>
      <c r="O41" s="197">
        <f t="shared" si="91"/>
        <v>156.41890930814745</v>
      </c>
      <c r="P41" s="197">
        <f t="shared" si="92"/>
        <v>363.00813609467446</v>
      </c>
      <c r="Q41" s="197">
        <f t="shared" si="93"/>
        <v>644.04693900773805</v>
      </c>
      <c r="R41" s="199">
        <f t="shared" si="94"/>
        <v>800.46584831588552</v>
      </c>
      <c r="S41" s="196">
        <f t="shared" si="146"/>
        <v>2673.2976786527083</v>
      </c>
      <c r="T41" s="197">
        <f t="shared" si="95"/>
        <v>664.22726729631313</v>
      </c>
      <c r="U41" s="197">
        <f t="shared" si="95"/>
        <v>3710.7856857751476</v>
      </c>
      <c r="V41" s="197">
        <f t="shared" si="95"/>
        <v>-1037.4880071224395</v>
      </c>
      <c r="W41" s="199">
        <f t="shared" si="95"/>
        <v>-373.26073982612638</v>
      </c>
      <c r="X41" s="197"/>
      <c r="Z41" s="900">
        <v>4</v>
      </c>
      <c r="AA41" s="197">
        <f t="shared" si="96"/>
        <v>15.733333333333334</v>
      </c>
      <c r="AB41" s="197">
        <f>'Energy Inputs'!$G$58*$AB$34</f>
        <v>108</v>
      </c>
      <c r="AC41" s="197">
        <f t="shared" si="147"/>
        <v>1699.2</v>
      </c>
      <c r="AD41" s="197">
        <f>'Margins summary'!$W$14</f>
        <v>175.95</v>
      </c>
      <c r="AE41" s="197">
        <f t="shared" si="97"/>
        <v>1875.15</v>
      </c>
      <c r="AF41" s="197"/>
      <c r="AG41" s="918">
        <f>'Energy NPV'!U94</f>
        <v>408.3347839999999</v>
      </c>
      <c r="AH41" s="197"/>
      <c r="AI41" s="197">
        <f t="shared" si="98"/>
        <v>408.3347839999999</v>
      </c>
      <c r="AJ41" s="197">
        <f t="shared" si="80"/>
        <v>1290.8652160000001</v>
      </c>
      <c r="AK41" s="197">
        <f t="shared" si="81"/>
        <v>1466.8152160000002</v>
      </c>
      <c r="AL41" s="196">
        <f t="shared" si="99"/>
        <v>1510.5826126536185</v>
      </c>
      <c r="AM41" s="197">
        <f t="shared" si="100"/>
        <v>156.41890930814745</v>
      </c>
      <c r="AN41" s="197">
        <f t="shared" si="101"/>
        <v>363.00813609467446</v>
      </c>
      <c r="AO41" s="197">
        <f t="shared" si="102"/>
        <v>1147.5744765589441</v>
      </c>
      <c r="AP41" s="199">
        <f t="shared" si="103"/>
        <v>1303.9933858670915</v>
      </c>
      <c r="AQ41" s="196">
        <f t="shared" si="148"/>
        <v>4009.9465179790623</v>
      </c>
      <c r="AR41" s="197">
        <f t="shared" si="104"/>
        <v>664.22726729631313</v>
      </c>
      <c r="AS41" s="197">
        <f t="shared" si="105"/>
        <v>3710.7856857751476</v>
      </c>
      <c r="AT41" s="197">
        <f t="shared" si="106"/>
        <v>299.16083220391442</v>
      </c>
      <c r="AU41" s="199">
        <f t="shared" si="107"/>
        <v>963.38809950022755</v>
      </c>
      <c r="AV41" s="197"/>
      <c r="AX41" s="900">
        <v>4</v>
      </c>
      <c r="AY41" s="197">
        <f t="shared" si="108"/>
        <v>15.733333333333334</v>
      </c>
      <c r="AZ41" s="197">
        <f>'Energy Inputs'!$G$58*$AZ$34</f>
        <v>36</v>
      </c>
      <c r="BA41" s="197">
        <f t="shared" si="149"/>
        <v>566.40000000000009</v>
      </c>
      <c r="BB41" s="197">
        <f>'Margins summary'!$W$14</f>
        <v>175.95</v>
      </c>
      <c r="BC41" s="197">
        <f t="shared" si="109"/>
        <v>742.35000000000014</v>
      </c>
      <c r="BD41" s="197"/>
      <c r="BE41" s="918">
        <f>'Energy NPV'!U94</f>
        <v>408.3347839999999</v>
      </c>
      <c r="BF41" s="197"/>
      <c r="BG41" s="197">
        <f t="shared" si="110"/>
        <v>408.3347839999999</v>
      </c>
      <c r="BH41" s="197">
        <f t="shared" si="82"/>
        <v>158.06521600000019</v>
      </c>
      <c r="BI41" s="197">
        <f t="shared" si="83"/>
        <v>334.01521600000024</v>
      </c>
      <c r="BJ41" s="196">
        <f t="shared" si="111"/>
        <v>503.52753755120625</v>
      </c>
      <c r="BK41" s="197">
        <f t="shared" si="112"/>
        <v>156.41890930814745</v>
      </c>
      <c r="BL41" s="197">
        <f t="shared" si="113"/>
        <v>363.00813609467446</v>
      </c>
      <c r="BM41" s="197">
        <f t="shared" si="114"/>
        <v>140.5194014565318</v>
      </c>
      <c r="BN41" s="199">
        <f t="shared" si="115"/>
        <v>296.93831076467927</v>
      </c>
      <c r="BO41" s="196">
        <f t="shared" si="150"/>
        <v>1336.6488393263542</v>
      </c>
      <c r="BP41" s="197">
        <f t="shared" si="116"/>
        <v>664.22726729631313</v>
      </c>
      <c r="BQ41" s="197">
        <f t="shared" si="117"/>
        <v>3710.7856857751476</v>
      </c>
      <c r="BR41" s="197">
        <f t="shared" si="118"/>
        <v>-2374.1368464487937</v>
      </c>
      <c r="BS41" s="199">
        <f t="shared" si="119"/>
        <v>-1709.9095791524805</v>
      </c>
      <c r="BT41" s="197"/>
      <c r="BV41" s="900">
        <v>4</v>
      </c>
      <c r="BW41" s="197">
        <f t="shared" si="120"/>
        <v>15.733333333333334</v>
      </c>
      <c r="BX41" s="197">
        <f>'Energy Inputs'!$G$58*$BX$34</f>
        <v>144</v>
      </c>
      <c r="BY41" s="197">
        <f t="shared" si="151"/>
        <v>2265.6000000000004</v>
      </c>
      <c r="BZ41" s="197">
        <f>'Margins summary'!$W$14</f>
        <v>175.95</v>
      </c>
      <c r="CA41" s="197">
        <f t="shared" si="121"/>
        <v>2441.5500000000002</v>
      </c>
      <c r="CB41" s="197"/>
      <c r="CC41" s="918">
        <f>'Energy NPV'!U94</f>
        <v>408.3347839999999</v>
      </c>
      <c r="CD41" s="197"/>
      <c r="CE41" s="197">
        <f t="shared" si="122"/>
        <v>408.3347839999999</v>
      </c>
      <c r="CF41" s="197">
        <f t="shared" si="84"/>
        <v>1857.2652160000005</v>
      </c>
      <c r="CG41" s="197">
        <f t="shared" si="85"/>
        <v>2033.2152160000003</v>
      </c>
      <c r="CH41" s="196">
        <f t="shared" si="123"/>
        <v>2014.110150204825</v>
      </c>
      <c r="CI41" s="197">
        <f t="shared" si="124"/>
        <v>156.41890930814745</v>
      </c>
      <c r="CJ41" s="197">
        <f t="shared" si="125"/>
        <v>363.00813609467446</v>
      </c>
      <c r="CK41" s="197">
        <f t="shared" si="126"/>
        <v>1651.1020141101505</v>
      </c>
      <c r="CL41" s="199">
        <f t="shared" si="127"/>
        <v>1807.5209234182978</v>
      </c>
      <c r="CM41" s="196">
        <f t="shared" si="152"/>
        <v>5346.5953573054167</v>
      </c>
      <c r="CN41" s="197">
        <f t="shared" si="128"/>
        <v>664.22726729631313</v>
      </c>
      <c r="CO41" s="197">
        <f t="shared" si="129"/>
        <v>3710.7856857751476</v>
      </c>
      <c r="CP41" s="197">
        <f t="shared" si="130"/>
        <v>1635.8096715302688</v>
      </c>
      <c r="CQ41" s="199">
        <f t="shared" si="131"/>
        <v>2300.0369388265817</v>
      </c>
      <c r="CR41" s="197"/>
      <c r="CT41" s="204">
        <f t="shared" si="153"/>
        <v>4</v>
      </c>
      <c r="CU41" s="197">
        <f t="shared" si="132"/>
        <v>15.733333333333334</v>
      </c>
      <c r="CV41" s="197">
        <f>'Energy Inputs'!$G$58*$CV$34</f>
        <v>0</v>
      </c>
      <c r="CW41" s="197">
        <f t="shared" si="154"/>
        <v>0</v>
      </c>
      <c r="CX41" s="197">
        <f>'Margins summary'!$W$14</f>
        <v>175.95</v>
      </c>
      <c r="CY41" s="197">
        <f t="shared" si="133"/>
        <v>175.95</v>
      </c>
      <c r="CZ41" s="197"/>
      <c r="DA41" s="918">
        <f>'Energy NPV'!U94</f>
        <v>408.3347839999999</v>
      </c>
      <c r="DB41" s="197"/>
      <c r="DC41" s="197">
        <f t="shared" si="134"/>
        <v>408.3347839999999</v>
      </c>
      <c r="DD41" s="197">
        <f t="shared" si="86"/>
        <v>-408.3347839999999</v>
      </c>
      <c r="DE41" s="197">
        <f t="shared" si="87"/>
        <v>-232.38478399999991</v>
      </c>
      <c r="DF41" s="196">
        <f t="shared" si="135"/>
        <v>0</v>
      </c>
      <c r="DG41" s="197">
        <f t="shared" si="136"/>
        <v>156.41890930814745</v>
      </c>
      <c r="DH41" s="197">
        <f t="shared" si="137"/>
        <v>363.00813609467446</v>
      </c>
      <c r="DI41" s="197">
        <f t="shared" si="138"/>
        <v>-363.00813609467446</v>
      </c>
      <c r="DJ41" s="199">
        <f t="shared" si="139"/>
        <v>-206.58922678652698</v>
      </c>
      <c r="DK41" s="196">
        <f t="shared" si="155"/>
        <v>0</v>
      </c>
      <c r="DL41" s="197">
        <f t="shared" si="140"/>
        <v>664.22726729631313</v>
      </c>
      <c r="DM41" s="197">
        <f t="shared" si="141"/>
        <v>3710.7856857751476</v>
      </c>
      <c r="DN41" s="197">
        <f t="shared" si="142"/>
        <v>-3710.7856857751476</v>
      </c>
      <c r="DO41" s="199">
        <f t="shared" si="143"/>
        <v>-3046.5584184788345</v>
      </c>
    </row>
    <row r="42" spans="2:119" x14ac:dyDescent="0.3">
      <c r="B42" s="204">
        <f t="shared" si="144"/>
        <v>5</v>
      </c>
      <c r="C42" s="197">
        <f>'Energy NPV'!$D95</f>
        <v>16.3</v>
      </c>
      <c r="D42" s="197">
        <f>'Energy Inputs'!$G$58*$E$34</f>
        <v>72</v>
      </c>
      <c r="E42" s="197">
        <f t="shared" si="145"/>
        <v>1173.6000000000001</v>
      </c>
      <c r="F42" s="197">
        <f>'Margins summary'!$W$14</f>
        <v>175.95</v>
      </c>
      <c r="G42" s="197">
        <f t="shared" si="88"/>
        <v>1349.5500000000002</v>
      </c>
      <c r="H42" s="197"/>
      <c r="I42" s="918">
        <f>'Energy NPV'!U95</f>
        <v>408.3347839999999</v>
      </c>
      <c r="J42" s="197"/>
      <c r="K42" s="197">
        <f t="shared" si="89"/>
        <v>408.3347839999999</v>
      </c>
      <c r="L42" s="197">
        <f t="shared" si="78"/>
        <v>765.26521600000024</v>
      </c>
      <c r="M42" s="197">
        <f t="shared" si="79"/>
        <v>941.21521600000028</v>
      </c>
      <c r="N42" s="196">
        <f t="shared" si="90"/>
        <v>1003.1981985924862</v>
      </c>
      <c r="O42" s="197">
        <f t="shared" si="91"/>
        <v>150.40279741168024</v>
      </c>
      <c r="P42" s="197">
        <f t="shared" si="92"/>
        <v>349.04628470641768</v>
      </c>
      <c r="Q42" s="197">
        <f t="shared" si="93"/>
        <v>654.15191388606854</v>
      </c>
      <c r="R42" s="199">
        <f t="shared" si="94"/>
        <v>804.55471129774878</v>
      </c>
      <c r="S42" s="196">
        <f t="shared" si="146"/>
        <v>3676.4958772451946</v>
      </c>
      <c r="T42" s="197">
        <f t="shared" si="95"/>
        <v>814.63006470799337</v>
      </c>
      <c r="U42" s="197">
        <f t="shared" si="95"/>
        <v>4059.8319704815653</v>
      </c>
      <c r="V42" s="197">
        <f t="shared" si="95"/>
        <v>-383.33609323637097</v>
      </c>
      <c r="W42" s="199">
        <f t="shared" si="95"/>
        <v>431.2939714716224</v>
      </c>
      <c r="X42" s="197"/>
      <c r="Z42" s="900">
        <v>5</v>
      </c>
      <c r="AA42" s="197">
        <f t="shared" si="96"/>
        <v>16.3</v>
      </c>
      <c r="AB42" s="197">
        <f>'Energy Inputs'!$G$58*$AB$34</f>
        <v>108</v>
      </c>
      <c r="AC42" s="197">
        <f t="shared" si="147"/>
        <v>1760.4</v>
      </c>
      <c r="AD42" s="197">
        <f>'Margins summary'!$W$14</f>
        <v>175.95</v>
      </c>
      <c r="AE42" s="197">
        <f t="shared" si="97"/>
        <v>1936.3500000000001</v>
      </c>
      <c r="AF42" s="197"/>
      <c r="AG42" s="918">
        <f>'Energy NPV'!U95</f>
        <v>408.3347839999999</v>
      </c>
      <c r="AH42" s="197"/>
      <c r="AI42" s="197">
        <f t="shared" si="98"/>
        <v>408.3347839999999</v>
      </c>
      <c r="AJ42" s="197">
        <f t="shared" si="80"/>
        <v>1352.0652160000002</v>
      </c>
      <c r="AK42" s="197">
        <f t="shared" si="81"/>
        <v>1528.0152160000002</v>
      </c>
      <c r="AL42" s="196">
        <f t="shared" si="99"/>
        <v>1504.7972978887292</v>
      </c>
      <c r="AM42" s="197">
        <f t="shared" si="100"/>
        <v>150.40279741168024</v>
      </c>
      <c r="AN42" s="197">
        <f t="shared" si="101"/>
        <v>349.04628470641768</v>
      </c>
      <c r="AO42" s="197">
        <f t="shared" si="102"/>
        <v>1155.7510131823115</v>
      </c>
      <c r="AP42" s="199">
        <f t="shared" si="103"/>
        <v>1306.1538105939917</v>
      </c>
      <c r="AQ42" s="196">
        <f t="shared" si="148"/>
        <v>5514.7438158677915</v>
      </c>
      <c r="AR42" s="197">
        <f t="shared" si="104"/>
        <v>814.63006470799337</v>
      </c>
      <c r="AS42" s="197">
        <f t="shared" si="105"/>
        <v>4059.8319704815653</v>
      </c>
      <c r="AT42" s="197">
        <f t="shared" si="106"/>
        <v>1454.9118453862259</v>
      </c>
      <c r="AU42" s="199">
        <f t="shared" si="107"/>
        <v>2269.541910094219</v>
      </c>
      <c r="AV42" s="197"/>
      <c r="AX42" s="900">
        <v>5</v>
      </c>
      <c r="AY42" s="197">
        <f t="shared" si="108"/>
        <v>16.3</v>
      </c>
      <c r="AZ42" s="197">
        <f>'Energy Inputs'!$G$58*$AZ$34</f>
        <v>36</v>
      </c>
      <c r="BA42" s="197">
        <f t="shared" si="149"/>
        <v>586.80000000000007</v>
      </c>
      <c r="BB42" s="197">
        <f>'Margins summary'!$W$14</f>
        <v>175.95</v>
      </c>
      <c r="BC42" s="197">
        <f t="shared" si="109"/>
        <v>762.75</v>
      </c>
      <c r="BD42" s="197"/>
      <c r="BE42" s="918">
        <f>'Energy NPV'!U95</f>
        <v>408.3347839999999</v>
      </c>
      <c r="BF42" s="197"/>
      <c r="BG42" s="197">
        <f t="shared" si="110"/>
        <v>408.3347839999999</v>
      </c>
      <c r="BH42" s="197">
        <f t="shared" si="82"/>
        <v>178.46521600000017</v>
      </c>
      <c r="BI42" s="197">
        <f t="shared" si="83"/>
        <v>354.4152160000001</v>
      </c>
      <c r="BJ42" s="196">
        <f t="shared" si="111"/>
        <v>501.59909929624308</v>
      </c>
      <c r="BK42" s="197">
        <f t="shared" si="112"/>
        <v>150.40279741168024</v>
      </c>
      <c r="BL42" s="197">
        <f t="shared" si="113"/>
        <v>349.04628470641768</v>
      </c>
      <c r="BM42" s="197">
        <f t="shared" si="114"/>
        <v>152.5528145898254</v>
      </c>
      <c r="BN42" s="199">
        <f t="shared" si="115"/>
        <v>302.95561200150559</v>
      </c>
      <c r="BO42" s="196">
        <f t="shared" si="150"/>
        <v>1838.2479386225973</v>
      </c>
      <c r="BP42" s="197">
        <f t="shared" si="116"/>
        <v>814.63006470799337</v>
      </c>
      <c r="BQ42" s="197">
        <f t="shared" si="117"/>
        <v>4059.8319704815653</v>
      </c>
      <c r="BR42" s="197">
        <f t="shared" si="118"/>
        <v>-2221.584031858968</v>
      </c>
      <c r="BS42" s="199">
        <f t="shared" si="119"/>
        <v>-1406.9539671509749</v>
      </c>
      <c r="BT42" s="197"/>
      <c r="BV42" s="900">
        <v>5</v>
      </c>
      <c r="BW42" s="197">
        <f t="shared" si="120"/>
        <v>16.3</v>
      </c>
      <c r="BX42" s="197">
        <f>'Energy Inputs'!$G$58*$BX$34</f>
        <v>144</v>
      </c>
      <c r="BY42" s="197">
        <f t="shared" si="151"/>
        <v>2347.2000000000003</v>
      </c>
      <c r="BZ42" s="197">
        <f>'Margins summary'!$W$14</f>
        <v>175.95</v>
      </c>
      <c r="CA42" s="197">
        <f t="shared" si="121"/>
        <v>2523.15</v>
      </c>
      <c r="CB42" s="197"/>
      <c r="CC42" s="918">
        <f>'Energy NPV'!U95</f>
        <v>408.3347839999999</v>
      </c>
      <c r="CD42" s="197"/>
      <c r="CE42" s="197">
        <f t="shared" si="122"/>
        <v>408.3347839999999</v>
      </c>
      <c r="CF42" s="197">
        <f t="shared" si="84"/>
        <v>1938.8652160000004</v>
      </c>
      <c r="CG42" s="197">
        <f t="shared" si="85"/>
        <v>2114.815216</v>
      </c>
      <c r="CH42" s="196">
        <f t="shared" si="123"/>
        <v>2006.3963971849723</v>
      </c>
      <c r="CI42" s="197">
        <f t="shared" si="124"/>
        <v>150.40279741168024</v>
      </c>
      <c r="CJ42" s="197">
        <f t="shared" si="125"/>
        <v>349.04628470641768</v>
      </c>
      <c r="CK42" s="197">
        <f t="shared" si="126"/>
        <v>1657.3501124785546</v>
      </c>
      <c r="CL42" s="199">
        <f t="shared" si="127"/>
        <v>1807.7529098902346</v>
      </c>
      <c r="CM42" s="196">
        <f t="shared" si="152"/>
        <v>7352.9917544903892</v>
      </c>
      <c r="CN42" s="197">
        <f t="shared" si="128"/>
        <v>814.63006470799337</v>
      </c>
      <c r="CO42" s="197">
        <f t="shared" si="129"/>
        <v>4059.8319704815653</v>
      </c>
      <c r="CP42" s="197">
        <f t="shared" si="130"/>
        <v>3293.1597840088234</v>
      </c>
      <c r="CQ42" s="199">
        <f t="shared" si="131"/>
        <v>4107.7898487168168</v>
      </c>
      <c r="CR42" s="197"/>
      <c r="CT42" s="204">
        <f t="shared" si="153"/>
        <v>5</v>
      </c>
      <c r="CU42" s="197">
        <f t="shared" si="132"/>
        <v>16.3</v>
      </c>
      <c r="CV42" s="197">
        <f>'Energy Inputs'!$G$58*$CV$34</f>
        <v>0</v>
      </c>
      <c r="CW42" s="197">
        <f t="shared" si="154"/>
        <v>0</v>
      </c>
      <c r="CX42" s="197">
        <f>'Margins summary'!$W$14</f>
        <v>175.95</v>
      </c>
      <c r="CY42" s="197">
        <f t="shared" si="133"/>
        <v>175.95</v>
      </c>
      <c r="CZ42" s="197"/>
      <c r="DA42" s="918">
        <f>'Energy NPV'!U95</f>
        <v>408.3347839999999</v>
      </c>
      <c r="DB42" s="197"/>
      <c r="DC42" s="197">
        <f t="shared" si="134"/>
        <v>408.3347839999999</v>
      </c>
      <c r="DD42" s="197">
        <f t="shared" si="86"/>
        <v>-408.3347839999999</v>
      </c>
      <c r="DE42" s="197">
        <f t="shared" si="87"/>
        <v>-232.38478399999991</v>
      </c>
      <c r="DF42" s="196">
        <f t="shared" si="135"/>
        <v>0</v>
      </c>
      <c r="DG42" s="197">
        <f t="shared" si="136"/>
        <v>150.40279741168024</v>
      </c>
      <c r="DH42" s="197">
        <f t="shared" si="137"/>
        <v>349.04628470641768</v>
      </c>
      <c r="DI42" s="197">
        <f t="shared" si="138"/>
        <v>-349.04628470641768</v>
      </c>
      <c r="DJ42" s="199">
        <f t="shared" si="139"/>
        <v>-198.64348729473747</v>
      </c>
      <c r="DK42" s="196">
        <f t="shared" si="155"/>
        <v>0</v>
      </c>
      <c r="DL42" s="197">
        <f t="shared" si="140"/>
        <v>814.63006470799337</v>
      </c>
      <c r="DM42" s="197">
        <f t="shared" si="141"/>
        <v>4059.8319704815653</v>
      </c>
      <c r="DN42" s="197">
        <f t="shared" si="142"/>
        <v>-4059.8319704815653</v>
      </c>
      <c r="DO42" s="199">
        <f t="shared" si="143"/>
        <v>-3245.201905773572</v>
      </c>
    </row>
    <row r="43" spans="2:119" x14ac:dyDescent="0.3">
      <c r="B43" s="204">
        <f t="shared" si="144"/>
        <v>6</v>
      </c>
      <c r="C43" s="197">
        <f>'Energy NPV'!$D96</f>
        <v>16.3</v>
      </c>
      <c r="D43" s="197">
        <f>'Energy Inputs'!$G$58*$E$34</f>
        <v>72</v>
      </c>
      <c r="E43" s="197">
        <f t="shared" si="145"/>
        <v>1173.6000000000001</v>
      </c>
      <c r="F43" s="197">
        <f>'Margins summary'!$W$14</f>
        <v>175.95</v>
      </c>
      <c r="G43" s="197">
        <f t="shared" si="88"/>
        <v>1349.5500000000002</v>
      </c>
      <c r="H43" s="197"/>
      <c r="I43" s="918">
        <f>'Energy NPV'!U96</f>
        <v>408.3347839999999</v>
      </c>
      <c r="J43" s="197"/>
      <c r="K43" s="197">
        <f t="shared" si="89"/>
        <v>408.3347839999999</v>
      </c>
      <c r="L43" s="197">
        <f t="shared" si="78"/>
        <v>765.26521600000024</v>
      </c>
      <c r="M43" s="197">
        <f t="shared" si="79"/>
        <v>941.21521600000028</v>
      </c>
      <c r="N43" s="196">
        <f t="shared" si="90"/>
        <v>964.61365249277503</v>
      </c>
      <c r="O43" s="197">
        <f t="shared" si="91"/>
        <v>144.61807443430789</v>
      </c>
      <c r="P43" s="197">
        <f t="shared" si="92"/>
        <v>335.62142760232467</v>
      </c>
      <c r="Q43" s="197">
        <f t="shared" si="93"/>
        <v>628.99222489045042</v>
      </c>
      <c r="R43" s="199">
        <f t="shared" si="94"/>
        <v>773.61029932475833</v>
      </c>
      <c r="S43" s="196">
        <f t="shared" si="146"/>
        <v>4641.1095297379698</v>
      </c>
      <c r="T43" s="197">
        <f t="shared" si="95"/>
        <v>959.24813914230128</v>
      </c>
      <c r="U43" s="197">
        <f t="shared" si="95"/>
        <v>4395.4533980838896</v>
      </c>
      <c r="V43" s="197">
        <f t="shared" si="95"/>
        <v>245.65613165407945</v>
      </c>
      <c r="W43" s="199">
        <f t="shared" si="95"/>
        <v>1204.9042707963808</v>
      </c>
      <c r="X43" s="197"/>
      <c r="Z43" s="900">
        <v>6</v>
      </c>
      <c r="AA43" s="197">
        <f t="shared" si="96"/>
        <v>16.3</v>
      </c>
      <c r="AB43" s="197">
        <f>'Energy Inputs'!$G$58*$AB$34</f>
        <v>108</v>
      </c>
      <c r="AC43" s="197">
        <f t="shared" si="147"/>
        <v>1760.4</v>
      </c>
      <c r="AD43" s="197">
        <f>'Margins summary'!$W$14</f>
        <v>175.95</v>
      </c>
      <c r="AE43" s="197">
        <f t="shared" si="97"/>
        <v>1936.3500000000001</v>
      </c>
      <c r="AF43" s="197"/>
      <c r="AG43" s="918">
        <f>'Energy NPV'!U96</f>
        <v>408.3347839999999</v>
      </c>
      <c r="AH43" s="197"/>
      <c r="AI43" s="197">
        <f t="shared" si="98"/>
        <v>408.3347839999999</v>
      </c>
      <c r="AJ43" s="197">
        <f t="shared" si="80"/>
        <v>1352.0652160000002</v>
      </c>
      <c r="AK43" s="197">
        <f t="shared" si="81"/>
        <v>1528.0152160000002</v>
      </c>
      <c r="AL43" s="196">
        <f t="shared" si="99"/>
        <v>1446.9204787391625</v>
      </c>
      <c r="AM43" s="197">
        <f t="shared" si="100"/>
        <v>144.61807443430789</v>
      </c>
      <c r="AN43" s="197">
        <f t="shared" si="101"/>
        <v>335.62142760232467</v>
      </c>
      <c r="AO43" s="197">
        <f t="shared" si="102"/>
        <v>1111.2990511368378</v>
      </c>
      <c r="AP43" s="199">
        <f t="shared" si="103"/>
        <v>1255.9171255711458</v>
      </c>
      <c r="AQ43" s="196">
        <f t="shared" si="148"/>
        <v>6961.6642946069542</v>
      </c>
      <c r="AR43" s="197">
        <f t="shared" si="104"/>
        <v>959.24813914230128</v>
      </c>
      <c r="AS43" s="197">
        <f t="shared" si="105"/>
        <v>4395.4533980838896</v>
      </c>
      <c r="AT43" s="197">
        <f t="shared" si="106"/>
        <v>2566.2108965230636</v>
      </c>
      <c r="AU43" s="199">
        <f t="shared" si="107"/>
        <v>3525.4590356653648</v>
      </c>
      <c r="AV43" s="197"/>
      <c r="AX43" s="900">
        <v>6</v>
      </c>
      <c r="AY43" s="197">
        <f t="shared" si="108"/>
        <v>16.3</v>
      </c>
      <c r="AZ43" s="197">
        <f>'Energy Inputs'!$G$58*$AZ$34</f>
        <v>36</v>
      </c>
      <c r="BA43" s="197">
        <f t="shared" si="149"/>
        <v>586.80000000000007</v>
      </c>
      <c r="BB43" s="197">
        <f>'Margins summary'!$W$14</f>
        <v>175.95</v>
      </c>
      <c r="BC43" s="197">
        <f t="shared" si="109"/>
        <v>762.75</v>
      </c>
      <c r="BD43" s="197"/>
      <c r="BE43" s="918">
        <f>'Energy NPV'!U96</f>
        <v>408.3347839999999</v>
      </c>
      <c r="BF43" s="197"/>
      <c r="BG43" s="197">
        <f t="shared" si="110"/>
        <v>408.3347839999999</v>
      </c>
      <c r="BH43" s="197">
        <f t="shared" si="82"/>
        <v>178.46521600000017</v>
      </c>
      <c r="BI43" s="197">
        <f t="shared" si="83"/>
        <v>354.4152160000001</v>
      </c>
      <c r="BJ43" s="196">
        <f t="shared" si="111"/>
        <v>482.30682624638752</v>
      </c>
      <c r="BK43" s="197">
        <f t="shared" si="112"/>
        <v>144.61807443430789</v>
      </c>
      <c r="BL43" s="197">
        <f t="shared" si="113"/>
        <v>335.62142760232467</v>
      </c>
      <c r="BM43" s="197">
        <f t="shared" si="114"/>
        <v>146.68539864406287</v>
      </c>
      <c r="BN43" s="199">
        <f t="shared" si="115"/>
        <v>291.3034730783707</v>
      </c>
      <c r="BO43" s="196">
        <f t="shared" si="150"/>
        <v>2320.5547648689849</v>
      </c>
      <c r="BP43" s="197">
        <f t="shared" si="116"/>
        <v>959.24813914230128</v>
      </c>
      <c r="BQ43" s="197">
        <f t="shared" si="117"/>
        <v>4395.4533980838896</v>
      </c>
      <c r="BR43" s="197">
        <f t="shared" si="118"/>
        <v>-2074.8986332149052</v>
      </c>
      <c r="BS43" s="199">
        <f t="shared" si="119"/>
        <v>-1115.6504940726043</v>
      </c>
      <c r="BT43" s="197"/>
      <c r="BV43" s="900">
        <v>6</v>
      </c>
      <c r="BW43" s="197">
        <f t="shared" si="120"/>
        <v>16.3</v>
      </c>
      <c r="BX43" s="197">
        <f>'Energy Inputs'!$G$58*$BX$34</f>
        <v>144</v>
      </c>
      <c r="BY43" s="197">
        <f t="shared" si="151"/>
        <v>2347.2000000000003</v>
      </c>
      <c r="BZ43" s="197">
        <f>'Margins summary'!$W$14</f>
        <v>175.95</v>
      </c>
      <c r="CA43" s="197">
        <f t="shared" si="121"/>
        <v>2523.15</v>
      </c>
      <c r="CB43" s="197"/>
      <c r="CC43" s="918">
        <f>'Energy NPV'!U96</f>
        <v>408.3347839999999</v>
      </c>
      <c r="CD43" s="197"/>
      <c r="CE43" s="197">
        <f t="shared" si="122"/>
        <v>408.3347839999999</v>
      </c>
      <c r="CF43" s="197">
        <f t="shared" si="84"/>
        <v>1938.8652160000004</v>
      </c>
      <c r="CG43" s="197">
        <f t="shared" si="85"/>
        <v>2114.815216</v>
      </c>
      <c r="CH43" s="196">
        <f t="shared" si="123"/>
        <v>1929.2273049855501</v>
      </c>
      <c r="CI43" s="197">
        <f t="shared" si="124"/>
        <v>144.61807443430789</v>
      </c>
      <c r="CJ43" s="197">
        <f t="shared" si="125"/>
        <v>335.62142760232467</v>
      </c>
      <c r="CK43" s="197">
        <f t="shared" si="126"/>
        <v>1593.6058773832256</v>
      </c>
      <c r="CL43" s="199">
        <f t="shared" si="127"/>
        <v>1738.2239518175331</v>
      </c>
      <c r="CM43" s="196">
        <f t="shared" si="152"/>
        <v>9282.2190594759395</v>
      </c>
      <c r="CN43" s="197">
        <f t="shared" si="128"/>
        <v>959.24813914230128</v>
      </c>
      <c r="CO43" s="197">
        <f t="shared" si="129"/>
        <v>4395.4533980838896</v>
      </c>
      <c r="CP43" s="197">
        <f t="shared" si="130"/>
        <v>4886.765661392049</v>
      </c>
      <c r="CQ43" s="199">
        <f t="shared" si="131"/>
        <v>5846.0138005343497</v>
      </c>
      <c r="CR43" s="197"/>
      <c r="CT43" s="204">
        <f t="shared" si="153"/>
        <v>6</v>
      </c>
      <c r="CU43" s="197">
        <f t="shared" si="132"/>
        <v>16.3</v>
      </c>
      <c r="CV43" s="197">
        <f>'Energy Inputs'!$G$58*$CV$34</f>
        <v>0</v>
      </c>
      <c r="CW43" s="197">
        <f t="shared" si="154"/>
        <v>0</v>
      </c>
      <c r="CX43" s="197">
        <f>'Margins summary'!$W$14</f>
        <v>175.95</v>
      </c>
      <c r="CY43" s="197">
        <f t="shared" si="133"/>
        <v>175.95</v>
      </c>
      <c r="CZ43" s="197"/>
      <c r="DA43" s="918">
        <f>'Energy NPV'!U96</f>
        <v>408.3347839999999</v>
      </c>
      <c r="DB43" s="197"/>
      <c r="DC43" s="197">
        <f t="shared" si="134"/>
        <v>408.3347839999999</v>
      </c>
      <c r="DD43" s="197">
        <f t="shared" si="86"/>
        <v>-408.3347839999999</v>
      </c>
      <c r="DE43" s="197">
        <f t="shared" si="87"/>
        <v>-232.38478399999991</v>
      </c>
      <c r="DF43" s="196">
        <f t="shared" si="135"/>
        <v>0</v>
      </c>
      <c r="DG43" s="197">
        <f t="shared" si="136"/>
        <v>144.61807443430789</v>
      </c>
      <c r="DH43" s="197">
        <f t="shared" si="137"/>
        <v>335.62142760232467</v>
      </c>
      <c r="DI43" s="197">
        <f t="shared" si="138"/>
        <v>-335.62142760232467</v>
      </c>
      <c r="DJ43" s="199">
        <f t="shared" si="139"/>
        <v>-191.00335316801679</v>
      </c>
      <c r="DK43" s="196">
        <f t="shared" si="155"/>
        <v>0</v>
      </c>
      <c r="DL43" s="197">
        <f t="shared" si="140"/>
        <v>959.24813914230128</v>
      </c>
      <c r="DM43" s="197">
        <f t="shared" si="141"/>
        <v>4395.4533980838896</v>
      </c>
      <c r="DN43" s="197">
        <f t="shared" si="142"/>
        <v>-4395.4533980838896</v>
      </c>
      <c r="DO43" s="199">
        <f t="shared" si="143"/>
        <v>-3436.2052589415889</v>
      </c>
    </row>
    <row r="44" spans="2:119" x14ac:dyDescent="0.3">
      <c r="B44" s="204">
        <f t="shared" si="144"/>
        <v>7</v>
      </c>
      <c r="C44" s="197">
        <f>'Energy NPV'!$D97</f>
        <v>16.3</v>
      </c>
      <c r="D44" s="197">
        <f>'Energy Inputs'!$G$58*$E$34</f>
        <v>72</v>
      </c>
      <c r="E44" s="197">
        <f t="shared" si="145"/>
        <v>1173.6000000000001</v>
      </c>
      <c r="F44" s="197">
        <f>'Margins summary'!$W$14</f>
        <v>175.95</v>
      </c>
      <c r="G44" s="197">
        <f t="shared" si="88"/>
        <v>1349.5500000000002</v>
      </c>
      <c r="H44" s="197"/>
      <c r="I44" s="918">
        <f>'Energy NPV'!U97</f>
        <v>408.3347839999999</v>
      </c>
      <c r="J44" s="197"/>
      <c r="K44" s="197">
        <f t="shared" si="89"/>
        <v>408.3347839999999</v>
      </c>
      <c r="L44" s="197">
        <f t="shared" si="78"/>
        <v>765.26521600000024</v>
      </c>
      <c r="M44" s="197">
        <f t="shared" si="79"/>
        <v>941.21521600000028</v>
      </c>
      <c r="N44" s="196">
        <f t="shared" si="90"/>
        <v>927.51312739689911</v>
      </c>
      <c r="O44" s="197">
        <f t="shared" si="91"/>
        <v>139.05584080221914</v>
      </c>
      <c r="P44" s="197">
        <f t="shared" si="92"/>
        <v>322.71291115608142</v>
      </c>
      <c r="Q44" s="197">
        <f t="shared" si="93"/>
        <v>604.80021624081769</v>
      </c>
      <c r="R44" s="199">
        <f t="shared" si="94"/>
        <v>743.85605704303691</v>
      </c>
      <c r="S44" s="196">
        <f t="shared" si="146"/>
        <v>5568.6226571348689</v>
      </c>
      <c r="T44" s="197">
        <f t="shared" si="95"/>
        <v>1098.3039799445205</v>
      </c>
      <c r="U44" s="197">
        <f t="shared" si="95"/>
        <v>4718.1663092399713</v>
      </c>
      <c r="V44" s="197">
        <f t="shared" si="95"/>
        <v>850.45634789489714</v>
      </c>
      <c r="W44" s="199">
        <f t="shared" si="95"/>
        <v>1948.7603278394176</v>
      </c>
      <c r="X44" s="197"/>
      <c r="Z44" s="900">
        <v>7</v>
      </c>
      <c r="AA44" s="197">
        <f t="shared" si="96"/>
        <v>16.3</v>
      </c>
      <c r="AB44" s="197">
        <f>'Energy Inputs'!$G$58*$AB$34</f>
        <v>108</v>
      </c>
      <c r="AC44" s="197">
        <f t="shared" si="147"/>
        <v>1760.4</v>
      </c>
      <c r="AD44" s="197">
        <f>'Margins summary'!$W$14</f>
        <v>175.95</v>
      </c>
      <c r="AE44" s="197">
        <f t="shared" si="97"/>
        <v>1936.3500000000001</v>
      </c>
      <c r="AF44" s="197"/>
      <c r="AG44" s="918">
        <f>'Energy NPV'!U97</f>
        <v>408.3347839999999</v>
      </c>
      <c r="AH44" s="197"/>
      <c r="AI44" s="197">
        <f t="shared" si="98"/>
        <v>408.3347839999999</v>
      </c>
      <c r="AJ44" s="197">
        <f t="shared" si="80"/>
        <v>1352.0652160000002</v>
      </c>
      <c r="AK44" s="197">
        <f t="shared" si="81"/>
        <v>1528.0152160000002</v>
      </c>
      <c r="AL44" s="196">
        <f t="shared" si="99"/>
        <v>1391.2696910953487</v>
      </c>
      <c r="AM44" s="197">
        <f t="shared" si="100"/>
        <v>139.05584080221914</v>
      </c>
      <c r="AN44" s="197">
        <f t="shared" si="101"/>
        <v>322.71291115608142</v>
      </c>
      <c r="AO44" s="197">
        <f t="shared" si="102"/>
        <v>1068.5567799392672</v>
      </c>
      <c r="AP44" s="199">
        <f t="shared" si="103"/>
        <v>1207.6126207414864</v>
      </c>
      <c r="AQ44" s="196">
        <f t="shared" si="148"/>
        <v>8352.9339857023024</v>
      </c>
      <c r="AR44" s="197">
        <f t="shared" si="104"/>
        <v>1098.3039799445205</v>
      </c>
      <c r="AS44" s="197">
        <f t="shared" si="105"/>
        <v>4718.1663092399713</v>
      </c>
      <c r="AT44" s="197">
        <f t="shared" si="106"/>
        <v>3634.7676764623311</v>
      </c>
      <c r="AU44" s="199">
        <f t="shared" si="107"/>
        <v>4733.0716564068516</v>
      </c>
      <c r="AV44" s="197"/>
      <c r="AX44" s="900">
        <v>7</v>
      </c>
      <c r="AY44" s="197">
        <f t="shared" si="108"/>
        <v>16.3</v>
      </c>
      <c r="AZ44" s="197">
        <f>'Energy Inputs'!$G$58*$AZ$34</f>
        <v>36</v>
      </c>
      <c r="BA44" s="197">
        <f t="shared" si="149"/>
        <v>586.80000000000007</v>
      </c>
      <c r="BB44" s="197">
        <f>'Margins summary'!$W$14</f>
        <v>175.95</v>
      </c>
      <c r="BC44" s="197">
        <f t="shared" si="109"/>
        <v>762.75</v>
      </c>
      <c r="BD44" s="197"/>
      <c r="BE44" s="918">
        <f>'Energy NPV'!U97</f>
        <v>408.3347839999999</v>
      </c>
      <c r="BF44" s="197"/>
      <c r="BG44" s="197">
        <f t="shared" si="110"/>
        <v>408.3347839999999</v>
      </c>
      <c r="BH44" s="197">
        <f t="shared" si="82"/>
        <v>178.46521600000017</v>
      </c>
      <c r="BI44" s="197">
        <f t="shared" si="83"/>
        <v>354.4152160000001</v>
      </c>
      <c r="BJ44" s="196">
        <f t="shared" si="111"/>
        <v>463.75656369844955</v>
      </c>
      <c r="BK44" s="197">
        <f t="shared" si="112"/>
        <v>139.05584080221914</v>
      </c>
      <c r="BL44" s="197">
        <f t="shared" si="113"/>
        <v>322.71291115608142</v>
      </c>
      <c r="BM44" s="197">
        <f t="shared" si="114"/>
        <v>141.04365254236814</v>
      </c>
      <c r="BN44" s="199">
        <f t="shared" si="115"/>
        <v>280.09949334458724</v>
      </c>
      <c r="BO44" s="196">
        <f t="shared" si="150"/>
        <v>2784.3113285674344</v>
      </c>
      <c r="BP44" s="197">
        <f t="shared" si="116"/>
        <v>1098.3039799445205</v>
      </c>
      <c r="BQ44" s="197">
        <f t="shared" si="117"/>
        <v>4718.1663092399713</v>
      </c>
      <c r="BR44" s="197">
        <f t="shared" si="118"/>
        <v>-1933.8549806725371</v>
      </c>
      <c r="BS44" s="199">
        <f t="shared" si="119"/>
        <v>-835.55100072801702</v>
      </c>
      <c r="BT44" s="197"/>
      <c r="BV44" s="900">
        <v>7</v>
      </c>
      <c r="BW44" s="197">
        <f t="shared" si="120"/>
        <v>16.3</v>
      </c>
      <c r="BX44" s="197">
        <f>'Energy Inputs'!$G$58*$BX$34</f>
        <v>144</v>
      </c>
      <c r="BY44" s="197">
        <f t="shared" si="151"/>
        <v>2347.2000000000003</v>
      </c>
      <c r="BZ44" s="197">
        <f>'Margins summary'!$W$14</f>
        <v>175.95</v>
      </c>
      <c r="CA44" s="197">
        <f t="shared" si="121"/>
        <v>2523.15</v>
      </c>
      <c r="CB44" s="197"/>
      <c r="CC44" s="918">
        <f>'Energy NPV'!U97</f>
        <v>408.3347839999999</v>
      </c>
      <c r="CD44" s="197"/>
      <c r="CE44" s="197">
        <f t="shared" si="122"/>
        <v>408.3347839999999</v>
      </c>
      <c r="CF44" s="197">
        <f t="shared" si="84"/>
        <v>1938.8652160000004</v>
      </c>
      <c r="CG44" s="197">
        <f t="shared" si="85"/>
        <v>2114.815216</v>
      </c>
      <c r="CH44" s="196">
        <f t="shared" si="123"/>
        <v>1855.0262547937982</v>
      </c>
      <c r="CI44" s="197">
        <f t="shared" si="124"/>
        <v>139.05584080221914</v>
      </c>
      <c r="CJ44" s="197">
        <f t="shared" si="125"/>
        <v>322.71291115608142</v>
      </c>
      <c r="CK44" s="197">
        <f t="shared" si="126"/>
        <v>1532.3133436377168</v>
      </c>
      <c r="CL44" s="199">
        <f t="shared" si="127"/>
        <v>1671.3691844399357</v>
      </c>
      <c r="CM44" s="196">
        <f t="shared" si="152"/>
        <v>11137.245314269738</v>
      </c>
      <c r="CN44" s="197">
        <f t="shared" si="128"/>
        <v>1098.3039799445205</v>
      </c>
      <c r="CO44" s="197">
        <f t="shared" si="129"/>
        <v>4718.1663092399713</v>
      </c>
      <c r="CP44" s="197">
        <f t="shared" si="130"/>
        <v>6419.0790050297655</v>
      </c>
      <c r="CQ44" s="199">
        <f t="shared" si="131"/>
        <v>7517.3829849742851</v>
      </c>
      <c r="CR44" s="197"/>
      <c r="CT44" s="204">
        <f t="shared" si="153"/>
        <v>7</v>
      </c>
      <c r="CU44" s="197">
        <f t="shared" si="132"/>
        <v>16.3</v>
      </c>
      <c r="CV44" s="197">
        <f>'Energy Inputs'!$G$58*$CV$34</f>
        <v>0</v>
      </c>
      <c r="CW44" s="197">
        <f t="shared" si="154"/>
        <v>0</v>
      </c>
      <c r="CX44" s="197">
        <f>'Margins summary'!$W$14</f>
        <v>175.95</v>
      </c>
      <c r="CY44" s="197">
        <f t="shared" si="133"/>
        <v>175.95</v>
      </c>
      <c r="CZ44" s="197"/>
      <c r="DA44" s="918">
        <f>'Energy NPV'!U97</f>
        <v>408.3347839999999</v>
      </c>
      <c r="DB44" s="197"/>
      <c r="DC44" s="197">
        <f t="shared" si="134"/>
        <v>408.3347839999999</v>
      </c>
      <c r="DD44" s="197">
        <f t="shared" si="86"/>
        <v>-408.3347839999999</v>
      </c>
      <c r="DE44" s="197">
        <f t="shared" si="87"/>
        <v>-232.38478399999991</v>
      </c>
      <c r="DF44" s="196">
        <f t="shared" si="135"/>
        <v>0</v>
      </c>
      <c r="DG44" s="197">
        <f t="shared" si="136"/>
        <v>139.05584080221914</v>
      </c>
      <c r="DH44" s="197">
        <f t="shared" si="137"/>
        <v>322.71291115608142</v>
      </c>
      <c r="DI44" s="197">
        <f t="shared" si="138"/>
        <v>-322.71291115608142</v>
      </c>
      <c r="DJ44" s="199">
        <f t="shared" si="139"/>
        <v>-183.65707035386228</v>
      </c>
      <c r="DK44" s="196">
        <f t="shared" si="155"/>
        <v>0</v>
      </c>
      <c r="DL44" s="197">
        <f t="shared" si="140"/>
        <v>1098.3039799445205</v>
      </c>
      <c r="DM44" s="197">
        <f t="shared" si="141"/>
        <v>4718.1663092399713</v>
      </c>
      <c r="DN44" s="197">
        <f t="shared" si="142"/>
        <v>-4718.1663092399713</v>
      </c>
      <c r="DO44" s="199">
        <f t="shared" si="143"/>
        <v>-3619.8623292954512</v>
      </c>
    </row>
    <row r="45" spans="2:119" x14ac:dyDescent="0.3">
      <c r="B45" s="204">
        <f t="shared" si="144"/>
        <v>8</v>
      </c>
      <c r="C45" s="197">
        <f>'Energy NPV'!$D98</f>
        <v>16.3</v>
      </c>
      <c r="D45" s="197">
        <f>'Energy Inputs'!$G$58*$E$34</f>
        <v>72</v>
      </c>
      <c r="E45" s="197">
        <f t="shared" si="145"/>
        <v>1173.6000000000001</v>
      </c>
      <c r="F45" s="197">
        <f>'Margins summary'!$W$14</f>
        <v>175.95</v>
      </c>
      <c r="G45" s="197">
        <f t="shared" si="88"/>
        <v>1349.5500000000002</v>
      </c>
      <c r="H45" s="197"/>
      <c r="I45" s="918">
        <f>'Energy NPV'!U98</f>
        <v>408.3347839999999</v>
      </c>
      <c r="J45" s="197"/>
      <c r="K45" s="197">
        <f t="shared" si="89"/>
        <v>408.3347839999999</v>
      </c>
      <c r="L45" s="197">
        <f t="shared" si="78"/>
        <v>765.26521600000024</v>
      </c>
      <c r="M45" s="197">
        <f t="shared" si="79"/>
        <v>941.21521600000028</v>
      </c>
      <c r="N45" s="196">
        <f t="shared" si="90"/>
        <v>891.83954557394156</v>
      </c>
      <c r="O45" s="197">
        <f t="shared" si="91"/>
        <v>133.70753923290303</v>
      </c>
      <c r="P45" s="197">
        <f t="shared" si="92"/>
        <v>310.30087611161679</v>
      </c>
      <c r="Q45" s="197">
        <f t="shared" si="93"/>
        <v>581.53866946232472</v>
      </c>
      <c r="R45" s="199">
        <f t="shared" si="94"/>
        <v>715.24620869522778</v>
      </c>
      <c r="S45" s="196">
        <f t="shared" si="146"/>
        <v>6460.4622027088108</v>
      </c>
      <c r="T45" s="197">
        <f t="shared" si="95"/>
        <v>1232.0115191774235</v>
      </c>
      <c r="U45" s="197">
        <f t="shared" si="95"/>
        <v>5028.4671853515883</v>
      </c>
      <c r="V45" s="197">
        <f t="shared" si="95"/>
        <v>1431.995017357222</v>
      </c>
      <c r="W45" s="199">
        <f t="shared" si="95"/>
        <v>2664.0065365346454</v>
      </c>
      <c r="X45" s="197"/>
      <c r="Z45" s="900">
        <v>8</v>
      </c>
      <c r="AA45" s="197">
        <f t="shared" si="96"/>
        <v>16.3</v>
      </c>
      <c r="AB45" s="197">
        <f>'Energy Inputs'!$G$58*$AB$34</f>
        <v>108</v>
      </c>
      <c r="AC45" s="197">
        <f t="shared" si="147"/>
        <v>1760.4</v>
      </c>
      <c r="AD45" s="197">
        <f>'Margins summary'!$W$14</f>
        <v>175.95</v>
      </c>
      <c r="AE45" s="197">
        <f t="shared" si="97"/>
        <v>1936.3500000000001</v>
      </c>
      <c r="AF45" s="197"/>
      <c r="AG45" s="918">
        <f>'Energy NPV'!U98</f>
        <v>408.3347839999999</v>
      </c>
      <c r="AH45" s="197"/>
      <c r="AI45" s="197">
        <f t="shared" si="98"/>
        <v>408.3347839999999</v>
      </c>
      <c r="AJ45" s="197">
        <f t="shared" si="80"/>
        <v>1352.0652160000002</v>
      </c>
      <c r="AK45" s="197">
        <f t="shared" si="81"/>
        <v>1528.0152160000002</v>
      </c>
      <c r="AL45" s="196">
        <f t="shared" si="99"/>
        <v>1337.7593183609122</v>
      </c>
      <c r="AM45" s="197">
        <f t="shared" si="100"/>
        <v>133.70753923290303</v>
      </c>
      <c r="AN45" s="197">
        <f t="shared" si="101"/>
        <v>310.30087611161679</v>
      </c>
      <c r="AO45" s="197">
        <f t="shared" si="102"/>
        <v>1027.4584422492956</v>
      </c>
      <c r="AP45" s="199">
        <f t="shared" si="103"/>
        <v>1161.1659814821985</v>
      </c>
      <c r="AQ45" s="196">
        <f t="shared" si="148"/>
        <v>9690.6933040632139</v>
      </c>
      <c r="AR45" s="197">
        <f t="shared" si="104"/>
        <v>1232.0115191774235</v>
      </c>
      <c r="AS45" s="197">
        <f t="shared" si="105"/>
        <v>5028.4671853515883</v>
      </c>
      <c r="AT45" s="197">
        <f t="shared" si="106"/>
        <v>4662.2261187116264</v>
      </c>
      <c r="AU45" s="199">
        <f t="shared" si="107"/>
        <v>5894.2376378890503</v>
      </c>
      <c r="AV45" s="197"/>
      <c r="AX45" s="900">
        <v>8</v>
      </c>
      <c r="AY45" s="197">
        <f t="shared" si="108"/>
        <v>16.3</v>
      </c>
      <c r="AZ45" s="197">
        <f>'Energy Inputs'!$G$58*$AZ$34</f>
        <v>36</v>
      </c>
      <c r="BA45" s="197">
        <f t="shared" si="149"/>
        <v>586.80000000000007</v>
      </c>
      <c r="BB45" s="197">
        <f>'Margins summary'!$W$14</f>
        <v>175.95</v>
      </c>
      <c r="BC45" s="197">
        <f t="shared" si="109"/>
        <v>762.75</v>
      </c>
      <c r="BD45" s="197"/>
      <c r="BE45" s="918">
        <f>'Energy NPV'!U98</f>
        <v>408.3347839999999</v>
      </c>
      <c r="BF45" s="197"/>
      <c r="BG45" s="197">
        <f t="shared" si="110"/>
        <v>408.3347839999999</v>
      </c>
      <c r="BH45" s="197">
        <f t="shared" si="82"/>
        <v>178.46521600000017</v>
      </c>
      <c r="BI45" s="197">
        <f t="shared" si="83"/>
        <v>354.4152160000001</v>
      </c>
      <c r="BJ45" s="196">
        <f t="shared" si="111"/>
        <v>445.91977278697078</v>
      </c>
      <c r="BK45" s="197">
        <f t="shared" si="112"/>
        <v>133.70753923290303</v>
      </c>
      <c r="BL45" s="197">
        <f t="shared" si="113"/>
        <v>310.30087611161679</v>
      </c>
      <c r="BM45" s="197">
        <f t="shared" si="114"/>
        <v>135.61889667535399</v>
      </c>
      <c r="BN45" s="199">
        <f t="shared" si="115"/>
        <v>269.326435908257</v>
      </c>
      <c r="BO45" s="196">
        <f t="shared" si="150"/>
        <v>3230.2311013544054</v>
      </c>
      <c r="BP45" s="197">
        <f t="shared" si="116"/>
        <v>1232.0115191774235</v>
      </c>
      <c r="BQ45" s="197">
        <f t="shared" si="117"/>
        <v>5028.4671853515883</v>
      </c>
      <c r="BR45" s="197">
        <f t="shared" si="118"/>
        <v>-1798.236083997183</v>
      </c>
      <c r="BS45" s="199">
        <f t="shared" si="119"/>
        <v>-566.22456481975996</v>
      </c>
      <c r="BT45" s="197"/>
      <c r="BV45" s="900">
        <v>8</v>
      </c>
      <c r="BW45" s="197">
        <f t="shared" si="120"/>
        <v>16.3</v>
      </c>
      <c r="BX45" s="197">
        <f>'Energy Inputs'!$G$58*$BX$34</f>
        <v>144</v>
      </c>
      <c r="BY45" s="197">
        <f t="shared" si="151"/>
        <v>2347.2000000000003</v>
      </c>
      <c r="BZ45" s="197">
        <f>'Margins summary'!$W$14</f>
        <v>175.95</v>
      </c>
      <c r="CA45" s="197">
        <f t="shared" si="121"/>
        <v>2523.15</v>
      </c>
      <c r="CB45" s="197"/>
      <c r="CC45" s="918">
        <f>'Energy NPV'!U98</f>
        <v>408.3347839999999</v>
      </c>
      <c r="CD45" s="197"/>
      <c r="CE45" s="197">
        <f t="shared" si="122"/>
        <v>408.3347839999999</v>
      </c>
      <c r="CF45" s="197">
        <f t="shared" si="84"/>
        <v>1938.8652160000004</v>
      </c>
      <c r="CG45" s="197">
        <f t="shared" si="85"/>
        <v>2114.815216</v>
      </c>
      <c r="CH45" s="196">
        <f t="shared" si="123"/>
        <v>1783.6790911478831</v>
      </c>
      <c r="CI45" s="197">
        <f t="shared" si="124"/>
        <v>133.70753923290303</v>
      </c>
      <c r="CJ45" s="197">
        <f t="shared" si="125"/>
        <v>310.30087611161679</v>
      </c>
      <c r="CK45" s="197">
        <f t="shared" si="126"/>
        <v>1473.3782150362663</v>
      </c>
      <c r="CL45" s="199">
        <f t="shared" si="127"/>
        <v>1607.085754269169</v>
      </c>
      <c r="CM45" s="196">
        <f t="shared" si="152"/>
        <v>12920.924405417622</v>
      </c>
      <c r="CN45" s="197">
        <f t="shared" si="128"/>
        <v>1232.0115191774235</v>
      </c>
      <c r="CO45" s="197">
        <f t="shared" si="129"/>
        <v>5028.4671853515883</v>
      </c>
      <c r="CP45" s="197">
        <f t="shared" si="130"/>
        <v>7892.4572200660314</v>
      </c>
      <c r="CQ45" s="199">
        <f t="shared" si="131"/>
        <v>9124.4687392434535</v>
      </c>
      <c r="CR45" s="197"/>
      <c r="CT45" s="204">
        <f t="shared" si="153"/>
        <v>8</v>
      </c>
      <c r="CU45" s="197">
        <f t="shared" si="132"/>
        <v>16.3</v>
      </c>
      <c r="CV45" s="197">
        <f>'Energy Inputs'!$G$58*$CV$34</f>
        <v>0</v>
      </c>
      <c r="CW45" s="197">
        <f t="shared" si="154"/>
        <v>0</v>
      </c>
      <c r="CX45" s="197">
        <f>'Margins summary'!$W$14</f>
        <v>175.95</v>
      </c>
      <c r="CY45" s="197">
        <f t="shared" si="133"/>
        <v>175.95</v>
      </c>
      <c r="CZ45" s="197"/>
      <c r="DA45" s="918">
        <f>'Energy NPV'!U98</f>
        <v>408.3347839999999</v>
      </c>
      <c r="DB45" s="197"/>
      <c r="DC45" s="197">
        <f t="shared" si="134"/>
        <v>408.3347839999999</v>
      </c>
      <c r="DD45" s="197">
        <f t="shared" si="86"/>
        <v>-408.3347839999999</v>
      </c>
      <c r="DE45" s="197">
        <f t="shared" si="87"/>
        <v>-232.38478399999991</v>
      </c>
      <c r="DF45" s="196">
        <f t="shared" si="135"/>
        <v>0</v>
      </c>
      <c r="DG45" s="197">
        <f t="shared" si="136"/>
        <v>133.70753923290303</v>
      </c>
      <c r="DH45" s="197">
        <f t="shared" si="137"/>
        <v>310.30087611161679</v>
      </c>
      <c r="DI45" s="197">
        <f t="shared" si="138"/>
        <v>-310.30087611161679</v>
      </c>
      <c r="DJ45" s="199">
        <f t="shared" si="139"/>
        <v>-176.59333687871376</v>
      </c>
      <c r="DK45" s="196">
        <f t="shared" si="155"/>
        <v>0</v>
      </c>
      <c r="DL45" s="197">
        <f t="shared" si="140"/>
        <v>1232.0115191774235</v>
      </c>
      <c r="DM45" s="197">
        <f t="shared" si="141"/>
        <v>5028.4671853515883</v>
      </c>
      <c r="DN45" s="197">
        <f t="shared" si="142"/>
        <v>-5028.4671853515883</v>
      </c>
      <c r="DO45" s="199">
        <f t="shared" si="143"/>
        <v>-3796.4556661741649</v>
      </c>
    </row>
    <row r="46" spans="2:119" x14ac:dyDescent="0.3">
      <c r="B46" s="204">
        <f t="shared" si="144"/>
        <v>9</v>
      </c>
      <c r="C46" s="197">
        <f>'Energy NPV'!$D99</f>
        <v>16.3</v>
      </c>
      <c r="D46" s="197">
        <f>'Energy Inputs'!$G$58*$E$34</f>
        <v>72</v>
      </c>
      <c r="E46" s="197">
        <f t="shared" si="145"/>
        <v>1173.6000000000001</v>
      </c>
      <c r="F46" s="197">
        <f>'Margins summary'!$W$14</f>
        <v>175.95</v>
      </c>
      <c r="G46" s="197">
        <f t="shared" si="88"/>
        <v>1349.5500000000002</v>
      </c>
      <c r="H46" s="197"/>
      <c r="I46" s="918">
        <f>'Energy NPV'!U99</f>
        <v>408.3347839999999</v>
      </c>
      <c r="J46" s="197"/>
      <c r="K46" s="197">
        <f t="shared" si="89"/>
        <v>408.3347839999999</v>
      </c>
      <c r="L46" s="197">
        <f t="shared" si="78"/>
        <v>765.26521600000024</v>
      </c>
      <c r="M46" s="197">
        <f t="shared" si="79"/>
        <v>941.21521600000028</v>
      </c>
      <c r="N46" s="196">
        <f t="shared" si="90"/>
        <v>857.53802459032829</v>
      </c>
      <c r="O46" s="197">
        <f t="shared" si="91"/>
        <v>128.56494157009902</v>
      </c>
      <c r="P46" s="197">
        <f t="shared" si="92"/>
        <v>298.36622703040069</v>
      </c>
      <c r="Q46" s="197">
        <f t="shared" si="93"/>
        <v>559.17179755992754</v>
      </c>
      <c r="R46" s="199">
        <f t="shared" si="94"/>
        <v>687.73673913002665</v>
      </c>
      <c r="S46" s="196">
        <f t="shared" si="146"/>
        <v>7318.0002272991387</v>
      </c>
      <c r="T46" s="197">
        <f t="shared" si="95"/>
        <v>1360.5764607475226</v>
      </c>
      <c r="U46" s="197">
        <f t="shared" si="95"/>
        <v>5326.8334123819886</v>
      </c>
      <c r="V46" s="197">
        <f t="shared" si="95"/>
        <v>1991.1668149171496</v>
      </c>
      <c r="W46" s="199">
        <f t="shared" si="95"/>
        <v>3351.7432756646722</v>
      </c>
      <c r="X46" s="197"/>
      <c r="Z46" s="900">
        <v>9</v>
      </c>
      <c r="AA46" s="197">
        <f t="shared" si="96"/>
        <v>16.3</v>
      </c>
      <c r="AB46" s="197">
        <f>'Energy Inputs'!$G$58*$AB$34</f>
        <v>108</v>
      </c>
      <c r="AC46" s="197">
        <f t="shared" si="147"/>
        <v>1760.4</v>
      </c>
      <c r="AD46" s="197">
        <f>'Margins summary'!$W$14</f>
        <v>175.95</v>
      </c>
      <c r="AE46" s="197">
        <f t="shared" si="97"/>
        <v>1936.3500000000001</v>
      </c>
      <c r="AF46" s="197"/>
      <c r="AG46" s="918">
        <f>'Energy NPV'!U99</f>
        <v>408.3347839999999</v>
      </c>
      <c r="AH46" s="197"/>
      <c r="AI46" s="197">
        <f t="shared" si="98"/>
        <v>408.3347839999999</v>
      </c>
      <c r="AJ46" s="197">
        <f t="shared" si="80"/>
        <v>1352.0652160000002</v>
      </c>
      <c r="AK46" s="197">
        <f t="shared" si="81"/>
        <v>1528.0152160000002</v>
      </c>
      <c r="AL46" s="196">
        <f t="shared" si="99"/>
        <v>1286.3070368854924</v>
      </c>
      <c r="AM46" s="197">
        <f t="shared" si="100"/>
        <v>128.56494157009902</v>
      </c>
      <c r="AN46" s="197">
        <f t="shared" si="101"/>
        <v>298.36622703040069</v>
      </c>
      <c r="AO46" s="197">
        <f t="shared" si="102"/>
        <v>987.94080985509163</v>
      </c>
      <c r="AP46" s="199">
        <f t="shared" si="103"/>
        <v>1116.5057514251907</v>
      </c>
      <c r="AQ46" s="196">
        <f t="shared" si="148"/>
        <v>10977.000340948707</v>
      </c>
      <c r="AR46" s="197">
        <f t="shared" si="104"/>
        <v>1360.5764607475226</v>
      </c>
      <c r="AS46" s="197">
        <f t="shared" si="105"/>
        <v>5326.8334123819886</v>
      </c>
      <c r="AT46" s="197">
        <f t="shared" si="106"/>
        <v>5650.1669285667176</v>
      </c>
      <c r="AU46" s="199">
        <f t="shared" si="107"/>
        <v>7010.7433893142406</v>
      </c>
      <c r="AV46" s="197"/>
      <c r="AX46" s="900">
        <v>9</v>
      </c>
      <c r="AY46" s="197">
        <f t="shared" si="108"/>
        <v>16.3</v>
      </c>
      <c r="AZ46" s="197">
        <f>'Energy Inputs'!$G$58*$AZ$34</f>
        <v>36</v>
      </c>
      <c r="BA46" s="197">
        <f t="shared" si="149"/>
        <v>586.80000000000007</v>
      </c>
      <c r="BB46" s="197">
        <f>'Margins summary'!$W$14</f>
        <v>175.95</v>
      </c>
      <c r="BC46" s="197">
        <f t="shared" si="109"/>
        <v>762.75</v>
      </c>
      <c r="BD46" s="197"/>
      <c r="BE46" s="918">
        <f>'Energy NPV'!U99</f>
        <v>408.3347839999999</v>
      </c>
      <c r="BF46" s="197"/>
      <c r="BG46" s="197">
        <f t="shared" si="110"/>
        <v>408.3347839999999</v>
      </c>
      <c r="BH46" s="197">
        <f t="shared" si="82"/>
        <v>178.46521600000017</v>
      </c>
      <c r="BI46" s="197">
        <f t="shared" si="83"/>
        <v>354.4152160000001</v>
      </c>
      <c r="BJ46" s="196">
        <f t="shared" si="111"/>
        <v>428.76901229516415</v>
      </c>
      <c r="BK46" s="197">
        <f t="shared" si="112"/>
        <v>128.56494157009902</v>
      </c>
      <c r="BL46" s="197">
        <f t="shared" si="113"/>
        <v>298.36622703040069</v>
      </c>
      <c r="BM46" s="197">
        <f t="shared" si="114"/>
        <v>130.40278526476345</v>
      </c>
      <c r="BN46" s="199">
        <f t="shared" si="115"/>
        <v>258.96772683486245</v>
      </c>
      <c r="BO46" s="196">
        <f t="shared" si="150"/>
        <v>3659.0001136495694</v>
      </c>
      <c r="BP46" s="197">
        <f t="shared" si="116"/>
        <v>1360.5764607475226</v>
      </c>
      <c r="BQ46" s="197">
        <f t="shared" si="117"/>
        <v>5326.8334123819886</v>
      </c>
      <c r="BR46" s="197">
        <f t="shared" si="118"/>
        <v>-1667.8332987324195</v>
      </c>
      <c r="BS46" s="199">
        <f t="shared" si="119"/>
        <v>-307.25683798489752</v>
      </c>
      <c r="BT46" s="197"/>
      <c r="BV46" s="900">
        <v>9</v>
      </c>
      <c r="BW46" s="197">
        <f t="shared" si="120"/>
        <v>16.3</v>
      </c>
      <c r="BX46" s="197">
        <f>'Energy Inputs'!$G$58*$BX$34</f>
        <v>144</v>
      </c>
      <c r="BY46" s="197">
        <f t="shared" si="151"/>
        <v>2347.2000000000003</v>
      </c>
      <c r="BZ46" s="197">
        <f>'Margins summary'!$W$14</f>
        <v>175.95</v>
      </c>
      <c r="CA46" s="197">
        <f t="shared" si="121"/>
        <v>2523.15</v>
      </c>
      <c r="CB46" s="197"/>
      <c r="CC46" s="918">
        <f>'Energy NPV'!U99</f>
        <v>408.3347839999999</v>
      </c>
      <c r="CD46" s="197"/>
      <c r="CE46" s="197">
        <f t="shared" si="122"/>
        <v>408.3347839999999</v>
      </c>
      <c r="CF46" s="197">
        <f t="shared" si="84"/>
        <v>1938.8652160000004</v>
      </c>
      <c r="CG46" s="197">
        <f t="shared" si="85"/>
        <v>2114.815216</v>
      </c>
      <c r="CH46" s="196">
        <f t="shared" si="123"/>
        <v>1715.0760491806566</v>
      </c>
      <c r="CI46" s="197">
        <f t="shared" si="124"/>
        <v>128.56494157009902</v>
      </c>
      <c r="CJ46" s="197">
        <f t="shared" si="125"/>
        <v>298.36622703040069</v>
      </c>
      <c r="CK46" s="197">
        <f t="shared" si="126"/>
        <v>1416.7098221502558</v>
      </c>
      <c r="CL46" s="199">
        <f t="shared" si="127"/>
        <v>1545.2747637203545</v>
      </c>
      <c r="CM46" s="196">
        <f t="shared" si="152"/>
        <v>14636.000454598277</v>
      </c>
      <c r="CN46" s="197">
        <f t="shared" si="128"/>
        <v>1360.5764607475226</v>
      </c>
      <c r="CO46" s="197">
        <f t="shared" si="129"/>
        <v>5326.8334123819886</v>
      </c>
      <c r="CP46" s="197">
        <f t="shared" si="130"/>
        <v>9309.1670422162879</v>
      </c>
      <c r="CQ46" s="199">
        <f t="shared" si="131"/>
        <v>10669.743502963807</v>
      </c>
      <c r="CR46" s="197"/>
      <c r="CT46" s="204">
        <f t="shared" si="153"/>
        <v>9</v>
      </c>
      <c r="CU46" s="197">
        <f t="shared" si="132"/>
        <v>16.3</v>
      </c>
      <c r="CV46" s="197">
        <f>'Energy Inputs'!$G$58*$CV$34</f>
        <v>0</v>
      </c>
      <c r="CW46" s="197">
        <f t="shared" si="154"/>
        <v>0</v>
      </c>
      <c r="CX46" s="197">
        <f>'Margins summary'!$W$14</f>
        <v>175.95</v>
      </c>
      <c r="CY46" s="197">
        <f t="shared" si="133"/>
        <v>175.95</v>
      </c>
      <c r="CZ46" s="197"/>
      <c r="DA46" s="918">
        <f>'Energy NPV'!U99</f>
        <v>408.3347839999999</v>
      </c>
      <c r="DB46" s="197"/>
      <c r="DC46" s="197">
        <f t="shared" si="134"/>
        <v>408.3347839999999</v>
      </c>
      <c r="DD46" s="197">
        <f t="shared" si="86"/>
        <v>-408.3347839999999</v>
      </c>
      <c r="DE46" s="197">
        <f t="shared" si="87"/>
        <v>-232.38478399999991</v>
      </c>
      <c r="DF46" s="196">
        <f t="shared" si="135"/>
        <v>0</v>
      </c>
      <c r="DG46" s="197">
        <f t="shared" si="136"/>
        <v>128.56494157009902</v>
      </c>
      <c r="DH46" s="197">
        <f t="shared" si="137"/>
        <v>298.36622703040069</v>
      </c>
      <c r="DI46" s="197">
        <f t="shared" si="138"/>
        <v>-298.36622703040069</v>
      </c>
      <c r="DJ46" s="199">
        <f t="shared" si="139"/>
        <v>-169.80128546030164</v>
      </c>
      <c r="DK46" s="196">
        <f t="shared" si="155"/>
        <v>0</v>
      </c>
      <c r="DL46" s="197">
        <f t="shared" si="140"/>
        <v>1360.5764607475226</v>
      </c>
      <c r="DM46" s="197">
        <f t="shared" si="141"/>
        <v>5326.8334123819886</v>
      </c>
      <c r="DN46" s="197">
        <f t="shared" si="142"/>
        <v>-5326.8334123819886</v>
      </c>
      <c r="DO46" s="199">
        <f t="shared" si="143"/>
        <v>-3966.2569516344665</v>
      </c>
    </row>
    <row r="47" spans="2:119" x14ac:dyDescent="0.3">
      <c r="B47" s="204">
        <f t="shared" si="144"/>
        <v>10</v>
      </c>
      <c r="C47" s="197">
        <f>'Energy NPV'!$D100</f>
        <v>16.3</v>
      </c>
      <c r="D47" s="197">
        <f>'Energy Inputs'!$G$58*$E$34</f>
        <v>72</v>
      </c>
      <c r="E47" s="197">
        <f t="shared" si="145"/>
        <v>1173.6000000000001</v>
      </c>
      <c r="F47" s="197">
        <f>'Margins summary'!$W$14</f>
        <v>175.95</v>
      </c>
      <c r="G47" s="197">
        <f t="shared" si="88"/>
        <v>1349.5500000000002</v>
      </c>
      <c r="H47" s="197"/>
      <c r="I47" s="918">
        <f>'Energy NPV'!U100</f>
        <v>408.3347839999999</v>
      </c>
      <c r="J47" s="197"/>
      <c r="K47" s="197">
        <f t="shared" si="89"/>
        <v>408.3347839999999</v>
      </c>
      <c r="L47" s="197">
        <f t="shared" si="78"/>
        <v>765.26521600000024</v>
      </c>
      <c r="M47" s="197">
        <f t="shared" si="79"/>
        <v>941.21521600000028</v>
      </c>
      <c r="N47" s="196">
        <f t="shared" si="90"/>
        <v>824.55579287531555</v>
      </c>
      <c r="O47" s="197">
        <f t="shared" si="91"/>
        <v>123.62013612509521</v>
      </c>
      <c r="P47" s="197">
        <f t="shared" si="92"/>
        <v>286.89060291384681</v>
      </c>
      <c r="Q47" s="197">
        <f t="shared" si="93"/>
        <v>537.66518996146874</v>
      </c>
      <c r="R47" s="199">
        <f t="shared" si="94"/>
        <v>661.28532608656406</v>
      </c>
      <c r="S47" s="196">
        <f t="shared" si="146"/>
        <v>8142.5560201744538</v>
      </c>
      <c r="T47" s="197">
        <f t="shared" si="95"/>
        <v>1484.1965968726179</v>
      </c>
      <c r="U47" s="197">
        <f t="shared" si="95"/>
        <v>5613.7240152958357</v>
      </c>
      <c r="V47" s="197">
        <f t="shared" si="95"/>
        <v>2528.8320048786181</v>
      </c>
      <c r="W47" s="199">
        <f t="shared" si="95"/>
        <v>4013.0286017512362</v>
      </c>
      <c r="X47" s="197"/>
      <c r="Z47" s="900">
        <v>10</v>
      </c>
      <c r="AA47" s="197">
        <f t="shared" si="96"/>
        <v>16.3</v>
      </c>
      <c r="AB47" s="197">
        <f>'Energy Inputs'!$G$58*$AB$34</f>
        <v>108</v>
      </c>
      <c r="AC47" s="197">
        <f t="shared" si="147"/>
        <v>1760.4</v>
      </c>
      <c r="AD47" s="197">
        <f>'Margins summary'!$W$14</f>
        <v>175.95</v>
      </c>
      <c r="AE47" s="197">
        <f t="shared" si="97"/>
        <v>1936.3500000000001</v>
      </c>
      <c r="AF47" s="197"/>
      <c r="AG47" s="918">
        <f>'Energy NPV'!U100</f>
        <v>408.3347839999999</v>
      </c>
      <c r="AH47" s="197"/>
      <c r="AI47" s="197">
        <f t="shared" si="98"/>
        <v>408.3347839999999</v>
      </c>
      <c r="AJ47" s="197">
        <f t="shared" si="80"/>
        <v>1352.0652160000002</v>
      </c>
      <c r="AK47" s="197">
        <f t="shared" si="81"/>
        <v>1528.0152160000002</v>
      </c>
      <c r="AL47" s="196">
        <f t="shared" si="99"/>
        <v>1236.8336893129733</v>
      </c>
      <c r="AM47" s="197">
        <f t="shared" si="100"/>
        <v>123.62013612509521</v>
      </c>
      <c r="AN47" s="197">
        <f t="shared" si="101"/>
        <v>286.89060291384681</v>
      </c>
      <c r="AO47" s="197">
        <f t="shared" si="102"/>
        <v>949.94308639912651</v>
      </c>
      <c r="AP47" s="199">
        <f t="shared" si="103"/>
        <v>1073.5632225242218</v>
      </c>
      <c r="AQ47" s="196">
        <f t="shared" si="148"/>
        <v>12213.83403026168</v>
      </c>
      <c r="AR47" s="197">
        <f t="shared" si="104"/>
        <v>1484.1965968726179</v>
      </c>
      <c r="AS47" s="197">
        <f t="shared" si="105"/>
        <v>5613.7240152958357</v>
      </c>
      <c r="AT47" s="197">
        <f t="shared" si="106"/>
        <v>6600.1100149658441</v>
      </c>
      <c r="AU47" s="199">
        <f t="shared" si="107"/>
        <v>8084.3066118384622</v>
      </c>
      <c r="AV47" s="197"/>
      <c r="AX47" s="900">
        <v>10</v>
      </c>
      <c r="AY47" s="197">
        <f t="shared" si="108"/>
        <v>16.3</v>
      </c>
      <c r="AZ47" s="197">
        <f>'Energy Inputs'!$G$58*$AZ$34</f>
        <v>36</v>
      </c>
      <c r="BA47" s="197">
        <f t="shared" si="149"/>
        <v>586.80000000000007</v>
      </c>
      <c r="BB47" s="197">
        <f>'Margins summary'!$W$14</f>
        <v>175.95</v>
      </c>
      <c r="BC47" s="197">
        <f t="shared" si="109"/>
        <v>762.75</v>
      </c>
      <c r="BD47" s="197"/>
      <c r="BE47" s="918">
        <f>'Energy NPV'!U100</f>
        <v>408.3347839999999</v>
      </c>
      <c r="BF47" s="197"/>
      <c r="BG47" s="197">
        <f t="shared" si="110"/>
        <v>408.3347839999999</v>
      </c>
      <c r="BH47" s="197">
        <f t="shared" si="82"/>
        <v>178.46521600000017</v>
      </c>
      <c r="BI47" s="197">
        <f t="shared" si="83"/>
        <v>354.4152160000001</v>
      </c>
      <c r="BJ47" s="196">
        <f t="shared" si="111"/>
        <v>412.27789643765777</v>
      </c>
      <c r="BK47" s="197">
        <f t="shared" si="112"/>
        <v>123.62013612509521</v>
      </c>
      <c r="BL47" s="197">
        <f t="shared" si="113"/>
        <v>286.89060291384681</v>
      </c>
      <c r="BM47" s="197">
        <f t="shared" si="114"/>
        <v>125.38729352381098</v>
      </c>
      <c r="BN47" s="199">
        <f t="shared" si="115"/>
        <v>249.00742964890617</v>
      </c>
      <c r="BO47" s="196">
        <f t="shared" si="150"/>
        <v>4071.2780100872269</v>
      </c>
      <c r="BP47" s="197">
        <f t="shared" si="116"/>
        <v>1484.1965968726179</v>
      </c>
      <c r="BQ47" s="197">
        <f t="shared" si="117"/>
        <v>5613.7240152958357</v>
      </c>
      <c r="BR47" s="197">
        <f t="shared" si="118"/>
        <v>-1542.4460052086085</v>
      </c>
      <c r="BS47" s="199">
        <f t="shared" si="119"/>
        <v>-58.249408335991347</v>
      </c>
      <c r="BT47" s="197"/>
      <c r="BV47" s="900">
        <v>10</v>
      </c>
      <c r="BW47" s="197">
        <f t="shared" si="120"/>
        <v>16.3</v>
      </c>
      <c r="BX47" s="197">
        <f>'Energy Inputs'!$G$58*$BX$34</f>
        <v>144</v>
      </c>
      <c r="BY47" s="197">
        <f t="shared" si="151"/>
        <v>2347.2000000000003</v>
      </c>
      <c r="BZ47" s="197">
        <f>'Margins summary'!$W$14</f>
        <v>175.95</v>
      </c>
      <c r="CA47" s="197">
        <f t="shared" si="121"/>
        <v>2523.15</v>
      </c>
      <c r="CB47" s="197"/>
      <c r="CC47" s="918">
        <f>'Energy NPV'!U100</f>
        <v>408.3347839999999</v>
      </c>
      <c r="CD47" s="197"/>
      <c r="CE47" s="197">
        <f t="shared" si="122"/>
        <v>408.3347839999999</v>
      </c>
      <c r="CF47" s="197">
        <f t="shared" si="84"/>
        <v>1938.8652160000004</v>
      </c>
      <c r="CG47" s="197">
        <f t="shared" si="85"/>
        <v>2114.815216</v>
      </c>
      <c r="CH47" s="196">
        <f t="shared" si="123"/>
        <v>1649.1115857506311</v>
      </c>
      <c r="CI47" s="197">
        <f t="shared" si="124"/>
        <v>123.62013612509521</v>
      </c>
      <c r="CJ47" s="197">
        <f t="shared" si="125"/>
        <v>286.89060291384681</v>
      </c>
      <c r="CK47" s="197">
        <f t="shared" si="126"/>
        <v>1362.2209828367843</v>
      </c>
      <c r="CL47" s="199">
        <f t="shared" si="127"/>
        <v>1485.8411189618794</v>
      </c>
      <c r="CM47" s="196">
        <f t="shared" si="152"/>
        <v>16285.112040348908</v>
      </c>
      <c r="CN47" s="197">
        <f t="shared" si="128"/>
        <v>1484.1965968726179</v>
      </c>
      <c r="CO47" s="197">
        <f t="shared" si="129"/>
        <v>5613.7240152958357</v>
      </c>
      <c r="CP47" s="197">
        <f t="shared" si="130"/>
        <v>10671.388025053073</v>
      </c>
      <c r="CQ47" s="199">
        <f t="shared" si="131"/>
        <v>12155.584621925687</v>
      </c>
      <c r="CR47" s="197"/>
      <c r="CT47" s="204">
        <f t="shared" si="153"/>
        <v>10</v>
      </c>
      <c r="CU47" s="197">
        <f t="shared" si="132"/>
        <v>16.3</v>
      </c>
      <c r="CV47" s="197">
        <f>'Energy Inputs'!$G$58*$CV$34</f>
        <v>0</v>
      </c>
      <c r="CW47" s="197">
        <f t="shared" si="154"/>
        <v>0</v>
      </c>
      <c r="CX47" s="197">
        <f>'Margins summary'!$W$14</f>
        <v>175.95</v>
      </c>
      <c r="CY47" s="197">
        <f t="shared" si="133"/>
        <v>175.95</v>
      </c>
      <c r="CZ47" s="197"/>
      <c r="DA47" s="918">
        <f>'Energy NPV'!U100</f>
        <v>408.3347839999999</v>
      </c>
      <c r="DB47" s="197"/>
      <c r="DC47" s="197">
        <f t="shared" si="134"/>
        <v>408.3347839999999</v>
      </c>
      <c r="DD47" s="197">
        <f t="shared" si="86"/>
        <v>-408.3347839999999</v>
      </c>
      <c r="DE47" s="197">
        <f t="shared" si="87"/>
        <v>-232.38478399999991</v>
      </c>
      <c r="DF47" s="196">
        <f t="shared" si="135"/>
        <v>0</v>
      </c>
      <c r="DG47" s="197">
        <f t="shared" si="136"/>
        <v>123.62013612509521</v>
      </c>
      <c r="DH47" s="197">
        <f t="shared" si="137"/>
        <v>286.89060291384681</v>
      </c>
      <c r="DI47" s="197">
        <f t="shared" si="138"/>
        <v>-286.89060291384681</v>
      </c>
      <c r="DJ47" s="199">
        <f t="shared" si="139"/>
        <v>-163.27046678875158</v>
      </c>
      <c r="DK47" s="196">
        <f t="shared" si="155"/>
        <v>0</v>
      </c>
      <c r="DL47" s="197">
        <f t="shared" si="140"/>
        <v>1484.1965968726179</v>
      </c>
      <c r="DM47" s="197">
        <f t="shared" si="141"/>
        <v>5613.7240152958357</v>
      </c>
      <c r="DN47" s="197">
        <f t="shared" si="142"/>
        <v>-5613.7240152958357</v>
      </c>
      <c r="DO47" s="199">
        <f t="shared" si="143"/>
        <v>-4129.5274184232185</v>
      </c>
    </row>
    <row r="48" spans="2:119" x14ac:dyDescent="0.3">
      <c r="B48" s="204">
        <f t="shared" si="144"/>
        <v>11</v>
      </c>
      <c r="C48" s="197">
        <f>'Energy NPV'!$D101</f>
        <v>16.3</v>
      </c>
      <c r="D48" s="197">
        <f>'Energy Inputs'!$G$58*$E$34</f>
        <v>72</v>
      </c>
      <c r="E48" s="197">
        <f t="shared" si="145"/>
        <v>1173.6000000000001</v>
      </c>
      <c r="F48" s="197">
        <f>'Margins summary'!$W$14</f>
        <v>175.95</v>
      </c>
      <c r="G48" s="197">
        <f t="shared" si="88"/>
        <v>1349.5500000000002</v>
      </c>
      <c r="H48" s="197"/>
      <c r="I48" s="918">
        <f>'Energy NPV'!U101</f>
        <v>408.3347839999999</v>
      </c>
      <c r="J48" s="197"/>
      <c r="K48" s="197">
        <f t="shared" si="89"/>
        <v>408.3347839999999</v>
      </c>
      <c r="L48" s="197">
        <f t="shared" si="78"/>
        <v>765.26521600000024</v>
      </c>
      <c r="M48" s="197">
        <f t="shared" si="79"/>
        <v>941.21521600000028</v>
      </c>
      <c r="N48" s="196">
        <f t="shared" si="90"/>
        <v>792.84210853395723</v>
      </c>
      <c r="O48" s="197">
        <f t="shared" si="91"/>
        <v>118.86551550489925</v>
      </c>
      <c r="P48" s="197">
        <f t="shared" si="92"/>
        <v>275.85634895562191</v>
      </c>
      <c r="Q48" s="197">
        <f t="shared" si="93"/>
        <v>516.98575957833532</v>
      </c>
      <c r="R48" s="199">
        <f t="shared" si="94"/>
        <v>635.85127508323467</v>
      </c>
      <c r="S48" s="196">
        <f t="shared" si="146"/>
        <v>8935.3981287084116</v>
      </c>
      <c r="T48" s="197">
        <f t="shared" si="95"/>
        <v>1603.0621123775172</v>
      </c>
      <c r="U48" s="197">
        <f t="shared" si="95"/>
        <v>5889.5803642514575</v>
      </c>
      <c r="V48" s="197">
        <f t="shared" si="95"/>
        <v>3045.8177644569532</v>
      </c>
      <c r="W48" s="199">
        <f t="shared" si="95"/>
        <v>4648.8798768344714</v>
      </c>
      <c r="X48" s="197"/>
      <c r="Z48" s="900">
        <v>11</v>
      </c>
      <c r="AA48" s="197">
        <f t="shared" si="96"/>
        <v>16.3</v>
      </c>
      <c r="AB48" s="197">
        <f>'Energy Inputs'!$G$58*$AB$34</f>
        <v>108</v>
      </c>
      <c r="AC48" s="197">
        <f t="shared" si="147"/>
        <v>1760.4</v>
      </c>
      <c r="AD48" s="197">
        <f>'Margins summary'!$W$14</f>
        <v>175.95</v>
      </c>
      <c r="AE48" s="197">
        <f t="shared" si="97"/>
        <v>1936.3500000000001</v>
      </c>
      <c r="AF48" s="197"/>
      <c r="AG48" s="918">
        <f>'Energy NPV'!U101</f>
        <v>408.3347839999999</v>
      </c>
      <c r="AH48" s="197"/>
      <c r="AI48" s="197">
        <f t="shared" si="98"/>
        <v>408.3347839999999</v>
      </c>
      <c r="AJ48" s="197">
        <f t="shared" si="80"/>
        <v>1352.0652160000002</v>
      </c>
      <c r="AK48" s="197">
        <f t="shared" si="81"/>
        <v>1528.0152160000002</v>
      </c>
      <c r="AL48" s="196">
        <f t="shared" si="99"/>
        <v>1189.2631628009358</v>
      </c>
      <c r="AM48" s="197">
        <f t="shared" si="100"/>
        <v>118.86551550489925</v>
      </c>
      <c r="AN48" s="197">
        <f t="shared" si="101"/>
        <v>275.85634895562191</v>
      </c>
      <c r="AO48" s="197">
        <f t="shared" si="102"/>
        <v>913.40681384531388</v>
      </c>
      <c r="AP48" s="199">
        <f t="shared" si="103"/>
        <v>1032.2723293502131</v>
      </c>
      <c r="AQ48" s="196">
        <f t="shared" si="148"/>
        <v>13403.097193062615</v>
      </c>
      <c r="AR48" s="197">
        <f t="shared" si="104"/>
        <v>1603.0621123775172</v>
      </c>
      <c r="AS48" s="197">
        <f t="shared" si="105"/>
        <v>5889.5803642514575</v>
      </c>
      <c r="AT48" s="197">
        <f t="shared" si="106"/>
        <v>7513.5168288111581</v>
      </c>
      <c r="AU48" s="199">
        <f t="shared" si="107"/>
        <v>9116.5789411886763</v>
      </c>
      <c r="AV48" s="197"/>
      <c r="AX48" s="900">
        <v>11</v>
      </c>
      <c r="AY48" s="197">
        <f t="shared" si="108"/>
        <v>16.3</v>
      </c>
      <c r="AZ48" s="197">
        <f>'Energy Inputs'!$G$58*$AZ$34</f>
        <v>36</v>
      </c>
      <c r="BA48" s="197">
        <f t="shared" si="149"/>
        <v>586.80000000000007</v>
      </c>
      <c r="BB48" s="197">
        <f>'Margins summary'!$W$14</f>
        <v>175.95</v>
      </c>
      <c r="BC48" s="197">
        <f t="shared" si="109"/>
        <v>762.75</v>
      </c>
      <c r="BD48" s="197"/>
      <c r="BE48" s="918">
        <f>'Energy NPV'!U101</f>
        <v>408.3347839999999</v>
      </c>
      <c r="BF48" s="197"/>
      <c r="BG48" s="197">
        <f t="shared" si="110"/>
        <v>408.3347839999999</v>
      </c>
      <c r="BH48" s="197">
        <f t="shared" si="82"/>
        <v>178.46521600000017</v>
      </c>
      <c r="BI48" s="197">
        <f t="shared" si="83"/>
        <v>354.4152160000001</v>
      </c>
      <c r="BJ48" s="196">
        <f t="shared" si="111"/>
        <v>396.42105426697862</v>
      </c>
      <c r="BK48" s="197">
        <f t="shared" si="112"/>
        <v>118.86551550489925</v>
      </c>
      <c r="BL48" s="197">
        <f t="shared" si="113"/>
        <v>275.85634895562191</v>
      </c>
      <c r="BM48" s="197">
        <f t="shared" si="114"/>
        <v>120.56470531135672</v>
      </c>
      <c r="BN48" s="199">
        <f t="shared" si="115"/>
        <v>239.43022081625594</v>
      </c>
      <c r="BO48" s="196">
        <f t="shared" si="150"/>
        <v>4467.6990643542058</v>
      </c>
      <c r="BP48" s="197">
        <f t="shared" si="116"/>
        <v>1603.0621123775172</v>
      </c>
      <c r="BQ48" s="197">
        <f t="shared" si="117"/>
        <v>5889.5803642514575</v>
      </c>
      <c r="BR48" s="197">
        <f t="shared" si="118"/>
        <v>-1421.8812998972519</v>
      </c>
      <c r="BS48" s="199">
        <f t="shared" si="119"/>
        <v>181.18081248026459</v>
      </c>
      <c r="BT48" s="197"/>
      <c r="BV48" s="900">
        <v>11</v>
      </c>
      <c r="BW48" s="197">
        <f t="shared" si="120"/>
        <v>16.3</v>
      </c>
      <c r="BX48" s="197">
        <f>'Energy Inputs'!$G$58*$BX$34</f>
        <v>144</v>
      </c>
      <c r="BY48" s="197">
        <f t="shared" si="151"/>
        <v>2347.2000000000003</v>
      </c>
      <c r="BZ48" s="197">
        <f>'Margins summary'!$W$14</f>
        <v>175.95</v>
      </c>
      <c r="CA48" s="197">
        <f t="shared" si="121"/>
        <v>2523.15</v>
      </c>
      <c r="CB48" s="197"/>
      <c r="CC48" s="918">
        <f>'Energy NPV'!U101</f>
        <v>408.3347839999999</v>
      </c>
      <c r="CD48" s="197"/>
      <c r="CE48" s="197">
        <f t="shared" si="122"/>
        <v>408.3347839999999</v>
      </c>
      <c r="CF48" s="197">
        <f t="shared" si="84"/>
        <v>1938.8652160000004</v>
      </c>
      <c r="CG48" s="197">
        <f t="shared" si="85"/>
        <v>2114.815216</v>
      </c>
      <c r="CH48" s="196">
        <f t="shared" si="123"/>
        <v>1585.6842170679145</v>
      </c>
      <c r="CI48" s="197">
        <f t="shared" si="124"/>
        <v>118.86551550489925</v>
      </c>
      <c r="CJ48" s="197">
        <f t="shared" si="125"/>
        <v>275.85634895562191</v>
      </c>
      <c r="CK48" s="197">
        <f t="shared" si="126"/>
        <v>1309.8278681122927</v>
      </c>
      <c r="CL48" s="199">
        <f t="shared" si="127"/>
        <v>1428.6933836171916</v>
      </c>
      <c r="CM48" s="196">
        <f t="shared" si="152"/>
        <v>17870.796257416823</v>
      </c>
      <c r="CN48" s="197">
        <f t="shared" si="128"/>
        <v>1603.0621123775172</v>
      </c>
      <c r="CO48" s="197">
        <f t="shared" si="129"/>
        <v>5889.5803642514575</v>
      </c>
      <c r="CP48" s="197">
        <f t="shared" si="130"/>
        <v>11981.215893165365</v>
      </c>
      <c r="CQ48" s="199">
        <f t="shared" si="131"/>
        <v>13584.278005542879</v>
      </c>
      <c r="CR48" s="197"/>
      <c r="CT48" s="204">
        <f t="shared" si="153"/>
        <v>11</v>
      </c>
      <c r="CU48" s="197">
        <f t="shared" si="132"/>
        <v>16.3</v>
      </c>
      <c r="CV48" s="197">
        <f>'Energy Inputs'!$G$58*$CV$34</f>
        <v>0</v>
      </c>
      <c r="CW48" s="197">
        <f t="shared" si="154"/>
        <v>0</v>
      </c>
      <c r="CX48" s="197">
        <f>'Margins summary'!$W$14</f>
        <v>175.95</v>
      </c>
      <c r="CY48" s="197">
        <f t="shared" si="133"/>
        <v>175.95</v>
      </c>
      <c r="CZ48" s="197"/>
      <c r="DA48" s="918">
        <f>'Energy NPV'!U101</f>
        <v>408.3347839999999</v>
      </c>
      <c r="DB48" s="197"/>
      <c r="DC48" s="197">
        <f t="shared" si="134"/>
        <v>408.3347839999999</v>
      </c>
      <c r="DD48" s="197">
        <f t="shared" si="86"/>
        <v>-408.3347839999999</v>
      </c>
      <c r="DE48" s="197">
        <f t="shared" si="87"/>
        <v>-232.38478399999991</v>
      </c>
      <c r="DF48" s="196">
        <f t="shared" si="135"/>
        <v>0</v>
      </c>
      <c r="DG48" s="197">
        <f t="shared" si="136"/>
        <v>118.86551550489925</v>
      </c>
      <c r="DH48" s="197">
        <f t="shared" si="137"/>
        <v>275.85634895562191</v>
      </c>
      <c r="DI48" s="197">
        <f t="shared" si="138"/>
        <v>-275.85634895562191</v>
      </c>
      <c r="DJ48" s="199">
        <f t="shared" si="139"/>
        <v>-156.99083345072268</v>
      </c>
      <c r="DK48" s="196">
        <f t="shared" si="155"/>
        <v>0</v>
      </c>
      <c r="DL48" s="197">
        <f t="shared" si="140"/>
        <v>1603.0621123775172</v>
      </c>
      <c r="DM48" s="197">
        <f t="shared" si="141"/>
        <v>5889.5803642514575</v>
      </c>
      <c r="DN48" s="197">
        <f t="shared" si="142"/>
        <v>-5889.5803642514575</v>
      </c>
      <c r="DO48" s="199">
        <f t="shared" si="143"/>
        <v>-4286.5182518739412</v>
      </c>
    </row>
    <row r="49" spans="2:129" x14ac:dyDescent="0.3">
      <c r="B49" s="204">
        <f t="shared" si="144"/>
        <v>12</v>
      </c>
      <c r="C49" s="197">
        <f>'Energy NPV'!$D102</f>
        <v>16.3</v>
      </c>
      <c r="D49" s="197">
        <f>'Energy Inputs'!$G$58*$E$34</f>
        <v>72</v>
      </c>
      <c r="E49" s="197">
        <f t="shared" si="145"/>
        <v>1173.6000000000001</v>
      </c>
      <c r="F49" s="197">
        <f>'Margins summary'!$W$14</f>
        <v>175.95</v>
      </c>
      <c r="G49" s="197">
        <f t="shared" si="88"/>
        <v>1349.5500000000002</v>
      </c>
      <c r="H49" s="197"/>
      <c r="I49" s="918">
        <f>'Energy NPV'!U102</f>
        <v>408.3347839999999</v>
      </c>
      <c r="J49" s="197"/>
      <c r="K49" s="197">
        <f t="shared" si="89"/>
        <v>408.3347839999999</v>
      </c>
      <c r="L49" s="197">
        <f t="shared" si="78"/>
        <v>765.26521600000024</v>
      </c>
      <c r="M49" s="197">
        <f t="shared" si="79"/>
        <v>941.21521600000028</v>
      </c>
      <c r="N49" s="196">
        <f t="shared" si="90"/>
        <v>762.34818128265124</v>
      </c>
      <c r="O49" s="197">
        <f t="shared" si="91"/>
        <v>114.29376490855698</v>
      </c>
      <c r="P49" s="197">
        <f t="shared" si="92"/>
        <v>265.24648938040571</v>
      </c>
      <c r="Q49" s="197">
        <f t="shared" si="93"/>
        <v>497.10169190224559</v>
      </c>
      <c r="R49" s="199">
        <f t="shared" si="94"/>
        <v>611.39545681080256</v>
      </c>
      <c r="S49" s="196">
        <f t="shared" si="146"/>
        <v>9697.7463099910638</v>
      </c>
      <c r="T49" s="197">
        <f t="shared" si="95"/>
        <v>1717.3558772860742</v>
      </c>
      <c r="U49" s="197">
        <f t="shared" si="95"/>
        <v>6154.8268536318628</v>
      </c>
      <c r="V49" s="197">
        <f t="shared" si="95"/>
        <v>3542.9194563591986</v>
      </c>
      <c r="W49" s="199">
        <f t="shared" si="95"/>
        <v>5260.2753336452743</v>
      </c>
      <c r="X49" s="197"/>
      <c r="Z49" s="900">
        <v>12</v>
      </c>
      <c r="AA49" s="197">
        <f t="shared" si="96"/>
        <v>16.3</v>
      </c>
      <c r="AB49" s="197">
        <f>'Energy Inputs'!$G$58*$AB$34</f>
        <v>108</v>
      </c>
      <c r="AC49" s="197">
        <f t="shared" si="147"/>
        <v>1760.4</v>
      </c>
      <c r="AD49" s="197">
        <f>'Margins summary'!$W$14</f>
        <v>175.95</v>
      </c>
      <c r="AE49" s="197">
        <f t="shared" si="97"/>
        <v>1936.3500000000001</v>
      </c>
      <c r="AF49" s="197"/>
      <c r="AG49" s="918">
        <f>'Energy NPV'!U102</f>
        <v>408.3347839999999</v>
      </c>
      <c r="AH49" s="197"/>
      <c r="AI49" s="197">
        <f t="shared" si="98"/>
        <v>408.3347839999999</v>
      </c>
      <c r="AJ49" s="197">
        <f t="shared" si="80"/>
        <v>1352.0652160000002</v>
      </c>
      <c r="AK49" s="197">
        <f t="shared" si="81"/>
        <v>1528.0152160000002</v>
      </c>
      <c r="AL49" s="196">
        <f t="shared" si="99"/>
        <v>1143.5222719239769</v>
      </c>
      <c r="AM49" s="197">
        <f t="shared" si="100"/>
        <v>114.29376490855698</v>
      </c>
      <c r="AN49" s="197">
        <f t="shared" si="101"/>
        <v>265.24648938040571</v>
      </c>
      <c r="AO49" s="197">
        <f t="shared" si="102"/>
        <v>878.27578254357115</v>
      </c>
      <c r="AP49" s="199">
        <f t="shared" si="103"/>
        <v>992.56954745212818</v>
      </c>
      <c r="AQ49" s="196">
        <f t="shared" si="148"/>
        <v>14546.619464986592</v>
      </c>
      <c r="AR49" s="197">
        <f t="shared" si="104"/>
        <v>1717.3558772860742</v>
      </c>
      <c r="AS49" s="197">
        <f t="shared" si="105"/>
        <v>6154.8268536318628</v>
      </c>
      <c r="AT49" s="197">
        <f t="shared" si="106"/>
        <v>8391.7926113547292</v>
      </c>
      <c r="AU49" s="199">
        <f t="shared" si="107"/>
        <v>10109.148488640805</v>
      </c>
      <c r="AV49" s="197"/>
      <c r="AX49" s="900">
        <v>12</v>
      </c>
      <c r="AY49" s="197">
        <f t="shared" si="108"/>
        <v>16.3</v>
      </c>
      <c r="AZ49" s="197">
        <f>'Energy Inputs'!$G$58*$AZ$34</f>
        <v>36</v>
      </c>
      <c r="BA49" s="197">
        <f t="shared" si="149"/>
        <v>586.80000000000007</v>
      </c>
      <c r="BB49" s="197">
        <f>'Margins summary'!$W$14</f>
        <v>175.95</v>
      </c>
      <c r="BC49" s="197">
        <f t="shared" si="109"/>
        <v>762.75</v>
      </c>
      <c r="BD49" s="197"/>
      <c r="BE49" s="918">
        <f>'Energy NPV'!U102</f>
        <v>408.3347839999999</v>
      </c>
      <c r="BF49" s="197"/>
      <c r="BG49" s="197">
        <f t="shared" si="110"/>
        <v>408.3347839999999</v>
      </c>
      <c r="BH49" s="197">
        <f t="shared" si="82"/>
        <v>178.46521600000017</v>
      </c>
      <c r="BI49" s="197">
        <f t="shared" si="83"/>
        <v>354.4152160000001</v>
      </c>
      <c r="BJ49" s="196">
        <f t="shared" si="111"/>
        <v>381.17409064132562</v>
      </c>
      <c r="BK49" s="197">
        <f t="shared" si="112"/>
        <v>114.29376490855698</v>
      </c>
      <c r="BL49" s="197">
        <f t="shared" si="113"/>
        <v>265.24648938040571</v>
      </c>
      <c r="BM49" s="197">
        <f t="shared" si="114"/>
        <v>115.92760126091993</v>
      </c>
      <c r="BN49" s="199">
        <f t="shared" si="115"/>
        <v>230.22136616947688</v>
      </c>
      <c r="BO49" s="196">
        <f t="shared" si="150"/>
        <v>4848.8731549955319</v>
      </c>
      <c r="BP49" s="197">
        <f t="shared" si="116"/>
        <v>1717.3558772860742</v>
      </c>
      <c r="BQ49" s="197">
        <f t="shared" si="117"/>
        <v>6154.8268536318628</v>
      </c>
      <c r="BR49" s="197">
        <f t="shared" si="118"/>
        <v>-1305.9536986363319</v>
      </c>
      <c r="BS49" s="199">
        <f t="shared" si="119"/>
        <v>411.40217864974147</v>
      </c>
      <c r="BT49" s="197"/>
      <c r="BV49" s="900">
        <v>12</v>
      </c>
      <c r="BW49" s="197">
        <f t="shared" si="120"/>
        <v>16.3</v>
      </c>
      <c r="BX49" s="197">
        <f>'Energy Inputs'!$G$58*$BX$34</f>
        <v>144</v>
      </c>
      <c r="BY49" s="197">
        <f t="shared" si="151"/>
        <v>2347.2000000000003</v>
      </c>
      <c r="BZ49" s="197">
        <f>'Margins summary'!$W$14</f>
        <v>175.95</v>
      </c>
      <c r="CA49" s="197">
        <f t="shared" si="121"/>
        <v>2523.15</v>
      </c>
      <c r="CB49" s="197"/>
      <c r="CC49" s="918">
        <f>'Energy NPV'!U102</f>
        <v>408.3347839999999</v>
      </c>
      <c r="CD49" s="197"/>
      <c r="CE49" s="197">
        <f t="shared" si="122"/>
        <v>408.3347839999999</v>
      </c>
      <c r="CF49" s="197">
        <f t="shared" si="84"/>
        <v>1938.8652160000004</v>
      </c>
      <c r="CG49" s="197">
        <f t="shared" si="85"/>
        <v>2114.815216</v>
      </c>
      <c r="CH49" s="196">
        <f t="shared" si="123"/>
        <v>1524.6963625653025</v>
      </c>
      <c r="CI49" s="197">
        <f t="shared" si="124"/>
        <v>114.29376490855698</v>
      </c>
      <c r="CJ49" s="197">
        <f t="shared" si="125"/>
        <v>265.24648938040571</v>
      </c>
      <c r="CK49" s="197">
        <f t="shared" si="126"/>
        <v>1259.4498731848969</v>
      </c>
      <c r="CL49" s="199">
        <f t="shared" si="127"/>
        <v>1373.7436380934537</v>
      </c>
      <c r="CM49" s="196">
        <f t="shared" si="152"/>
        <v>19395.492619982128</v>
      </c>
      <c r="CN49" s="197">
        <f t="shared" si="128"/>
        <v>1717.3558772860742</v>
      </c>
      <c r="CO49" s="197">
        <f t="shared" si="129"/>
        <v>6154.8268536318628</v>
      </c>
      <c r="CP49" s="197">
        <f t="shared" si="130"/>
        <v>13240.665766350261</v>
      </c>
      <c r="CQ49" s="199">
        <f t="shared" si="131"/>
        <v>14958.021643636333</v>
      </c>
      <c r="CR49" s="197"/>
      <c r="CT49" s="204">
        <f t="shared" si="153"/>
        <v>12</v>
      </c>
      <c r="CU49" s="197">
        <f t="shared" si="132"/>
        <v>16.3</v>
      </c>
      <c r="CV49" s="197">
        <f>'Energy Inputs'!$G$58*$CV$34</f>
        <v>0</v>
      </c>
      <c r="CW49" s="197">
        <f t="shared" si="154"/>
        <v>0</v>
      </c>
      <c r="CX49" s="197">
        <f>'Margins summary'!$W$14</f>
        <v>175.95</v>
      </c>
      <c r="CY49" s="197">
        <f t="shared" si="133"/>
        <v>175.95</v>
      </c>
      <c r="CZ49" s="197"/>
      <c r="DA49" s="918">
        <f>'Energy NPV'!U102</f>
        <v>408.3347839999999</v>
      </c>
      <c r="DB49" s="197"/>
      <c r="DC49" s="197">
        <f t="shared" si="134"/>
        <v>408.3347839999999</v>
      </c>
      <c r="DD49" s="197">
        <f t="shared" si="86"/>
        <v>-408.3347839999999</v>
      </c>
      <c r="DE49" s="197">
        <f t="shared" si="87"/>
        <v>-232.38478399999991</v>
      </c>
      <c r="DF49" s="196">
        <f t="shared" si="135"/>
        <v>0</v>
      </c>
      <c r="DG49" s="197">
        <f t="shared" si="136"/>
        <v>114.29376490855698</v>
      </c>
      <c r="DH49" s="197">
        <f t="shared" si="137"/>
        <v>265.24648938040571</v>
      </c>
      <c r="DI49" s="197">
        <f t="shared" si="138"/>
        <v>-265.24648938040571</v>
      </c>
      <c r="DJ49" s="199">
        <f t="shared" si="139"/>
        <v>-150.95272447184874</v>
      </c>
      <c r="DK49" s="196">
        <f t="shared" si="155"/>
        <v>0</v>
      </c>
      <c r="DL49" s="197">
        <f t="shared" si="140"/>
        <v>1717.3558772860742</v>
      </c>
      <c r="DM49" s="197">
        <f t="shared" si="141"/>
        <v>6154.8268536318628</v>
      </c>
      <c r="DN49" s="197">
        <f t="shared" si="142"/>
        <v>-6154.8268536318628</v>
      </c>
      <c r="DO49" s="199">
        <f t="shared" si="143"/>
        <v>-4437.4709763457895</v>
      </c>
    </row>
    <row r="50" spans="2:129" x14ac:dyDescent="0.3">
      <c r="B50" s="204">
        <f t="shared" si="144"/>
        <v>13</v>
      </c>
      <c r="C50" s="197">
        <f>'Energy NPV'!$D103</f>
        <v>16.3</v>
      </c>
      <c r="D50" s="197">
        <f>'Energy Inputs'!$G$58*$E$34</f>
        <v>72</v>
      </c>
      <c r="E50" s="197">
        <f t="shared" si="145"/>
        <v>1173.6000000000001</v>
      </c>
      <c r="F50" s="197">
        <f>'Margins summary'!$W$14</f>
        <v>175.95</v>
      </c>
      <c r="G50" s="197">
        <f t="shared" si="88"/>
        <v>1349.5500000000002</v>
      </c>
      <c r="H50" s="197"/>
      <c r="I50" s="918">
        <f>'Energy NPV'!U103</f>
        <v>408.3347839999999</v>
      </c>
      <c r="J50" s="197"/>
      <c r="K50" s="197">
        <f t="shared" si="89"/>
        <v>408.3347839999999</v>
      </c>
      <c r="L50" s="197">
        <f t="shared" si="78"/>
        <v>765.26521600000024</v>
      </c>
      <c r="M50" s="197">
        <f t="shared" si="79"/>
        <v>941.21521600000028</v>
      </c>
      <c r="N50" s="196">
        <f t="shared" si="90"/>
        <v>733.02709738716453</v>
      </c>
      <c r="O50" s="197">
        <f t="shared" si="91"/>
        <v>109.89785087361246</v>
      </c>
      <c r="P50" s="197">
        <f t="shared" si="92"/>
        <v>255.04470132731313</v>
      </c>
      <c r="Q50" s="197">
        <f t="shared" si="93"/>
        <v>477.9823960598514</v>
      </c>
      <c r="R50" s="199">
        <f t="shared" si="94"/>
        <v>587.88024693346392</v>
      </c>
      <c r="S50" s="196">
        <f t="shared" si="146"/>
        <v>10430.773407378229</v>
      </c>
      <c r="T50" s="197">
        <f t="shared" si="95"/>
        <v>1827.2537281596867</v>
      </c>
      <c r="U50" s="197">
        <f t="shared" si="95"/>
        <v>6409.8715549591761</v>
      </c>
      <c r="V50" s="197">
        <f t="shared" si="95"/>
        <v>4020.9018524190501</v>
      </c>
      <c r="W50" s="199">
        <f t="shared" si="95"/>
        <v>5848.1555805787384</v>
      </c>
      <c r="X50" s="197"/>
      <c r="Z50" s="900">
        <v>13</v>
      </c>
      <c r="AA50" s="197">
        <f t="shared" si="96"/>
        <v>16.3</v>
      </c>
      <c r="AB50" s="197">
        <f>'Energy Inputs'!$G$58*$AB$34</f>
        <v>108</v>
      </c>
      <c r="AC50" s="197">
        <f t="shared" si="147"/>
        <v>1760.4</v>
      </c>
      <c r="AD50" s="197">
        <f>'Margins summary'!$W$14</f>
        <v>175.95</v>
      </c>
      <c r="AE50" s="197">
        <f t="shared" si="97"/>
        <v>1936.3500000000001</v>
      </c>
      <c r="AF50" s="197"/>
      <c r="AG50" s="918">
        <f>'Energy NPV'!U103</f>
        <v>408.3347839999999</v>
      </c>
      <c r="AH50" s="197"/>
      <c r="AI50" s="197">
        <f t="shared" si="98"/>
        <v>408.3347839999999</v>
      </c>
      <c r="AJ50" s="197">
        <f t="shared" si="80"/>
        <v>1352.0652160000002</v>
      </c>
      <c r="AK50" s="197">
        <f t="shared" si="81"/>
        <v>1528.0152160000002</v>
      </c>
      <c r="AL50" s="196">
        <f t="shared" si="99"/>
        <v>1099.5406460807467</v>
      </c>
      <c r="AM50" s="197">
        <f t="shared" si="100"/>
        <v>109.89785087361246</v>
      </c>
      <c r="AN50" s="197">
        <f t="shared" si="101"/>
        <v>255.04470132731313</v>
      </c>
      <c r="AO50" s="197">
        <f t="shared" si="102"/>
        <v>844.49594475343361</v>
      </c>
      <c r="AP50" s="199">
        <f t="shared" si="103"/>
        <v>954.39379562704607</v>
      </c>
      <c r="AQ50" s="196">
        <f t="shared" si="148"/>
        <v>15646.160111067338</v>
      </c>
      <c r="AR50" s="197">
        <f t="shared" si="104"/>
        <v>1827.2537281596867</v>
      </c>
      <c r="AS50" s="197">
        <f t="shared" si="105"/>
        <v>6409.8715549591761</v>
      </c>
      <c r="AT50" s="197">
        <f t="shared" si="106"/>
        <v>9236.2885561081621</v>
      </c>
      <c r="AU50" s="199">
        <f t="shared" si="107"/>
        <v>11063.542284267851</v>
      </c>
      <c r="AV50" s="197"/>
      <c r="AX50" s="900">
        <v>13</v>
      </c>
      <c r="AY50" s="197">
        <f t="shared" si="108"/>
        <v>16.3</v>
      </c>
      <c r="AZ50" s="197">
        <f>'Energy Inputs'!$G$58*$AZ$34</f>
        <v>36</v>
      </c>
      <c r="BA50" s="197">
        <f t="shared" si="149"/>
        <v>586.80000000000007</v>
      </c>
      <c r="BB50" s="197">
        <f>'Margins summary'!$W$14</f>
        <v>175.95</v>
      </c>
      <c r="BC50" s="197">
        <f t="shared" si="109"/>
        <v>762.75</v>
      </c>
      <c r="BD50" s="197"/>
      <c r="BE50" s="918">
        <f>'Energy NPV'!U103</f>
        <v>408.3347839999999</v>
      </c>
      <c r="BF50" s="197"/>
      <c r="BG50" s="197">
        <f t="shared" si="110"/>
        <v>408.3347839999999</v>
      </c>
      <c r="BH50" s="197">
        <f t="shared" si="82"/>
        <v>178.46521600000017</v>
      </c>
      <c r="BI50" s="197">
        <f t="shared" si="83"/>
        <v>354.4152160000001</v>
      </c>
      <c r="BJ50" s="196">
        <f t="shared" si="111"/>
        <v>366.51354869358227</v>
      </c>
      <c r="BK50" s="197">
        <f t="shared" si="112"/>
        <v>109.89785087361246</v>
      </c>
      <c r="BL50" s="197">
        <f t="shared" si="113"/>
        <v>255.04470132731313</v>
      </c>
      <c r="BM50" s="197">
        <f t="shared" si="114"/>
        <v>111.46884736626915</v>
      </c>
      <c r="BN50" s="199">
        <f t="shared" si="115"/>
        <v>221.36669823988157</v>
      </c>
      <c r="BO50" s="196">
        <f t="shared" si="150"/>
        <v>5215.3867036891143</v>
      </c>
      <c r="BP50" s="197">
        <f t="shared" si="116"/>
        <v>1827.2537281596867</v>
      </c>
      <c r="BQ50" s="197">
        <f t="shared" si="117"/>
        <v>6409.8715549591761</v>
      </c>
      <c r="BR50" s="197">
        <f t="shared" si="118"/>
        <v>-1194.4848512700628</v>
      </c>
      <c r="BS50" s="199">
        <f t="shared" si="119"/>
        <v>632.76887688962302</v>
      </c>
      <c r="BT50" s="197"/>
      <c r="BV50" s="900">
        <v>13</v>
      </c>
      <c r="BW50" s="197">
        <f t="shared" si="120"/>
        <v>16.3</v>
      </c>
      <c r="BX50" s="197">
        <f>'Energy Inputs'!$G$58*$BX$34</f>
        <v>144</v>
      </c>
      <c r="BY50" s="197">
        <f t="shared" si="151"/>
        <v>2347.2000000000003</v>
      </c>
      <c r="BZ50" s="197">
        <f>'Margins summary'!$W$14</f>
        <v>175.95</v>
      </c>
      <c r="CA50" s="197">
        <f t="shared" si="121"/>
        <v>2523.15</v>
      </c>
      <c r="CB50" s="197"/>
      <c r="CC50" s="918">
        <f>'Energy NPV'!U103</f>
        <v>408.3347839999999</v>
      </c>
      <c r="CD50" s="197"/>
      <c r="CE50" s="197">
        <f t="shared" si="122"/>
        <v>408.3347839999999</v>
      </c>
      <c r="CF50" s="197">
        <f t="shared" si="84"/>
        <v>1938.8652160000004</v>
      </c>
      <c r="CG50" s="197">
        <f t="shared" si="85"/>
        <v>2114.815216</v>
      </c>
      <c r="CH50" s="196">
        <f t="shared" si="123"/>
        <v>1466.0541947743291</v>
      </c>
      <c r="CI50" s="197">
        <f t="shared" si="124"/>
        <v>109.89785087361246</v>
      </c>
      <c r="CJ50" s="197">
        <f t="shared" si="125"/>
        <v>255.04470132731313</v>
      </c>
      <c r="CK50" s="197">
        <f t="shared" si="126"/>
        <v>1211.009493447016</v>
      </c>
      <c r="CL50" s="199">
        <f t="shared" si="127"/>
        <v>1320.9073443206282</v>
      </c>
      <c r="CM50" s="196">
        <f t="shared" si="152"/>
        <v>20861.546814756457</v>
      </c>
      <c r="CN50" s="197">
        <f t="shared" si="128"/>
        <v>1827.2537281596867</v>
      </c>
      <c r="CO50" s="197">
        <f t="shared" si="129"/>
        <v>6409.8715549591761</v>
      </c>
      <c r="CP50" s="197">
        <f t="shared" si="130"/>
        <v>14451.675259797277</v>
      </c>
      <c r="CQ50" s="199">
        <f t="shared" si="131"/>
        <v>16278.928987956962</v>
      </c>
      <c r="CR50" s="197"/>
      <c r="CT50" s="204">
        <f t="shared" si="153"/>
        <v>13</v>
      </c>
      <c r="CU50" s="197">
        <f t="shared" si="132"/>
        <v>16.3</v>
      </c>
      <c r="CV50" s="197">
        <f>'Energy Inputs'!$G$58*$CV$34</f>
        <v>0</v>
      </c>
      <c r="CW50" s="197">
        <f t="shared" si="154"/>
        <v>0</v>
      </c>
      <c r="CX50" s="197">
        <f>'Margins summary'!$W$14</f>
        <v>175.95</v>
      </c>
      <c r="CY50" s="197">
        <f t="shared" si="133"/>
        <v>175.95</v>
      </c>
      <c r="CZ50" s="197"/>
      <c r="DA50" s="918">
        <f>'Energy NPV'!U103</f>
        <v>408.3347839999999</v>
      </c>
      <c r="DB50" s="197"/>
      <c r="DC50" s="197">
        <f t="shared" si="134"/>
        <v>408.3347839999999</v>
      </c>
      <c r="DD50" s="197">
        <f t="shared" si="86"/>
        <v>-408.3347839999999</v>
      </c>
      <c r="DE50" s="197">
        <f t="shared" si="87"/>
        <v>-232.38478399999991</v>
      </c>
      <c r="DF50" s="196">
        <f t="shared" si="135"/>
        <v>0</v>
      </c>
      <c r="DG50" s="197">
        <f t="shared" si="136"/>
        <v>109.89785087361246</v>
      </c>
      <c r="DH50" s="197">
        <f t="shared" si="137"/>
        <v>255.04470132731313</v>
      </c>
      <c r="DI50" s="197">
        <f t="shared" si="138"/>
        <v>-255.04470132731313</v>
      </c>
      <c r="DJ50" s="199">
        <f t="shared" si="139"/>
        <v>-145.14685045370067</v>
      </c>
      <c r="DK50" s="196">
        <f t="shared" si="155"/>
        <v>0</v>
      </c>
      <c r="DL50" s="197">
        <f t="shared" si="140"/>
        <v>1827.2537281596867</v>
      </c>
      <c r="DM50" s="197">
        <f t="shared" si="141"/>
        <v>6409.8715549591761</v>
      </c>
      <c r="DN50" s="197">
        <f t="shared" si="142"/>
        <v>-6409.8715549591761</v>
      </c>
      <c r="DO50" s="199">
        <f t="shared" si="143"/>
        <v>-4582.6178267994901</v>
      </c>
    </row>
    <row r="51" spans="2:129" x14ac:dyDescent="0.3">
      <c r="B51" s="204">
        <f t="shared" si="144"/>
        <v>14</v>
      </c>
      <c r="C51" s="197">
        <f>'Energy NPV'!$D104</f>
        <v>16.3</v>
      </c>
      <c r="D51" s="197">
        <f>'Energy Inputs'!$G$58*$E$34</f>
        <v>72</v>
      </c>
      <c r="E51" s="197">
        <f t="shared" si="145"/>
        <v>1173.6000000000001</v>
      </c>
      <c r="F51" s="197">
        <f>'Margins summary'!$W$14</f>
        <v>175.95</v>
      </c>
      <c r="G51" s="197">
        <f t="shared" si="88"/>
        <v>1349.5500000000002</v>
      </c>
      <c r="H51" s="197"/>
      <c r="I51" s="918">
        <f>'Energy NPV'!U104</f>
        <v>408.3347839999999</v>
      </c>
      <c r="J51" s="197"/>
      <c r="K51" s="197">
        <f t="shared" si="89"/>
        <v>408.3347839999999</v>
      </c>
      <c r="L51" s="197">
        <f t="shared" si="78"/>
        <v>765.26521600000024</v>
      </c>
      <c r="M51" s="197">
        <f t="shared" si="79"/>
        <v>941.21521600000028</v>
      </c>
      <c r="N51" s="196">
        <f t="shared" si="90"/>
        <v>704.83374748765823</v>
      </c>
      <c r="O51" s="197">
        <f t="shared" si="91"/>
        <v>105.67101045539658</v>
      </c>
      <c r="P51" s="197">
        <f t="shared" si="92"/>
        <v>245.23528973780108</v>
      </c>
      <c r="Q51" s="197">
        <f t="shared" si="93"/>
        <v>459.59845774985712</v>
      </c>
      <c r="R51" s="199">
        <f t="shared" si="94"/>
        <v>565.2694682052537</v>
      </c>
      <c r="S51" s="196">
        <f t="shared" si="146"/>
        <v>11135.607154865887</v>
      </c>
      <c r="T51" s="197">
        <f t="shared" si="95"/>
        <v>1932.9247386150832</v>
      </c>
      <c r="U51" s="197">
        <f t="shared" si="95"/>
        <v>6655.1068446969775</v>
      </c>
      <c r="V51" s="197">
        <f t="shared" si="95"/>
        <v>4480.5003101689072</v>
      </c>
      <c r="W51" s="199">
        <f t="shared" si="95"/>
        <v>6413.4250487839918</v>
      </c>
      <c r="X51" s="197"/>
      <c r="Z51" s="900">
        <v>14</v>
      </c>
      <c r="AA51" s="197">
        <f t="shared" si="96"/>
        <v>16.3</v>
      </c>
      <c r="AB51" s="197">
        <f>'Energy Inputs'!$G$58*$AB$34</f>
        <v>108</v>
      </c>
      <c r="AC51" s="197">
        <f t="shared" si="147"/>
        <v>1760.4</v>
      </c>
      <c r="AD51" s="197">
        <f>'Margins summary'!$W$14</f>
        <v>175.95</v>
      </c>
      <c r="AE51" s="197">
        <f t="shared" si="97"/>
        <v>1936.3500000000001</v>
      </c>
      <c r="AF51" s="197"/>
      <c r="AG51" s="918">
        <f>'Energy NPV'!U104</f>
        <v>408.3347839999999</v>
      </c>
      <c r="AH51" s="197"/>
      <c r="AI51" s="197">
        <f t="shared" si="98"/>
        <v>408.3347839999999</v>
      </c>
      <c r="AJ51" s="197">
        <f t="shared" si="80"/>
        <v>1352.0652160000002</v>
      </c>
      <c r="AK51" s="197">
        <f t="shared" si="81"/>
        <v>1528.0152160000002</v>
      </c>
      <c r="AL51" s="196">
        <f t="shared" si="99"/>
        <v>1057.2506212314872</v>
      </c>
      <c r="AM51" s="197">
        <f t="shared" si="100"/>
        <v>105.67101045539658</v>
      </c>
      <c r="AN51" s="197">
        <f t="shared" si="101"/>
        <v>245.23528973780108</v>
      </c>
      <c r="AO51" s="197">
        <f t="shared" si="102"/>
        <v>812.01533149368618</v>
      </c>
      <c r="AP51" s="199">
        <f t="shared" si="103"/>
        <v>917.6863419490827</v>
      </c>
      <c r="AQ51" s="196">
        <f t="shared" si="148"/>
        <v>16703.410732298824</v>
      </c>
      <c r="AR51" s="197">
        <f t="shared" si="104"/>
        <v>1932.9247386150832</v>
      </c>
      <c r="AS51" s="197">
        <f t="shared" si="105"/>
        <v>6655.1068446969775</v>
      </c>
      <c r="AT51" s="197">
        <f t="shared" si="106"/>
        <v>10048.303887601849</v>
      </c>
      <c r="AU51" s="199">
        <f t="shared" si="107"/>
        <v>11981.228626216933</v>
      </c>
      <c r="AV51" s="197"/>
      <c r="AX51" s="900">
        <v>14</v>
      </c>
      <c r="AY51" s="197">
        <f t="shared" si="108"/>
        <v>16.3</v>
      </c>
      <c r="AZ51" s="197">
        <f>'Energy Inputs'!$G$58*$AZ$34</f>
        <v>36</v>
      </c>
      <c r="BA51" s="197">
        <f t="shared" si="149"/>
        <v>586.80000000000007</v>
      </c>
      <c r="BB51" s="197">
        <f>'Margins summary'!$W$14</f>
        <v>175.95</v>
      </c>
      <c r="BC51" s="197">
        <f t="shared" si="109"/>
        <v>762.75</v>
      </c>
      <c r="BD51" s="197"/>
      <c r="BE51" s="918">
        <f>'Energy NPV'!U104</f>
        <v>408.3347839999999</v>
      </c>
      <c r="BF51" s="197"/>
      <c r="BG51" s="197">
        <f t="shared" si="110"/>
        <v>408.3347839999999</v>
      </c>
      <c r="BH51" s="197">
        <f t="shared" si="82"/>
        <v>178.46521600000017</v>
      </c>
      <c r="BI51" s="197">
        <f t="shared" si="83"/>
        <v>354.4152160000001</v>
      </c>
      <c r="BJ51" s="196">
        <f t="shared" si="111"/>
        <v>352.41687374382911</v>
      </c>
      <c r="BK51" s="197">
        <f t="shared" si="112"/>
        <v>105.67101045539658</v>
      </c>
      <c r="BL51" s="197">
        <f t="shared" si="113"/>
        <v>245.23528973780108</v>
      </c>
      <c r="BM51" s="197">
        <f t="shared" si="114"/>
        <v>107.18158400602802</v>
      </c>
      <c r="BN51" s="199">
        <f t="shared" si="115"/>
        <v>212.85259446142456</v>
      </c>
      <c r="BO51" s="196">
        <f t="shared" si="150"/>
        <v>5567.8035774329437</v>
      </c>
      <c r="BP51" s="197">
        <f t="shared" si="116"/>
        <v>1932.9247386150832</v>
      </c>
      <c r="BQ51" s="197">
        <f t="shared" si="117"/>
        <v>6655.1068446969775</v>
      </c>
      <c r="BR51" s="197">
        <f t="shared" si="118"/>
        <v>-1087.3032672640347</v>
      </c>
      <c r="BS51" s="199">
        <f t="shared" si="119"/>
        <v>845.6214713510476</v>
      </c>
      <c r="BT51" s="197"/>
      <c r="BV51" s="900">
        <v>14</v>
      </c>
      <c r="BW51" s="197">
        <f t="shared" si="120"/>
        <v>16.3</v>
      </c>
      <c r="BX51" s="197">
        <f>'Energy Inputs'!$G$58*$BX$34</f>
        <v>144</v>
      </c>
      <c r="BY51" s="197">
        <f t="shared" si="151"/>
        <v>2347.2000000000003</v>
      </c>
      <c r="BZ51" s="197">
        <f>'Margins summary'!$W$14</f>
        <v>175.95</v>
      </c>
      <c r="CA51" s="197">
        <f t="shared" si="121"/>
        <v>2523.15</v>
      </c>
      <c r="CB51" s="197"/>
      <c r="CC51" s="918">
        <f>'Energy NPV'!U104</f>
        <v>408.3347839999999</v>
      </c>
      <c r="CD51" s="197"/>
      <c r="CE51" s="197">
        <f t="shared" si="122"/>
        <v>408.3347839999999</v>
      </c>
      <c r="CF51" s="197">
        <f t="shared" si="84"/>
        <v>1938.8652160000004</v>
      </c>
      <c r="CG51" s="197">
        <f t="shared" si="85"/>
        <v>2114.815216</v>
      </c>
      <c r="CH51" s="196">
        <f t="shared" si="123"/>
        <v>1409.6674949753165</v>
      </c>
      <c r="CI51" s="197">
        <f t="shared" si="124"/>
        <v>105.67101045539658</v>
      </c>
      <c r="CJ51" s="197">
        <f t="shared" si="125"/>
        <v>245.23528973780108</v>
      </c>
      <c r="CK51" s="197">
        <f t="shared" si="126"/>
        <v>1164.4322052375153</v>
      </c>
      <c r="CL51" s="199">
        <f t="shared" si="127"/>
        <v>1270.1032156929116</v>
      </c>
      <c r="CM51" s="196">
        <f t="shared" si="152"/>
        <v>22271.214309731775</v>
      </c>
      <c r="CN51" s="197">
        <f t="shared" si="128"/>
        <v>1932.9247386150832</v>
      </c>
      <c r="CO51" s="197">
        <f t="shared" si="129"/>
        <v>6655.1068446969775</v>
      </c>
      <c r="CP51" s="197">
        <f t="shared" si="130"/>
        <v>15616.107465034793</v>
      </c>
      <c r="CQ51" s="199">
        <f t="shared" si="131"/>
        <v>17549.032203649873</v>
      </c>
      <c r="CR51" s="197"/>
      <c r="CT51" s="204">
        <f t="shared" si="153"/>
        <v>14</v>
      </c>
      <c r="CU51" s="197">
        <f t="shared" si="132"/>
        <v>16.3</v>
      </c>
      <c r="CV51" s="197">
        <f>'Energy Inputs'!$G$58*$CV$34</f>
        <v>0</v>
      </c>
      <c r="CW51" s="197">
        <f t="shared" si="154"/>
        <v>0</v>
      </c>
      <c r="CX51" s="197">
        <f>'Margins summary'!$W$14</f>
        <v>175.95</v>
      </c>
      <c r="CY51" s="197">
        <f t="shared" si="133"/>
        <v>175.95</v>
      </c>
      <c r="CZ51" s="197"/>
      <c r="DA51" s="918">
        <f>'Energy NPV'!U104</f>
        <v>408.3347839999999</v>
      </c>
      <c r="DB51" s="197"/>
      <c r="DC51" s="197">
        <f t="shared" si="134"/>
        <v>408.3347839999999</v>
      </c>
      <c r="DD51" s="197">
        <f t="shared" si="86"/>
        <v>-408.3347839999999</v>
      </c>
      <c r="DE51" s="197">
        <f t="shared" si="87"/>
        <v>-232.38478399999991</v>
      </c>
      <c r="DF51" s="196">
        <f t="shared" si="135"/>
        <v>0</v>
      </c>
      <c r="DG51" s="197">
        <f t="shared" si="136"/>
        <v>105.67101045539658</v>
      </c>
      <c r="DH51" s="197">
        <f t="shared" si="137"/>
        <v>245.23528973780108</v>
      </c>
      <c r="DI51" s="197">
        <f t="shared" si="138"/>
        <v>-245.23528973780108</v>
      </c>
      <c r="DJ51" s="199">
        <f t="shared" si="139"/>
        <v>-139.5642792824045</v>
      </c>
      <c r="DK51" s="196">
        <f t="shared" si="155"/>
        <v>0</v>
      </c>
      <c r="DL51" s="197">
        <f t="shared" si="140"/>
        <v>1932.9247386150832</v>
      </c>
      <c r="DM51" s="197">
        <f t="shared" si="141"/>
        <v>6655.1068446969775</v>
      </c>
      <c r="DN51" s="197">
        <f t="shared" si="142"/>
        <v>-6655.1068446969775</v>
      </c>
      <c r="DO51" s="199">
        <f t="shared" si="143"/>
        <v>-4722.1821060818947</v>
      </c>
    </row>
    <row r="52" spans="2:129" x14ac:dyDescent="0.3">
      <c r="B52" s="204">
        <f t="shared" si="144"/>
        <v>15</v>
      </c>
      <c r="C52" s="197">
        <f>'Energy NPV'!$D105</f>
        <v>16.3</v>
      </c>
      <c r="D52" s="197">
        <f>'Energy Inputs'!$G$58*$E$34</f>
        <v>72</v>
      </c>
      <c r="E52" s="197">
        <f t="shared" si="145"/>
        <v>1173.6000000000001</v>
      </c>
      <c r="F52" s="197">
        <f>'Margins summary'!$W$14</f>
        <v>175.95</v>
      </c>
      <c r="G52" s="197">
        <f t="shared" si="88"/>
        <v>1349.5500000000002</v>
      </c>
      <c r="H52" s="197"/>
      <c r="I52" s="918">
        <f>'Energy NPV'!U105</f>
        <v>408.3347839999999</v>
      </c>
      <c r="J52" s="197"/>
      <c r="K52" s="197">
        <f t="shared" si="89"/>
        <v>408.3347839999999</v>
      </c>
      <c r="L52" s="197">
        <f t="shared" si="78"/>
        <v>765.26521600000024</v>
      </c>
      <c r="M52" s="197">
        <f t="shared" si="79"/>
        <v>941.21521600000028</v>
      </c>
      <c r="N52" s="196">
        <f t="shared" si="90"/>
        <v>677.72475719967133</v>
      </c>
      <c r="O52" s="197">
        <f t="shared" si="91"/>
        <v>101.60674082249672</v>
      </c>
      <c r="P52" s="197">
        <f t="shared" si="92"/>
        <v>235.80316320942413</v>
      </c>
      <c r="Q52" s="197">
        <f t="shared" si="93"/>
        <v>441.92159399024723</v>
      </c>
      <c r="R52" s="199">
        <f t="shared" si="94"/>
        <v>543.52833481274399</v>
      </c>
      <c r="S52" s="196">
        <f t="shared" si="146"/>
        <v>11813.331912065558</v>
      </c>
      <c r="T52" s="197">
        <f t="shared" si="95"/>
        <v>2034.5314794375799</v>
      </c>
      <c r="U52" s="197">
        <f t="shared" si="95"/>
        <v>6890.9100079064019</v>
      </c>
      <c r="V52" s="197">
        <f t="shared" si="95"/>
        <v>4922.4219041591541</v>
      </c>
      <c r="W52" s="199">
        <f t="shared" si="95"/>
        <v>6956.9533835967359</v>
      </c>
      <c r="X52" s="197"/>
      <c r="Z52" s="900">
        <v>15</v>
      </c>
      <c r="AA52" s="197">
        <f t="shared" si="96"/>
        <v>16.3</v>
      </c>
      <c r="AB52" s="197">
        <f>'Energy Inputs'!$G$58*$AB$34</f>
        <v>108</v>
      </c>
      <c r="AC52" s="197">
        <f t="shared" si="147"/>
        <v>1760.4</v>
      </c>
      <c r="AD52" s="197">
        <f>'Margins summary'!$W$14</f>
        <v>175.95</v>
      </c>
      <c r="AE52" s="197">
        <f t="shared" si="97"/>
        <v>1936.3500000000001</v>
      </c>
      <c r="AF52" s="197"/>
      <c r="AG52" s="918">
        <f>'Energy NPV'!U105</f>
        <v>408.3347839999999</v>
      </c>
      <c r="AH52" s="197"/>
      <c r="AI52" s="197">
        <f t="shared" si="98"/>
        <v>408.3347839999999</v>
      </c>
      <c r="AJ52" s="197">
        <f t="shared" si="80"/>
        <v>1352.0652160000002</v>
      </c>
      <c r="AK52" s="197">
        <f t="shared" si="81"/>
        <v>1528.0152160000002</v>
      </c>
      <c r="AL52" s="196">
        <f t="shared" si="99"/>
        <v>1016.587135799507</v>
      </c>
      <c r="AM52" s="197">
        <f t="shared" si="100"/>
        <v>101.60674082249672</v>
      </c>
      <c r="AN52" s="197">
        <f t="shared" si="101"/>
        <v>235.80316320942413</v>
      </c>
      <c r="AO52" s="197">
        <f t="shared" si="102"/>
        <v>780.78397259008284</v>
      </c>
      <c r="AP52" s="199">
        <f t="shared" si="103"/>
        <v>882.39071341257954</v>
      </c>
      <c r="AQ52" s="196">
        <f t="shared" si="148"/>
        <v>17719.997868098329</v>
      </c>
      <c r="AR52" s="197">
        <f t="shared" si="104"/>
        <v>2034.5314794375799</v>
      </c>
      <c r="AS52" s="197">
        <f t="shared" si="105"/>
        <v>6890.9100079064019</v>
      </c>
      <c r="AT52" s="197">
        <f t="shared" si="106"/>
        <v>10829.087860191932</v>
      </c>
      <c r="AU52" s="199">
        <f t="shared" si="107"/>
        <v>12863.619339629513</v>
      </c>
      <c r="AV52" s="197"/>
      <c r="AX52" s="900">
        <v>15</v>
      </c>
      <c r="AY52" s="197">
        <f t="shared" si="108"/>
        <v>16.3</v>
      </c>
      <c r="AZ52" s="197">
        <f>'Energy Inputs'!$G$58*$AZ$34</f>
        <v>36</v>
      </c>
      <c r="BA52" s="197">
        <f t="shared" si="149"/>
        <v>586.80000000000007</v>
      </c>
      <c r="BB52" s="197">
        <f>'Margins summary'!$W$14</f>
        <v>175.95</v>
      </c>
      <c r="BC52" s="197">
        <f t="shared" si="109"/>
        <v>762.75</v>
      </c>
      <c r="BD52" s="197"/>
      <c r="BE52" s="918">
        <f>'Energy NPV'!U105</f>
        <v>408.3347839999999</v>
      </c>
      <c r="BF52" s="197"/>
      <c r="BG52" s="197">
        <f t="shared" si="110"/>
        <v>408.3347839999999</v>
      </c>
      <c r="BH52" s="197">
        <f t="shared" si="82"/>
        <v>178.46521600000017</v>
      </c>
      <c r="BI52" s="197">
        <f t="shared" si="83"/>
        <v>354.4152160000001</v>
      </c>
      <c r="BJ52" s="196">
        <f t="shared" si="111"/>
        <v>338.86237859983567</v>
      </c>
      <c r="BK52" s="197">
        <f t="shared" si="112"/>
        <v>101.60674082249672</v>
      </c>
      <c r="BL52" s="197">
        <f t="shared" si="113"/>
        <v>235.80316320942413</v>
      </c>
      <c r="BM52" s="197">
        <f t="shared" si="114"/>
        <v>103.05921539041155</v>
      </c>
      <c r="BN52" s="199">
        <f t="shared" si="115"/>
        <v>204.66595621290824</v>
      </c>
      <c r="BO52" s="196">
        <f t="shared" si="150"/>
        <v>5906.6659560327789</v>
      </c>
      <c r="BP52" s="197">
        <f t="shared" si="116"/>
        <v>2034.5314794375799</v>
      </c>
      <c r="BQ52" s="197">
        <f t="shared" si="117"/>
        <v>6890.9100079064019</v>
      </c>
      <c r="BR52" s="197">
        <f t="shared" si="118"/>
        <v>-984.24405187362322</v>
      </c>
      <c r="BS52" s="199">
        <f t="shared" si="119"/>
        <v>1050.2874275639558</v>
      </c>
      <c r="BT52" s="197"/>
      <c r="BV52" s="900">
        <v>15</v>
      </c>
      <c r="BW52" s="197">
        <f t="shared" si="120"/>
        <v>16.3</v>
      </c>
      <c r="BX52" s="197">
        <f>'Energy Inputs'!$G$58*$BX$34</f>
        <v>144</v>
      </c>
      <c r="BY52" s="197">
        <f t="shared" si="151"/>
        <v>2347.2000000000003</v>
      </c>
      <c r="BZ52" s="197">
        <f>'Margins summary'!$W$14</f>
        <v>175.95</v>
      </c>
      <c r="CA52" s="197">
        <f t="shared" si="121"/>
        <v>2523.15</v>
      </c>
      <c r="CB52" s="197"/>
      <c r="CC52" s="918">
        <f>'Energy NPV'!U105</f>
        <v>408.3347839999999</v>
      </c>
      <c r="CD52" s="197"/>
      <c r="CE52" s="197">
        <f t="shared" si="122"/>
        <v>408.3347839999999</v>
      </c>
      <c r="CF52" s="197">
        <f t="shared" si="84"/>
        <v>1938.8652160000004</v>
      </c>
      <c r="CG52" s="197">
        <f t="shared" si="85"/>
        <v>2114.815216</v>
      </c>
      <c r="CH52" s="196">
        <f t="shared" si="123"/>
        <v>1355.4495143993427</v>
      </c>
      <c r="CI52" s="197">
        <f t="shared" si="124"/>
        <v>101.60674082249672</v>
      </c>
      <c r="CJ52" s="197">
        <f t="shared" si="125"/>
        <v>235.80316320942413</v>
      </c>
      <c r="CK52" s="197">
        <f t="shared" si="126"/>
        <v>1119.6463511899185</v>
      </c>
      <c r="CL52" s="199">
        <f t="shared" si="127"/>
        <v>1221.253092012415</v>
      </c>
      <c r="CM52" s="196">
        <f t="shared" si="152"/>
        <v>23626.663824131116</v>
      </c>
      <c r="CN52" s="197">
        <f t="shared" si="128"/>
        <v>2034.5314794375799</v>
      </c>
      <c r="CO52" s="197">
        <f t="shared" si="129"/>
        <v>6890.9100079064019</v>
      </c>
      <c r="CP52" s="197">
        <f t="shared" si="130"/>
        <v>16735.753816224711</v>
      </c>
      <c r="CQ52" s="199">
        <f t="shared" si="131"/>
        <v>18770.285295662288</v>
      </c>
      <c r="CR52" s="197"/>
      <c r="CT52" s="204">
        <f t="shared" si="153"/>
        <v>15</v>
      </c>
      <c r="CU52" s="197">
        <f t="shared" si="132"/>
        <v>16.3</v>
      </c>
      <c r="CV52" s="197">
        <f>'Energy Inputs'!$G$58*$CV$34</f>
        <v>0</v>
      </c>
      <c r="CW52" s="197">
        <f t="shared" si="154"/>
        <v>0</v>
      </c>
      <c r="CX52" s="197">
        <f>'Margins summary'!$W$14</f>
        <v>175.95</v>
      </c>
      <c r="CY52" s="197">
        <f t="shared" si="133"/>
        <v>175.95</v>
      </c>
      <c r="CZ52" s="197"/>
      <c r="DA52" s="918">
        <f>'Energy NPV'!U105</f>
        <v>408.3347839999999</v>
      </c>
      <c r="DB52" s="197"/>
      <c r="DC52" s="197">
        <f t="shared" si="134"/>
        <v>408.3347839999999</v>
      </c>
      <c r="DD52" s="197">
        <f t="shared" si="86"/>
        <v>-408.3347839999999</v>
      </c>
      <c r="DE52" s="197">
        <f t="shared" si="87"/>
        <v>-232.38478399999991</v>
      </c>
      <c r="DF52" s="196">
        <f t="shared" si="135"/>
        <v>0</v>
      </c>
      <c r="DG52" s="197">
        <f t="shared" si="136"/>
        <v>101.60674082249672</v>
      </c>
      <c r="DH52" s="197">
        <f t="shared" si="137"/>
        <v>235.80316320942413</v>
      </c>
      <c r="DI52" s="197">
        <f t="shared" si="138"/>
        <v>-235.80316320942413</v>
      </c>
      <c r="DJ52" s="199">
        <f t="shared" si="139"/>
        <v>-134.1964223869274</v>
      </c>
      <c r="DK52" s="196">
        <f t="shared" si="155"/>
        <v>0</v>
      </c>
      <c r="DL52" s="197">
        <f t="shared" si="140"/>
        <v>2034.5314794375799</v>
      </c>
      <c r="DM52" s="197">
        <f t="shared" si="141"/>
        <v>6890.9100079064019</v>
      </c>
      <c r="DN52" s="197">
        <f t="shared" si="142"/>
        <v>-6890.9100079064019</v>
      </c>
      <c r="DO52" s="199">
        <f t="shared" si="143"/>
        <v>-4856.378528468822</v>
      </c>
    </row>
    <row r="53" spans="2:129" x14ac:dyDescent="0.3">
      <c r="B53" s="206">
        <f t="shared" si="144"/>
        <v>16</v>
      </c>
      <c r="C53" s="207">
        <f>'Energy NPV'!$D106</f>
        <v>16.3</v>
      </c>
      <c r="D53" s="207">
        <f>'Energy Inputs'!$G$58*$E$34</f>
        <v>72</v>
      </c>
      <c r="E53" s="207">
        <f t="shared" si="145"/>
        <v>1173.6000000000001</v>
      </c>
      <c r="F53" s="207">
        <f>'Margins summary'!$W$14</f>
        <v>175.95</v>
      </c>
      <c r="G53" s="207">
        <f t="shared" si="88"/>
        <v>1349.5500000000002</v>
      </c>
      <c r="H53" s="207"/>
      <c r="I53" s="919">
        <f>'Energy NPV'!U106</f>
        <v>408.3347839999999</v>
      </c>
      <c r="J53" s="207">
        <f>'Energy margins'!$AE$67</f>
        <v>192.1</v>
      </c>
      <c r="K53" s="207">
        <f t="shared" si="89"/>
        <v>600.43478399999992</v>
      </c>
      <c r="L53" s="207">
        <f t="shared" si="78"/>
        <v>573.16521600000021</v>
      </c>
      <c r="M53" s="207">
        <f t="shared" si="79"/>
        <v>749.11521600000026</v>
      </c>
      <c r="N53" s="208">
        <f t="shared" si="90"/>
        <v>651.65842038429935</v>
      </c>
      <c r="O53" s="207">
        <f t="shared" si="91"/>
        <v>97.698789252400701</v>
      </c>
      <c r="P53" s="207">
        <f>K53/(1+$B$4)^(B53-1)</f>
        <v>333.40012174951255</v>
      </c>
      <c r="Q53" s="207">
        <f t="shared" si="93"/>
        <v>318.25829863478685</v>
      </c>
      <c r="R53" s="209">
        <f>M53/(1+$B$4)^(B53-1)</f>
        <v>415.95708788718758</v>
      </c>
      <c r="S53" s="208">
        <f t="shared" si="146"/>
        <v>12464.990332449857</v>
      </c>
      <c r="T53" s="207">
        <f t="shared" si="95"/>
        <v>2132.2302686899807</v>
      </c>
      <c r="U53" s="207">
        <f t="shared" si="95"/>
        <v>7224.3101296559144</v>
      </c>
      <c r="V53" s="207">
        <f t="shared" si="95"/>
        <v>5240.6802027939411</v>
      </c>
      <c r="W53" s="209">
        <f t="shared" si="95"/>
        <v>7372.9104714839232</v>
      </c>
      <c r="X53" s="197"/>
      <c r="Z53" s="901">
        <v>16</v>
      </c>
      <c r="AA53" s="207">
        <f t="shared" si="96"/>
        <v>16.3</v>
      </c>
      <c r="AB53" s="207">
        <f>'Energy Inputs'!$G$58*$AB$34</f>
        <v>108</v>
      </c>
      <c r="AC53" s="207">
        <f t="shared" si="147"/>
        <v>1760.4</v>
      </c>
      <c r="AD53" s="207">
        <f>'Margins summary'!$W$14</f>
        <v>175.95</v>
      </c>
      <c r="AE53" s="207">
        <f t="shared" si="97"/>
        <v>1936.3500000000001</v>
      </c>
      <c r="AF53" s="207"/>
      <c r="AG53" s="919">
        <f>'Energy NPV'!U106</f>
        <v>408.3347839999999</v>
      </c>
      <c r="AH53" s="207">
        <f>'Energy margins'!$AE$67</f>
        <v>192.1</v>
      </c>
      <c r="AI53" s="207">
        <f t="shared" si="98"/>
        <v>600.43478399999992</v>
      </c>
      <c r="AJ53" s="207">
        <f t="shared" si="80"/>
        <v>1159.9652160000001</v>
      </c>
      <c r="AK53" s="207">
        <f t="shared" si="81"/>
        <v>1335.9152160000003</v>
      </c>
      <c r="AL53" s="208">
        <f t="shared" si="99"/>
        <v>977.48763057644896</v>
      </c>
      <c r="AM53" s="207">
        <f t="shared" si="100"/>
        <v>97.698789252400701</v>
      </c>
      <c r="AN53" s="207">
        <f>AI53/(1+$B$4)^(Z53-1)</f>
        <v>333.40012174951255</v>
      </c>
      <c r="AO53" s="207">
        <f t="shared" si="102"/>
        <v>644.08750882693641</v>
      </c>
      <c r="AP53" s="209">
        <f>AK53/(1+$B$4)^(Z53-1)</f>
        <v>741.78629807933726</v>
      </c>
      <c r="AQ53" s="208">
        <f>AQ52+AL53</f>
        <v>18697.485498674778</v>
      </c>
      <c r="AR53" s="207">
        <f t="shared" si="104"/>
        <v>2132.2302686899807</v>
      </c>
      <c r="AS53" s="207">
        <f t="shared" si="105"/>
        <v>7224.3101296559144</v>
      </c>
      <c r="AT53" s="207">
        <f t="shared" si="106"/>
        <v>11473.175369018869</v>
      </c>
      <c r="AU53" s="209">
        <f t="shared" si="107"/>
        <v>13605.405637708851</v>
      </c>
      <c r="AV53" s="197"/>
      <c r="AX53" s="901">
        <v>16</v>
      </c>
      <c r="AY53" s="207">
        <f t="shared" si="108"/>
        <v>16.3</v>
      </c>
      <c r="AZ53" s="207">
        <f>'Energy Inputs'!$G$58*$AZ$34</f>
        <v>36</v>
      </c>
      <c r="BA53" s="207">
        <f t="shared" si="149"/>
        <v>586.80000000000007</v>
      </c>
      <c r="BB53" s="207">
        <f>'Margins summary'!$W$14</f>
        <v>175.95</v>
      </c>
      <c r="BC53" s="207">
        <f t="shared" si="109"/>
        <v>762.75</v>
      </c>
      <c r="BD53" s="207"/>
      <c r="BE53" s="919">
        <f>'Energy NPV'!U106</f>
        <v>408.3347839999999</v>
      </c>
      <c r="BF53" s="207">
        <f>'Energy margins'!$AE$67</f>
        <v>192.1</v>
      </c>
      <c r="BG53" s="207">
        <f t="shared" si="110"/>
        <v>600.43478399999992</v>
      </c>
      <c r="BH53" s="207">
        <f t="shared" si="82"/>
        <v>-13.634783999999854</v>
      </c>
      <c r="BI53" s="207">
        <f t="shared" si="83"/>
        <v>162.31521600000008</v>
      </c>
      <c r="BJ53" s="208">
        <f t="shared" si="111"/>
        <v>325.82921019214967</v>
      </c>
      <c r="BK53" s="207">
        <f t="shared" si="112"/>
        <v>97.698789252400701</v>
      </c>
      <c r="BL53" s="207">
        <f>BG53/(1+$B$4)^(AX53-1)</f>
        <v>333.40012174951255</v>
      </c>
      <c r="BM53" s="207">
        <f t="shared" si="114"/>
        <v>-7.5709115573628347</v>
      </c>
      <c r="BN53" s="209">
        <f>BI53/(1+$B$4)^(AX53-1)</f>
        <v>90.127877695037824</v>
      </c>
      <c r="BO53" s="208">
        <f t="shared" si="150"/>
        <v>6232.4951662249287</v>
      </c>
      <c r="BP53" s="207">
        <f t="shared" si="116"/>
        <v>2132.2302686899807</v>
      </c>
      <c r="BQ53" s="207">
        <f t="shared" si="117"/>
        <v>7224.3101296559144</v>
      </c>
      <c r="BR53" s="207">
        <f t="shared" si="118"/>
        <v>-991.81496343098604</v>
      </c>
      <c r="BS53" s="209">
        <f t="shared" si="119"/>
        <v>1140.4153052589936</v>
      </c>
      <c r="BT53" s="197"/>
      <c r="BV53" s="901">
        <v>16</v>
      </c>
      <c r="BW53" s="207">
        <f t="shared" si="120"/>
        <v>16.3</v>
      </c>
      <c r="BX53" s="197">
        <f>'Energy Inputs'!$G$58*$BX$34</f>
        <v>144</v>
      </c>
      <c r="BY53" s="207">
        <f t="shared" si="151"/>
        <v>2347.2000000000003</v>
      </c>
      <c r="BZ53" s="207">
        <f>'Margins summary'!$W$14</f>
        <v>175.95</v>
      </c>
      <c r="CA53" s="207">
        <f t="shared" si="121"/>
        <v>2523.15</v>
      </c>
      <c r="CB53" s="207"/>
      <c r="CC53" s="919">
        <f>'Energy NPV'!U106</f>
        <v>408.3347839999999</v>
      </c>
      <c r="CD53" s="207">
        <f>'Energy margins'!$AE$67</f>
        <v>192.1</v>
      </c>
      <c r="CE53" s="207">
        <f t="shared" si="122"/>
        <v>600.43478399999992</v>
      </c>
      <c r="CF53" s="207">
        <f t="shared" si="84"/>
        <v>1746.7652160000002</v>
      </c>
      <c r="CG53" s="207">
        <f t="shared" si="85"/>
        <v>1922.7152160000001</v>
      </c>
      <c r="CH53" s="208">
        <f t="shared" si="123"/>
        <v>1303.3168407685987</v>
      </c>
      <c r="CI53" s="207">
        <f t="shared" si="124"/>
        <v>97.698789252400701</v>
      </c>
      <c r="CJ53" s="207">
        <f>CE53/(1+$B$4)^(BV53-1)</f>
        <v>333.40012174951255</v>
      </c>
      <c r="CK53" s="207">
        <f t="shared" si="126"/>
        <v>969.91671901908614</v>
      </c>
      <c r="CL53" s="209">
        <f>CG53/(1+$B$4)^(BV53-1)</f>
        <v>1067.6155082714868</v>
      </c>
      <c r="CM53" s="208">
        <f t="shared" si="152"/>
        <v>24929.980664899715</v>
      </c>
      <c r="CN53" s="207">
        <f t="shared" si="128"/>
        <v>2132.2302686899807</v>
      </c>
      <c r="CO53" s="207">
        <f t="shared" si="129"/>
        <v>7224.3101296559144</v>
      </c>
      <c r="CP53" s="207">
        <f t="shared" si="130"/>
        <v>17705.670535243797</v>
      </c>
      <c r="CQ53" s="209">
        <f t="shared" si="131"/>
        <v>19837.900803933775</v>
      </c>
      <c r="CR53" s="197"/>
      <c r="CT53" s="206">
        <f t="shared" si="153"/>
        <v>16</v>
      </c>
      <c r="CU53" s="207">
        <f t="shared" si="132"/>
        <v>16.3</v>
      </c>
      <c r="CV53" s="207">
        <f>'Energy Inputs'!$G$58*$CV$34</f>
        <v>0</v>
      </c>
      <c r="CW53" s="207">
        <f t="shared" si="154"/>
        <v>0</v>
      </c>
      <c r="CX53" s="207">
        <f>'Margins summary'!$W$14</f>
        <v>175.95</v>
      </c>
      <c r="CY53" s="207">
        <f t="shared" si="133"/>
        <v>175.95</v>
      </c>
      <c r="CZ53" s="207"/>
      <c r="DA53" s="919">
        <f>'Energy NPV'!U106</f>
        <v>408.3347839999999</v>
      </c>
      <c r="DB53" s="207">
        <f>'Energy margins'!$AE$67</f>
        <v>192.1</v>
      </c>
      <c r="DC53" s="207">
        <f t="shared" si="134"/>
        <v>600.43478399999992</v>
      </c>
      <c r="DD53" s="207">
        <f t="shared" si="86"/>
        <v>-600.43478399999992</v>
      </c>
      <c r="DE53" s="207">
        <f t="shared" si="87"/>
        <v>-424.48478399999993</v>
      </c>
      <c r="DF53" s="208">
        <f t="shared" si="135"/>
        <v>0</v>
      </c>
      <c r="DG53" s="207">
        <f t="shared" si="136"/>
        <v>97.698789252400701</v>
      </c>
      <c r="DH53" s="207">
        <f>DC53/(1+$B$4)^(CT53-1)</f>
        <v>333.40012174951255</v>
      </c>
      <c r="DI53" s="207">
        <f t="shared" si="138"/>
        <v>-333.40012174951255</v>
      </c>
      <c r="DJ53" s="209">
        <f>DE53/(1+$B$4)^(CT53-1)</f>
        <v>-235.70133249711182</v>
      </c>
      <c r="DK53" s="208">
        <f t="shared" si="155"/>
        <v>0</v>
      </c>
      <c r="DL53" s="207">
        <f t="shared" si="140"/>
        <v>2132.2302686899807</v>
      </c>
      <c r="DM53" s="207">
        <f t="shared" si="141"/>
        <v>7224.3101296559144</v>
      </c>
      <c r="DN53" s="207">
        <f t="shared" si="142"/>
        <v>-7224.3101296559144</v>
      </c>
      <c r="DO53" s="209">
        <f t="shared" si="143"/>
        <v>-5092.0798609659341</v>
      </c>
    </row>
    <row r="54" spans="2:129" x14ac:dyDescent="0.3">
      <c r="AB54" s="197"/>
      <c r="BX54" s="158"/>
    </row>
    <row r="58" spans="2:129" x14ac:dyDescent="0.3"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</row>
    <row r="59" spans="2:129" x14ac:dyDescent="0.3">
      <c r="B59" s="212" t="s">
        <v>299</v>
      </c>
      <c r="C59" s="763" t="s">
        <v>394</v>
      </c>
      <c r="D59" s="269" t="s">
        <v>405</v>
      </c>
      <c r="E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AB59" s="212" t="s">
        <v>299</v>
      </c>
      <c r="AC59" s="763" t="s">
        <v>395</v>
      </c>
      <c r="AD59" s="267" t="s">
        <v>316</v>
      </c>
      <c r="AE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BB59" s="212" t="s">
        <v>299</v>
      </c>
      <c r="BC59" s="763" t="s">
        <v>396</v>
      </c>
      <c r="BD59" s="267" t="s">
        <v>316</v>
      </c>
      <c r="BE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CB59" s="212" t="s">
        <v>299</v>
      </c>
      <c r="CC59" s="763" t="s">
        <v>397</v>
      </c>
      <c r="CD59" s="267" t="s">
        <v>316</v>
      </c>
      <c r="CE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DB59" s="212" t="s">
        <v>299</v>
      </c>
      <c r="DC59" s="763" t="s">
        <v>398</v>
      </c>
      <c r="DD59" s="267" t="s">
        <v>316</v>
      </c>
      <c r="DE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</row>
    <row r="60" spans="2:129" x14ac:dyDescent="0.3">
      <c r="B60" s="203"/>
      <c r="C60" s="63"/>
      <c r="E60" s="158"/>
      <c r="F60" s="158"/>
      <c r="G60" s="158"/>
      <c r="H60" s="758"/>
      <c r="I60" s="758"/>
      <c r="J60" s="758"/>
      <c r="K60" s="148"/>
      <c r="L60" s="148"/>
      <c r="M60" s="758"/>
      <c r="N60" s="148"/>
      <c r="O60" s="148"/>
      <c r="P60" s="1015" t="s">
        <v>275</v>
      </c>
      <c r="Q60" s="1016"/>
      <c r="R60" s="1016"/>
      <c r="S60" s="1016"/>
      <c r="T60" s="1017"/>
      <c r="U60" s="1015" t="s">
        <v>276</v>
      </c>
      <c r="V60" s="1016"/>
      <c r="W60" s="1016"/>
      <c r="X60" s="1016"/>
      <c r="Y60" s="1017"/>
      <c r="Z60" s="987"/>
      <c r="AB60" s="203"/>
      <c r="AC60" s="63"/>
      <c r="AE60" s="158"/>
      <c r="AF60" s="158"/>
      <c r="AG60" s="158"/>
      <c r="AH60" s="758"/>
      <c r="AI60" s="758"/>
      <c r="AJ60" s="758"/>
      <c r="AK60" s="148"/>
      <c r="AL60" s="148"/>
      <c r="AM60" s="758"/>
      <c r="AN60" s="148"/>
      <c r="AO60" s="148"/>
      <c r="AP60" s="1015" t="s">
        <v>275</v>
      </c>
      <c r="AQ60" s="1016"/>
      <c r="AR60" s="1016"/>
      <c r="AS60" s="1016"/>
      <c r="AT60" s="1017"/>
      <c r="AU60" s="1015" t="s">
        <v>276</v>
      </c>
      <c r="AV60" s="1016"/>
      <c r="AW60" s="1016"/>
      <c r="AX60" s="1016"/>
      <c r="AY60" s="1017"/>
      <c r="BB60" s="203"/>
      <c r="BC60" s="63"/>
      <c r="BE60" s="158"/>
      <c r="BF60" s="158"/>
      <c r="BG60" s="158"/>
      <c r="BH60" s="758"/>
      <c r="BI60" s="758"/>
      <c r="BJ60" s="758"/>
      <c r="BK60" s="148"/>
      <c r="BL60" s="148"/>
      <c r="BM60" s="758"/>
      <c r="BN60" s="148"/>
      <c r="BO60" s="148"/>
      <c r="BP60" s="1015" t="s">
        <v>275</v>
      </c>
      <c r="BQ60" s="1016"/>
      <c r="BR60" s="1016"/>
      <c r="BS60" s="1016"/>
      <c r="BT60" s="1017"/>
      <c r="BU60" s="1015" t="s">
        <v>276</v>
      </c>
      <c r="BV60" s="1016"/>
      <c r="BW60" s="1016"/>
      <c r="BX60" s="1016"/>
      <c r="BY60" s="1017"/>
      <c r="CB60" s="203"/>
      <c r="CC60" s="63"/>
      <c r="CE60" s="158"/>
      <c r="CF60" s="158"/>
      <c r="CG60" s="158"/>
      <c r="CH60" s="758"/>
      <c r="CI60" s="758"/>
      <c r="CJ60" s="758"/>
      <c r="CK60" s="148"/>
      <c r="CL60" s="148"/>
      <c r="CM60" s="758"/>
      <c r="CN60" s="148"/>
      <c r="CO60" s="148"/>
      <c r="CP60" s="1015" t="s">
        <v>275</v>
      </c>
      <c r="CQ60" s="1016"/>
      <c r="CR60" s="1016"/>
      <c r="CS60" s="1016"/>
      <c r="CT60" s="1017"/>
      <c r="CU60" s="1015" t="s">
        <v>276</v>
      </c>
      <c r="CV60" s="1016"/>
      <c r="CW60" s="1016"/>
      <c r="CX60" s="1016"/>
      <c r="CY60" s="1017"/>
      <c r="DB60" s="203"/>
      <c r="DC60" s="63"/>
      <c r="DE60" s="158"/>
      <c r="DF60" s="158"/>
      <c r="DG60" s="158"/>
      <c r="DH60" s="758"/>
      <c r="DI60" s="758"/>
      <c r="DJ60" s="758"/>
      <c r="DK60" s="148"/>
      <c r="DL60" s="148"/>
      <c r="DM60" s="758"/>
      <c r="DN60" s="148"/>
      <c r="DO60" s="148"/>
      <c r="DP60" s="1015" t="s">
        <v>275</v>
      </c>
      <c r="DQ60" s="1016"/>
      <c r="DR60" s="1016"/>
      <c r="DS60" s="1016"/>
      <c r="DT60" s="1017"/>
      <c r="DU60" s="1015" t="s">
        <v>276</v>
      </c>
      <c r="DV60" s="1016"/>
      <c r="DW60" s="1016"/>
      <c r="DX60" s="1016"/>
      <c r="DY60" s="1017"/>
    </row>
    <row r="61" spans="2:129" ht="51" x14ac:dyDescent="0.3">
      <c r="B61" s="204" t="s">
        <v>277</v>
      </c>
      <c r="C61" s="225" t="s">
        <v>278</v>
      </c>
      <c r="D61" s="205" t="s">
        <v>303</v>
      </c>
      <c r="E61" s="205" t="s">
        <v>304</v>
      </c>
      <c r="F61" s="205" t="s">
        <v>664</v>
      </c>
      <c r="G61" s="205" t="s">
        <v>665</v>
      </c>
      <c r="H61" s="171" t="s">
        <v>675</v>
      </c>
      <c r="I61" s="171" t="s">
        <v>666</v>
      </c>
      <c r="J61" s="171" t="s">
        <v>676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283</v>
      </c>
      <c r="N61" s="171" t="s">
        <v>677</v>
      </c>
      <c r="O61" s="171" t="s">
        <v>678</v>
      </c>
      <c r="P61" s="195" t="s">
        <v>286</v>
      </c>
      <c r="Q61" s="171" t="s">
        <v>679</v>
      </c>
      <c r="R61" s="171" t="s">
        <v>288</v>
      </c>
      <c r="S61" s="171" t="s">
        <v>680</v>
      </c>
      <c r="T61" s="198" t="s">
        <v>290</v>
      </c>
      <c r="U61" s="195" t="s">
        <v>291</v>
      </c>
      <c r="V61" s="171" t="s">
        <v>681</v>
      </c>
      <c r="W61" s="171" t="s">
        <v>293</v>
      </c>
      <c r="X61" s="171" t="s">
        <v>682</v>
      </c>
      <c r="Y61" s="198" t="s">
        <v>295</v>
      </c>
      <c r="Z61" s="171"/>
      <c r="AB61" s="204" t="s">
        <v>277</v>
      </c>
      <c r="AC61" s="225" t="s">
        <v>278</v>
      </c>
      <c r="AD61" s="205" t="s">
        <v>303</v>
      </c>
      <c r="AE61" s="205" t="s">
        <v>304</v>
      </c>
      <c r="AF61" s="205" t="s">
        <v>664</v>
      </c>
      <c r="AG61" s="205" t="s">
        <v>665</v>
      </c>
      <c r="AH61" s="171" t="s">
        <v>675</v>
      </c>
      <c r="AI61" s="171" t="s">
        <v>666</v>
      </c>
      <c r="AJ61" s="171" t="s">
        <v>676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283</v>
      </c>
      <c r="AN61" s="171" t="s">
        <v>677</v>
      </c>
      <c r="AO61" s="171" t="s">
        <v>678</v>
      </c>
      <c r="AP61" s="195" t="s">
        <v>286</v>
      </c>
      <c r="AQ61" s="171" t="s">
        <v>679</v>
      </c>
      <c r="AR61" s="171" t="s">
        <v>288</v>
      </c>
      <c r="AS61" s="171" t="s">
        <v>680</v>
      </c>
      <c r="AT61" s="198" t="s">
        <v>290</v>
      </c>
      <c r="AU61" s="195" t="s">
        <v>291</v>
      </c>
      <c r="AV61" s="171" t="s">
        <v>681</v>
      </c>
      <c r="AW61" s="171" t="s">
        <v>293</v>
      </c>
      <c r="AX61" s="171" t="s">
        <v>682</v>
      </c>
      <c r="AY61" s="198" t="s">
        <v>295</v>
      </c>
      <c r="BB61" s="204" t="s">
        <v>277</v>
      </c>
      <c r="BC61" s="225" t="s">
        <v>278</v>
      </c>
      <c r="BD61" s="205" t="s">
        <v>303</v>
      </c>
      <c r="BE61" s="205" t="s">
        <v>304</v>
      </c>
      <c r="BF61" s="205" t="s">
        <v>664</v>
      </c>
      <c r="BG61" s="205" t="s">
        <v>665</v>
      </c>
      <c r="BH61" s="171" t="s">
        <v>675</v>
      </c>
      <c r="BI61" s="171" t="s">
        <v>666</v>
      </c>
      <c r="BJ61" s="171" t="s">
        <v>676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283</v>
      </c>
      <c r="BN61" s="171" t="s">
        <v>677</v>
      </c>
      <c r="BO61" s="171" t="s">
        <v>678</v>
      </c>
      <c r="BP61" s="195" t="s">
        <v>286</v>
      </c>
      <c r="BQ61" s="171" t="s">
        <v>679</v>
      </c>
      <c r="BR61" s="171" t="s">
        <v>288</v>
      </c>
      <c r="BS61" s="171" t="s">
        <v>680</v>
      </c>
      <c r="BT61" s="198" t="s">
        <v>290</v>
      </c>
      <c r="BU61" s="195" t="s">
        <v>291</v>
      </c>
      <c r="BV61" s="171" t="s">
        <v>681</v>
      </c>
      <c r="BW61" s="171" t="s">
        <v>293</v>
      </c>
      <c r="BX61" s="171" t="s">
        <v>682</v>
      </c>
      <c r="BY61" s="198" t="s">
        <v>295</v>
      </c>
      <c r="CB61" s="204" t="s">
        <v>277</v>
      </c>
      <c r="CC61" s="225" t="s">
        <v>278</v>
      </c>
      <c r="CD61" s="205" t="s">
        <v>303</v>
      </c>
      <c r="CE61" s="205" t="s">
        <v>304</v>
      </c>
      <c r="CF61" s="205" t="s">
        <v>664</v>
      </c>
      <c r="CG61" s="205" t="s">
        <v>665</v>
      </c>
      <c r="CH61" s="171" t="s">
        <v>675</v>
      </c>
      <c r="CI61" s="171" t="s">
        <v>666</v>
      </c>
      <c r="CJ61" s="171" t="s">
        <v>676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283</v>
      </c>
      <c r="CN61" s="171" t="s">
        <v>677</v>
      </c>
      <c r="CO61" s="171" t="s">
        <v>678</v>
      </c>
      <c r="CP61" s="195" t="s">
        <v>286</v>
      </c>
      <c r="CQ61" s="171" t="s">
        <v>679</v>
      </c>
      <c r="CR61" s="171" t="s">
        <v>288</v>
      </c>
      <c r="CS61" s="171" t="s">
        <v>680</v>
      </c>
      <c r="CT61" s="198" t="s">
        <v>290</v>
      </c>
      <c r="CU61" s="195" t="s">
        <v>291</v>
      </c>
      <c r="CV61" s="171" t="s">
        <v>681</v>
      </c>
      <c r="CW61" s="171" t="s">
        <v>293</v>
      </c>
      <c r="CX61" s="171" t="s">
        <v>682</v>
      </c>
      <c r="CY61" s="198" t="s">
        <v>295</v>
      </c>
      <c r="DB61" s="204" t="s">
        <v>277</v>
      </c>
      <c r="DC61" s="225" t="s">
        <v>278</v>
      </c>
      <c r="DD61" s="205" t="s">
        <v>303</v>
      </c>
      <c r="DE61" s="205" t="s">
        <v>304</v>
      </c>
      <c r="DF61" s="205" t="s">
        <v>664</v>
      </c>
      <c r="DG61" s="205" t="s">
        <v>665</v>
      </c>
      <c r="DH61" s="171" t="s">
        <v>675</v>
      </c>
      <c r="DI61" s="171" t="s">
        <v>666</v>
      </c>
      <c r="DJ61" s="171" t="s">
        <v>676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283</v>
      </c>
      <c r="DN61" s="171" t="s">
        <v>677</v>
      </c>
      <c r="DO61" s="171" t="s">
        <v>678</v>
      </c>
      <c r="DP61" s="195" t="s">
        <v>286</v>
      </c>
      <c r="DQ61" s="171" t="s">
        <v>679</v>
      </c>
      <c r="DR61" s="171" t="s">
        <v>288</v>
      </c>
      <c r="DS61" s="171" t="s">
        <v>680</v>
      </c>
      <c r="DT61" s="198" t="s">
        <v>290</v>
      </c>
      <c r="DU61" s="195" t="s">
        <v>291</v>
      </c>
      <c r="DV61" s="171" t="s">
        <v>681</v>
      </c>
      <c r="DW61" s="171" t="s">
        <v>293</v>
      </c>
      <c r="DX61" s="171" t="s">
        <v>682</v>
      </c>
      <c r="DY61" s="198" t="s">
        <v>295</v>
      </c>
    </row>
    <row r="62" spans="2:129" x14ac:dyDescent="0.3">
      <c r="B62" s="173"/>
      <c r="C62" s="904"/>
      <c r="D62" s="226" t="s">
        <v>341</v>
      </c>
      <c r="E62" s="226" t="s">
        <v>601</v>
      </c>
      <c r="F62" s="226" t="s">
        <v>341</v>
      </c>
      <c r="G62" s="226" t="s">
        <v>601</v>
      </c>
      <c r="H62" s="201" t="s">
        <v>599</v>
      </c>
      <c r="I62" s="201" t="s">
        <v>599</v>
      </c>
      <c r="J62" s="201" t="s">
        <v>599</v>
      </c>
      <c r="K62" s="201" t="s">
        <v>599</v>
      </c>
      <c r="L62" s="201" t="s">
        <v>599</v>
      </c>
      <c r="M62" s="201" t="s">
        <v>599</v>
      </c>
      <c r="N62" s="201" t="s">
        <v>599</v>
      </c>
      <c r="O62" s="202" t="s">
        <v>599</v>
      </c>
      <c r="P62" s="201" t="s">
        <v>599</v>
      </c>
      <c r="Q62" s="201" t="s">
        <v>599</v>
      </c>
      <c r="R62" s="201" t="s">
        <v>599</v>
      </c>
      <c r="S62" s="201" t="s">
        <v>599</v>
      </c>
      <c r="T62" s="202" t="s">
        <v>599</v>
      </c>
      <c r="U62" s="201" t="s">
        <v>599</v>
      </c>
      <c r="V62" s="201" t="s">
        <v>599</v>
      </c>
      <c r="W62" s="201" t="s">
        <v>599</v>
      </c>
      <c r="X62" s="201" t="s">
        <v>599</v>
      </c>
      <c r="Y62" s="202" t="s">
        <v>599</v>
      </c>
      <c r="Z62" s="988"/>
      <c r="AB62" s="173"/>
      <c r="AC62" s="904"/>
      <c r="AD62" s="226" t="s">
        <v>341</v>
      </c>
      <c r="AE62" s="226" t="s">
        <v>601</v>
      </c>
      <c r="AF62" s="226" t="s">
        <v>341</v>
      </c>
      <c r="AG62" s="226" t="s">
        <v>601</v>
      </c>
      <c r="AH62" s="201" t="s">
        <v>599</v>
      </c>
      <c r="AI62" s="201" t="s">
        <v>599</v>
      </c>
      <c r="AJ62" s="201" t="s">
        <v>599</v>
      </c>
      <c r="AK62" s="201" t="s">
        <v>599</v>
      </c>
      <c r="AL62" s="201" t="s">
        <v>599</v>
      </c>
      <c r="AM62" s="201" t="s">
        <v>599</v>
      </c>
      <c r="AN62" s="201" t="s">
        <v>599</v>
      </c>
      <c r="AO62" s="202" t="s">
        <v>599</v>
      </c>
      <c r="AP62" s="201" t="s">
        <v>599</v>
      </c>
      <c r="AQ62" s="201" t="s">
        <v>599</v>
      </c>
      <c r="AR62" s="201" t="s">
        <v>599</v>
      </c>
      <c r="AS62" s="201" t="s">
        <v>599</v>
      </c>
      <c r="AT62" s="202" t="s">
        <v>599</v>
      </c>
      <c r="AU62" s="201" t="s">
        <v>599</v>
      </c>
      <c r="AV62" s="201" t="s">
        <v>599</v>
      </c>
      <c r="AW62" s="201" t="s">
        <v>599</v>
      </c>
      <c r="AX62" s="201" t="s">
        <v>599</v>
      </c>
      <c r="AY62" s="202" t="s">
        <v>599</v>
      </c>
      <c r="BB62" s="173"/>
      <c r="BC62" s="904"/>
      <c r="BD62" s="226" t="s">
        <v>341</v>
      </c>
      <c r="BE62" s="226" t="s">
        <v>601</v>
      </c>
      <c r="BF62" s="226" t="s">
        <v>341</v>
      </c>
      <c r="BG62" s="226" t="s">
        <v>601</v>
      </c>
      <c r="BH62" s="201" t="s">
        <v>599</v>
      </c>
      <c r="BI62" s="201" t="s">
        <v>599</v>
      </c>
      <c r="BJ62" s="201" t="s">
        <v>599</v>
      </c>
      <c r="BK62" s="201" t="s">
        <v>599</v>
      </c>
      <c r="BL62" s="201" t="s">
        <v>599</v>
      </c>
      <c r="BM62" s="201" t="s">
        <v>599</v>
      </c>
      <c r="BN62" s="201" t="s">
        <v>599</v>
      </c>
      <c r="BO62" s="202" t="s">
        <v>599</v>
      </c>
      <c r="BP62" s="201" t="s">
        <v>599</v>
      </c>
      <c r="BQ62" s="201" t="s">
        <v>599</v>
      </c>
      <c r="BR62" s="201" t="s">
        <v>599</v>
      </c>
      <c r="BS62" s="201" t="s">
        <v>599</v>
      </c>
      <c r="BT62" s="202" t="s">
        <v>599</v>
      </c>
      <c r="BU62" s="201" t="s">
        <v>599</v>
      </c>
      <c r="BV62" s="201" t="s">
        <v>599</v>
      </c>
      <c r="BW62" s="201" t="s">
        <v>599</v>
      </c>
      <c r="BX62" s="201" t="s">
        <v>599</v>
      </c>
      <c r="BY62" s="202" t="s">
        <v>599</v>
      </c>
      <c r="CB62" s="173"/>
      <c r="CC62" s="904"/>
      <c r="CD62" s="226" t="s">
        <v>341</v>
      </c>
      <c r="CE62" s="226" t="s">
        <v>601</v>
      </c>
      <c r="CF62" s="226" t="s">
        <v>341</v>
      </c>
      <c r="CG62" s="226" t="s">
        <v>601</v>
      </c>
      <c r="CH62" s="201" t="s">
        <v>599</v>
      </c>
      <c r="CI62" s="201" t="s">
        <v>599</v>
      </c>
      <c r="CJ62" s="201" t="s">
        <v>599</v>
      </c>
      <c r="CK62" s="201" t="s">
        <v>599</v>
      </c>
      <c r="CL62" s="201" t="s">
        <v>599</v>
      </c>
      <c r="CM62" s="201" t="s">
        <v>599</v>
      </c>
      <c r="CN62" s="201" t="s">
        <v>599</v>
      </c>
      <c r="CO62" s="202" t="s">
        <v>599</v>
      </c>
      <c r="CP62" s="201" t="s">
        <v>599</v>
      </c>
      <c r="CQ62" s="201" t="s">
        <v>599</v>
      </c>
      <c r="CR62" s="201" t="s">
        <v>599</v>
      </c>
      <c r="CS62" s="201" t="s">
        <v>599</v>
      </c>
      <c r="CT62" s="202" t="s">
        <v>599</v>
      </c>
      <c r="CU62" s="201" t="s">
        <v>599</v>
      </c>
      <c r="CV62" s="201" t="s">
        <v>599</v>
      </c>
      <c r="CW62" s="201" t="s">
        <v>599</v>
      </c>
      <c r="CX62" s="201" t="s">
        <v>599</v>
      </c>
      <c r="CY62" s="202" t="s">
        <v>599</v>
      </c>
      <c r="DB62" s="173"/>
      <c r="DC62" s="904"/>
      <c r="DD62" s="226" t="s">
        <v>341</v>
      </c>
      <c r="DE62" s="226" t="s">
        <v>601</v>
      </c>
      <c r="DF62" s="226" t="s">
        <v>341</v>
      </c>
      <c r="DG62" s="226" t="s">
        <v>601</v>
      </c>
      <c r="DH62" s="201" t="s">
        <v>599</v>
      </c>
      <c r="DI62" s="201" t="s">
        <v>599</v>
      </c>
      <c r="DJ62" s="201" t="s">
        <v>599</v>
      </c>
      <c r="DK62" s="201" t="s">
        <v>599</v>
      </c>
      <c r="DL62" s="201" t="s">
        <v>599</v>
      </c>
      <c r="DM62" s="201" t="s">
        <v>599</v>
      </c>
      <c r="DN62" s="201" t="s">
        <v>599</v>
      </c>
      <c r="DO62" s="202" t="s">
        <v>599</v>
      </c>
      <c r="DP62" s="201" t="s">
        <v>599</v>
      </c>
      <c r="DQ62" s="201" t="s">
        <v>599</v>
      </c>
      <c r="DR62" s="201" t="s">
        <v>599</v>
      </c>
      <c r="DS62" s="201" t="s">
        <v>599</v>
      </c>
      <c r="DT62" s="202" t="s">
        <v>599</v>
      </c>
      <c r="DU62" s="201" t="s">
        <v>599</v>
      </c>
      <c r="DV62" s="201" t="s">
        <v>599</v>
      </c>
      <c r="DW62" s="201" t="s">
        <v>599</v>
      </c>
      <c r="DX62" s="201" t="s">
        <v>599</v>
      </c>
      <c r="DY62" s="202" t="s">
        <v>599</v>
      </c>
    </row>
    <row r="63" spans="2:129" x14ac:dyDescent="0.3">
      <c r="B63" s="899">
        <v>1</v>
      </c>
      <c r="C63" s="902" t="s">
        <v>4</v>
      </c>
      <c r="D63" s="760">
        <f>'Arable Inputs'!$D$18</f>
        <v>7.45</v>
      </c>
      <c r="E63" s="760">
        <f>'Arable Inputs'!$D$25</f>
        <v>193.7</v>
      </c>
      <c r="F63" s="760">
        <f>'Arable Inputs'!$D$19</f>
        <v>3.9</v>
      </c>
      <c r="G63" s="760">
        <f>'Arable Inputs'!$D$26</f>
        <v>73.449999999999989</v>
      </c>
      <c r="H63" s="762">
        <f>D63*E63+F63*G63</f>
        <v>1729.52</v>
      </c>
      <c r="I63" s="197">
        <f>'Arable NPV'!$E143</f>
        <v>175.95</v>
      </c>
      <c r="J63" s="197">
        <f>H63+I63</f>
        <v>1905.47</v>
      </c>
      <c r="K63" s="197">
        <f>'Arable NPV'!$G143</f>
        <v>671.92799999999988</v>
      </c>
      <c r="L63" s="197">
        <f>'Arable NPV'!$H143</f>
        <v>969.47373599999992</v>
      </c>
      <c r="M63" s="197">
        <f>K63+L63</f>
        <v>1641.4017359999998</v>
      </c>
      <c r="N63" s="197">
        <f>H63-M63</f>
        <v>88.118264000000181</v>
      </c>
      <c r="O63" s="197">
        <f>J63-M63</f>
        <v>264.06826400000023</v>
      </c>
      <c r="P63" s="1018">
        <f>H63/(1+$B$4)^(B63-1)</f>
        <v>1729.52</v>
      </c>
      <c r="Q63" s="213">
        <f>I63/(1+$B$4)^(B63-1)</f>
        <v>175.95</v>
      </c>
      <c r="R63" s="213">
        <f>M63/(1+$B$4)^(B63-1)</f>
        <v>1641.4017359999998</v>
      </c>
      <c r="S63" s="213">
        <f>N63/(1+$B$4)^(B63-1)</f>
        <v>88.118264000000181</v>
      </c>
      <c r="T63" s="929">
        <f>O63/(1+$B$4)^(B63-1)</f>
        <v>264.06826400000023</v>
      </c>
      <c r="U63" s="196">
        <f>P63</f>
        <v>1729.52</v>
      </c>
      <c r="V63" s="197">
        <f>Q63</f>
        <v>175.95</v>
      </c>
      <c r="W63" s="197">
        <f>R63</f>
        <v>1641.4017359999998</v>
      </c>
      <c r="X63" s="197">
        <f>S63</f>
        <v>88.118264000000181</v>
      </c>
      <c r="Y63" s="199">
        <f>T63</f>
        <v>264.06826400000023</v>
      </c>
      <c r="Z63" s="197"/>
      <c r="AB63" s="899">
        <v>1</v>
      </c>
      <c r="AC63" s="902" t="s">
        <v>4</v>
      </c>
      <c r="AD63" s="760">
        <f>'Arable Inputs'!$D$18</f>
        <v>7.45</v>
      </c>
      <c r="AE63" s="760">
        <f>'Arable Inputs'!$D$25+0.5*'Arable Inputs'!$D$25</f>
        <v>290.54999999999995</v>
      </c>
      <c r="AF63" s="760">
        <f>'Arable Inputs'!$D$19</f>
        <v>3.9</v>
      </c>
      <c r="AG63" s="760">
        <f>'Arable Inputs'!$D$26+0.5*'Arable Inputs'!$D$26</f>
        <v>110.17499999999998</v>
      </c>
      <c r="AH63" s="762">
        <f>AD63*AE63+AF63*AG63</f>
        <v>2594.2799999999997</v>
      </c>
      <c r="AI63" s="197">
        <f>'Arable NPV'!$E143</f>
        <v>175.95</v>
      </c>
      <c r="AJ63" s="197">
        <f>AH63+AI63</f>
        <v>2770.2299999999996</v>
      </c>
      <c r="AK63" s="197">
        <f>'Arable NPV'!$G143</f>
        <v>671.92799999999988</v>
      </c>
      <c r="AL63" s="197">
        <f>'Arable NPV'!$H143</f>
        <v>969.47373599999992</v>
      </c>
      <c r="AM63" s="197">
        <f>AK63+AL63</f>
        <v>1641.4017359999998</v>
      </c>
      <c r="AN63" s="197">
        <f>AH63-AM63</f>
        <v>952.87826399999994</v>
      </c>
      <c r="AO63" s="197">
        <f>AJ63-AM63</f>
        <v>1128.8282639999998</v>
      </c>
      <c r="AP63" s="1018">
        <f>AH63/(1+$B$4)^(AB63-1)</f>
        <v>2594.2799999999997</v>
      </c>
      <c r="AQ63" s="213">
        <f>AI63/(1+$B$4)^(AB63-1)</f>
        <v>175.95</v>
      </c>
      <c r="AR63" s="213">
        <f>AM63/(1+$B$4)^(AB63-1)</f>
        <v>1641.4017359999998</v>
      </c>
      <c r="AS63" s="213">
        <f>AN63/(1+$B$4)^(AB63-1)</f>
        <v>952.87826399999994</v>
      </c>
      <c r="AT63" s="929">
        <f>AO63/(1+$B$4)^(AB63-1)</f>
        <v>1128.8282639999998</v>
      </c>
      <c r="AU63" s="196">
        <f>AP63</f>
        <v>2594.2799999999997</v>
      </c>
      <c r="AV63" s="197">
        <f>AQ63</f>
        <v>175.95</v>
      </c>
      <c r="AW63" s="197">
        <f>AR63</f>
        <v>1641.4017359999998</v>
      </c>
      <c r="AX63" s="197">
        <f>AS63</f>
        <v>952.87826399999994</v>
      </c>
      <c r="AY63" s="199">
        <f>AT63</f>
        <v>1128.8282639999998</v>
      </c>
      <c r="BB63" s="899">
        <v>1</v>
      </c>
      <c r="BC63" s="902" t="s">
        <v>4</v>
      </c>
      <c r="BD63" s="760">
        <f>'Arable Inputs'!$D$18</f>
        <v>7.45</v>
      </c>
      <c r="BE63" s="760">
        <f>'Arable Inputs'!$D$25-0.5*'Arable Inputs'!$D$25</f>
        <v>96.85</v>
      </c>
      <c r="BF63" s="760">
        <f>'Arable Inputs'!$D$19</f>
        <v>3.9</v>
      </c>
      <c r="BG63" s="760">
        <f>'Arable Inputs'!$D$26-0.5*'Arable Inputs'!$D$26</f>
        <v>36.724999999999994</v>
      </c>
      <c r="BH63" s="762">
        <f>BD63*BE63+BF63*BG63</f>
        <v>864.76</v>
      </c>
      <c r="BI63" s="197">
        <f>'Arable NPV'!$E143</f>
        <v>175.95</v>
      </c>
      <c r="BJ63" s="197">
        <f>BH63+BI63</f>
        <v>1040.71</v>
      </c>
      <c r="BK63" s="197">
        <f>'Arable NPV'!$G143</f>
        <v>671.92799999999988</v>
      </c>
      <c r="BL63" s="197">
        <f>'Arable NPV'!$H143</f>
        <v>969.47373599999992</v>
      </c>
      <c r="BM63" s="197">
        <f>BK63+BL63</f>
        <v>1641.4017359999998</v>
      </c>
      <c r="BN63" s="197">
        <f>BH63-BM63</f>
        <v>-776.64173599999981</v>
      </c>
      <c r="BO63" s="197">
        <f>BJ63-BM63</f>
        <v>-600.69173599999976</v>
      </c>
      <c r="BP63" s="1018">
        <f>BH63/(1+$B$4)^(BB63-1)</f>
        <v>864.76</v>
      </c>
      <c r="BQ63" s="213">
        <f>BI63/(1+$B$4)^(BB63-1)</f>
        <v>175.95</v>
      </c>
      <c r="BR63" s="213">
        <f>BM63/(1+$B$4)^(BB63-1)</f>
        <v>1641.4017359999998</v>
      </c>
      <c r="BS63" s="213">
        <f>BN63/(1+$B$4)^(BB63-1)</f>
        <v>-776.64173599999981</v>
      </c>
      <c r="BT63" s="929">
        <f>BO63/(1+$B$4)^(BB63-1)</f>
        <v>-600.69173599999976</v>
      </c>
      <c r="BU63" s="196">
        <f>BP63</f>
        <v>864.76</v>
      </c>
      <c r="BV63" s="197">
        <f>BQ63</f>
        <v>175.95</v>
      </c>
      <c r="BW63" s="197">
        <f>BR63</f>
        <v>1641.4017359999998</v>
      </c>
      <c r="BX63" s="197">
        <f>BS63</f>
        <v>-776.64173599999981</v>
      </c>
      <c r="BY63" s="199">
        <f>BT63</f>
        <v>-600.69173599999976</v>
      </c>
      <c r="CB63" s="899">
        <v>1</v>
      </c>
      <c r="CC63" s="902" t="s">
        <v>4</v>
      </c>
      <c r="CD63" s="760">
        <f>'Arable Inputs'!$D$18</f>
        <v>7.45</v>
      </c>
      <c r="CE63" s="760">
        <f>'Arable Inputs'!$D$25+'Arable Inputs'!$D$25</f>
        <v>387.4</v>
      </c>
      <c r="CF63" s="760">
        <f>'Arable Inputs'!$D$19</f>
        <v>3.9</v>
      </c>
      <c r="CG63" s="760">
        <f>'Arable Inputs'!$D$26+'Arable Inputs'!$D$26</f>
        <v>146.89999999999998</v>
      </c>
      <c r="CH63" s="762">
        <f>CD63*CE63+CF63*CG63</f>
        <v>3459.04</v>
      </c>
      <c r="CI63" s="197">
        <f>'Arable NPV'!$E143</f>
        <v>175.95</v>
      </c>
      <c r="CJ63" s="197">
        <f>CH63+CI63</f>
        <v>3634.99</v>
      </c>
      <c r="CK63" s="197">
        <f>'Arable NPV'!$G143</f>
        <v>671.92799999999988</v>
      </c>
      <c r="CL63" s="197">
        <f>'Arable NPV'!$H143</f>
        <v>969.47373599999992</v>
      </c>
      <c r="CM63" s="197">
        <f>CK63+CL63</f>
        <v>1641.4017359999998</v>
      </c>
      <c r="CN63" s="197">
        <f>CH63-CM63</f>
        <v>1817.6382640000002</v>
      </c>
      <c r="CO63" s="197">
        <f>CJ63-CM63</f>
        <v>1993.588264</v>
      </c>
      <c r="CP63" s="1018">
        <f>CH63/(1+$B$4)^(CB63-1)</f>
        <v>3459.04</v>
      </c>
      <c r="CQ63" s="213">
        <f>CI63/(1+$B$4)^(CB63-1)</f>
        <v>175.95</v>
      </c>
      <c r="CR63" s="213">
        <f>CM63/(1+$B$4)^(CB63-1)</f>
        <v>1641.4017359999998</v>
      </c>
      <c r="CS63" s="213">
        <f>CN63/(1+$B$4)^(CB63-1)</f>
        <v>1817.6382640000002</v>
      </c>
      <c r="CT63" s="929">
        <f>CO63/(1+$B$4)^(CB63-1)</f>
        <v>1993.588264</v>
      </c>
      <c r="CU63" s="196">
        <f>CP63</f>
        <v>3459.04</v>
      </c>
      <c r="CV63" s="197">
        <f>CQ63</f>
        <v>175.95</v>
      </c>
      <c r="CW63" s="197">
        <f>CR63</f>
        <v>1641.4017359999998</v>
      </c>
      <c r="CX63" s="197">
        <f>CS63</f>
        <v>1817.6382640000002</v>
      </c>
      <c r="CY63" s="199">
        <f>CT63</f>
        <v>1993.588264</v>
      </c>
      <c r="DB63" s="204">
        <v>1</v>
      </c>
      <c r="DC63" s="902" t="s">
        <v>4</v>
      </c>
      <c r="DD63" s="760">
        <f>'Arable Inputs'!$D$18</f>
        <v>7.45</v>
      </c>
      <c r="DE63" s="760">
        <f>'Arable Inputs'!$D$25-'Arable Inputs'!$D$25</f>
        <v>0</v>
      </c>
      <c r="DF63" s="760">
        <f>'Arable Inputs'!$D$19</f>
        <v>3.9</v>
      </c>
      <c r="DG63" s="760">
        <f>'Arable Inputs'!$D$26-'Arable Inputs'!$D$26</f>
        <v>0</v>
      </c>
      <c r="DH63" s="762">
        <f>DD63*DE63+DF63*DG63</f>
        <v>0</v>
      </c>
      <c r="DI63" s="197">
        <f>'Arable NPV'!$E143</f>
        <v>175.95</v>
      </c>
      <c r="DJ63" s="197">
        <f>DH63+DI63</f>
        <v>175.95</v>
      </c>
      <c r="DK63" s="197">
        <f>'Arable NPV'!$G143</f>
        <v>671.92799999999988</v>
      </c>
      <c r="DL63" s="197">
        <f>'Arable NPV'!$H143</f>
        <v>969.47373599999992</v>
      </c>
      <c r="DM63" s="197">
        <f>DK63+DL63</f>
        <v>1641.4017359999998</v>
      </c>
      <c r="DN63" s="197">
        <f>DH63-DM63</f>
        <v>-1641.4017359999998</v>
      </c>
      <c r="DO63" s="197">
        <f>DJ63-DM63</f>
        <v>-1465.4517359999998</v>
      </c>
      <c r="DP63" s="1018">
        <f>DH63/(1+$B$4)^(DB63-1)</f>
        <v>0</v>
      </c>
      <c r="DQ63" s="213">
        <f>DI63/(1+$B$4)^(DB63-1)</f>
        <v>175.95</v>
      </c>
      <c r="DR63" s="213">
        <f>DM63/(1+$B$4)^(DB63-1)</f>
        <v>1641.4017359999998</v>
      </c>
      <c r="DS63" s="213">
        <f>DN63/(1+$B$4)^(DB63-1)</f>
        <v>-1641.4017359999998</v>
      </c>
      <c r="DT63" s="929">
        <f>DO63/(1+$B$4)^(DB63-1)</f>
        <v>-1465.4517359999998</v>
      </c>
      <c r="DU63" s="196">
        <f>DP63</f>
        <v>0</v>
      </c>
      <c r="DV63" s="197">
        <f>DQ63</f>
        <v>175.95</v>
      </c>
      <c r="DW63" s="197">
        <f>DR63</f>
        <v>1641.4017359999998</v>
      </c>
      <c r="DX63" s="197">
        <f>DS63</f>
        <v>-1641.4017359999998</v>
      </c>
      <c r="DY63" s="199">
        <f>DT63</f>
        <v>-1465.4517359999998</v>
      </c>
    </row>
    <row r="64" spans="2:129" x14ac:dyDescent="0.3">
      <c r="B64" s="900">
        <v>2</v>
      </c>
      <c r="C64" s="902" t="s">
        <v>7</v>
      </c>
      <c r="D64" s="760">
        <f>'Arable Inputs'!$G$18</f>
        <v>63.1</v>
      </c>
      <c r="E64" s="760">
        <f>'Arable Inputs'!$G$25</f>
        <v>26</v>
      </c>
      <c r="H64" s="762">
        <f>D64*E64</f>
        <v>1640.6000000000001</v>
      </c>
      <c r="I64" s="197">
        <f>'Arable NPV'!$E144</f>
        <v>175.95</v>
      </c>
      <c r="J64" s="197">
        <f t="shared" ref="J64:J78" si="156">H64+I64</f>
        <v>1816.5500000000002</v>
      </c>
      <c r="K64" s="197">
        <f>'Arable NPV'!$G144</f>
        <v>819.30399999999986</v>
      </c>
      <c r="L64" s="197">
        <f>'Arable NPV'!$H144</f>
        <v>996.95456799999988</v>
      </c>
      <c r="M64" s="197">
        <f t="shared" ref="M64:M78" si="157">K64+L64</f>
        <v>1816.2585679999997</v>
      </c>
      <c r="N64" s="197">
        <f t="shared" ref="N64:N78" si="158">H64-M64</f>
        <v>-175.6585679999996</v>
      </c>
      <c r="O64" s="197">
        <f t="shared" ref="O64:O78" si="159">J64-M64</f>
        <v>0.29143200000044089</v>
      </c>
      <c r="P64" s="196">
        <f t="shared" ref="P64:P78" si="160">H64/(1+$B$4)^(B64-1)</f>
        <v>1577.5</v>
      </c>
      <c r="Q64" s="197">
        <f t="shared" ref="Q64:Q77" si="161">I64/(1+$B$4)^(B64-1)</f>
        <v>169.18269230769229</v>
      </c>
      <c r="R64" s="197">
        <f t="shared" ref="R64:R78" si="162">M64/(1+$B$4)^(B64-1)</f>
        <v>1746.4024692307689</v>
      </c>
      <c r="S64" s="197">
        <f t="shared" ref="S64:S78" si="163">N64/(1+$B$4)^(B64-1)</f>
        <v>-168.90246923076884</v>
      </c>
      <c r="T64" s="199">
        <f t="shared" ref="T64:T78" si="164">O64/(1+$B$4)^(B64-1)</f>
        <v>0.28022307692350085</v>
      </c>
      <c r="U64" s="196">
        <f t="shared" ref="U64:U78" si="165">U63+P64</f>
        <v>3307.02</v>
      </c>
      <c r="V64" s="197">
        <f t="shared" ref="V64:V78" si="166">V63+Q64</f>
        <v>345.13269230769231</v>
      </c>
      <c r="W64" s="197">
        <f t="shared" ref="W64:W78" si="167">W63+R64</f>
        <v>3387.8042052307687</v>
      </c>
      <c r="X64" s="197">
        <f t="shared" ref="X64:X78" si="168">X63+S64</f>
        <v>-80.784205230768663</v>
      </c>
      <c r="Y64" s="199">
        <f t="shared" ref="Y64:Y78" si="169">Y63+T64</f>
        <v>264.34848707692373</v>
      </c>
      <c r="Z64" s="197"/>
      <c r="AB64" s="900">
        <v>2</v>
      </c>
      <c r="AC64" s="902" t="s">
        <v>7</v>
      </c>
      <c r="AD64" s="760">
        <f>'Arable Inputs'!$G$18</f>
        <v>63.1</v>
      </c>
      <c r="AE64" s="760">
        <f>'Arable Inputs'!$G$25+0.5*'Arable Inputs'!$G$25</f>
        <v>39</v>
      </c>
      <c r="AH64" s="762">
        <f>AD64*AE64</f>
        <v>2460.9</v>
      </c>
      <c r="AI64" s="197">
        <f>'Arable NPV'!$E144</f>
        <v>175.95</v>
      </c>
      <c r="AJ64" s="197">
        <f t="shared" ref="AJ64:AJ78" si="170">AH64+AI64</f>
        <v>2636.85</v>
      </c>
      <c r="AK64" s="197">
        <f>'Arable NPV'!$G144</f>
        <v>819.30399999999986</v>
      </c>
      <c r="AL64" s="197">
        <f>'Arable NPV'!$H144</f>
        <v>996.95456799999988</v>
      </c>
      <c r="AM64" s="197">
        <f t="shared" ref="AM64:AM78" si="171">AK64+AL64</f>
        <v>1816.2585679999997</v>
      </c>
      <c r="AN64" s="197">
        <f t="shared" ref="AN64:AN78" si="172">AH64-AM64</f>
        <v>644.64143200000035</v>
      </c>
      <c r="AO64" s="197">
        <f t="shared" ref="AO64:AO78" si="173">AJ64-AM64</f>
        <v>820.59143200000017</v>
      </c>
      <c r="AP64" s="196">
        <f t="shared" ref="AP64:AP77" si="174">AH64/(1+$B$4)^(AB64-1)</f>
        <v>2366.25</v>
      </c>
      <c r="AQ64" s="197">
        <f t="shared" ref="AQ64:AQ77" si="175">AI64/(1+$B$4)^(AB64-1)</f>
        <v>169.18269230769229</v>
      </c>
      <c r="AR64" s="197">
        <f t="shared" ref="AR64:AR77" si="176">AM64/(1+$B$4)^(AB64-1)</f>
        <v>1746.4024692307689</v>
      </c>
      <c r="AS64" s="197">
        <f t="shared" ref="AS64:AS77" si="177">AN64/(1+$B$4)^(AB64-1)</f>
        <v>619.84753076923107</v>
      </c>
      <c r="AT64" s="199">
        <f t="shared" ref="AT64:AT77" si="178">AO64/(1+$B$4)^(AB64-1)</f>
        <v>789.03022307692322</v>
      </c>
      <c r="AU64" s="196">
        <f t="shared" ref="AU64:AU78" si="179">AU63+AP64</f>
        <v>4960.53</v>
      </c>
      <c r="AV64" s="197">
        <f t="shared" ref="AV64:AV78" si="180">AV63+AQ64</f>
        <v>345.13269230769231</v>
      </c>
      <c r="AW64" s="197">
        <f t="shared" ref="AW64:AW78" si="181">AW63+AR64</f>
        <v>3387.8042052307687</v>
      </c>
      <c r="AX64" s="197">
        <f t="shared" ref="AX64:AX78" si="182">AX63+AS64</f>
        <v>1572.725794769231</v>
      </c>
      <c r="AY64" s="199">
        <f t="shared" ref="AY64:AY78" si="183">AY63+AT64</f>
        <v>1917.858487076923</v>
      </c>
      <c r="BB64" s="900">
        <v>2</v>
      </c>
      <c r="BC64" s="902" t="s">
        <v>7</v>
      </c>
      <c r="BD64" s="760">
        <f>'Arable Inputs'!$G$18</f>
        <v>63.1</v>
      </c>
      <c r="BE64" s="760">
        <f>'Arable Inputs'!$G$25-0.5*'Arable Inputs'!$G$25</f>
        <v>13</v>
      </c>
      <c r="BH64" s="762">
        <f>BD64*BE64</f>
        <v>820.30000000000007</v>
      </c>
      <c r="BI64" s="197">
        <f>'Arable NPV'!$E144</f>
        <v>175.95</v>
      </c>
      <c r="BJ64" s="197">
        <f t="shared" ref="BJ64:BJ78" si="184">BH64+BI64</f>
        <v>996.25</v>
      </c>
      <c r="BK64" s="197">
        <f>'Arable NPV'!$G144</f>
        <v>819.30399999999986</v>
      </c>
      <c r="BL64" s="197">
        <f>'Arable NPV'!$H144</f>
        <v>996.95456799999988</v>
      </c>
      <c r="BM64" s="197">
        <f t="shared" ref="BM64:BM77" si="185">BK64+BL64</f>
        <v>1816.2585679999997</v>
      </c>
      <c r="BN64" s="197">
        <f t="shared" ref="BN64:BN78" si="186">BH64-BM64</f>
        <v>-995.95856799999967</v>
      </c>
      <c r="BO64" s="197">
        <f t="shared" ref="BO64:BO78" si="187">BJ64-BM64</f>
        <v>-820.00856799999974</v>
      </c>
      <c r="BP64" s="196">
        <f t="shared" ref="BP64:BP77" si="188">BH64/(1+$B$4)^(BB64-1)</f>
        <v>788.75</v>
      </c>
      <c r="BQ64" s="197">
        <f t="shared" ref="BQ64:BQ77" si="189">BI64/(1+$B$4)^(BB64-1)</f>
        <v>169.18269230769229</v>
      </c>
      <c r="BR64" s="197">
        <f t="shared" ref="BR64:BR77" si="190">BM64/(1+$B$4)^(BB64-1)</f>
        <v>1746.4024692307689</v>
      </c>
      <c r="BS64" s="197">
        <f t="shared" ref="BS64:BS77" si="191">BN64/(1+$B$4)^(BB64-1)</f>
        <v>-957.65246923076893</v>
      </c>
      <c r="BT64" s="199">
        <f t="shared" ref="BT64:BT77" si="192">BO64/(1+$B$4)^(BB64-1)</f>
        <v>-788.46977692307667</v>
      </c>
      <c r="BU64" s="196">
        <f t="shared" ref="BU64:BU78" si="193">BU63+BP64</f>
        <v>1653.51</v>
      </c>
      <c r="BV64" s="197">
        <f t="shared" ref="BV64:BV78" si="194">BV63+BQ64</f>
        <v>345.13269230769231</v>
      </c>
      <c r="BW64" s="197">
        <f t="shared" ref="BW64:BW78" si="195">BW63+BR64</f>
        <v>3387.8042052307687</v>
      </c>
      <c r="BX64" s="197">
        <f t="shared" ref="BX64:BX78" si="196">BX63+BS64</f>
        <v>-1734.2942052307687</v>
      </c>
      <c r="BY64" s="199">
        <f t="shared" ref="BY64:BY78" si="197">BY63+BT64</f>
        <v>-1389.1615129230763</v>
      </c>
      <c r="CB64" s="900">
        <v>2</v>
      </c>
      <c r="CC64" s="902" t="s">
        <v>7</v>
      </c>
      <c r="CD64" s="760">
        <f>'Arable Inputs'!$G$18</f>
        <v>63.1</v>
      </c>
      <c r="CE64" s="760">
        <f>'Arable Inputs'!$G$25+'Arable Inputs'!$G$25</f>
        <v>52</v>
      </c>
      <c r="CH64" s="762">
        <f>CD64*CE64</f>
        <v>3281.2000000000003</v>
      </c>
      <c r="CI64" s="197">
        <f>'Arable NPV'!$E144</f>
        <v>175.95</v>
      </c>
      <c r="CJ64" s="197">
        <f t="shared" ref="CJ64:CJ78" si="198">CH64+CI64</f>
        <v>3457.15</v>
      </c>
      <c r="CK64" s="197">
        <f>'Arable NPV'!$G144</f>
        <v>819.30399999999986</v>
      </c>
      <c r="CL64" s="197">
        <f>'Arable NPV'!$H144</f>
        <v>996.95456799999988</v>
      </c>
      <c r="CM64" s="197">
        <f t="shared" ref="CM64:CM78" si="199">CK64+CL64</f>
        <v>1816.2585679999997</v>
      </c>
      <c r="CN64" s="197">
        <f t="shared" ref="CN64:CN78" si="200">CH64-CM64</f>
        <v>1464.9414320000005</v>
      </c>
      <c r="CO64" s="197">
        <f t="shared" ref="CO64:CO78" si="201">CJ64-CM64</f>
        <v>1640.8914320000003</v>
      </c>
      <c r="CP64" s="196">
        <f t="shared" ref="CP64:CP77" si="202">CH64/(1+$B$4)^(CB64-1)</f>
        <v>3155</v>
      </c>
      <c r="CQ64" s="197">
        <f t="shared" ref="CQ64:CQ77" si="203">CI64/(1+$B$4)^(CB64-1)</f>
        <v>169.18269230769229</v>
      </c>
      <c r="CR64" s="197">
        <f t="shared" ref="CR64:CR77" si="204">CM64/(1+$B$4)^(CB64-1)</f>
        <v>1746.4024692307689</v>
      </c>
      <c r="CS64" s="197">
        <f t="shared" ref="CS64:CS77" si="205">CN64/(1+$B$4)^(CB64-1)</f>
        <v>1408.5975307692313</v>
      </c>
      <c r="CT64" s="199">
        <f t="shared" ref="CT64:CT77" si="206">CO64/(1+$B$4)^(CB64-1)</f>
        <v>1577.7802230769234</v>
      </c>
      <c r="CU64" s="196">
        <f t="shared" ref="CU64:CU78" si="207">CU63+CP64</f>
        <v>6614.04</v>
      </c>
      <c r="CV64" s="197">
        <f t="shared" ref="CV64:CV78" si="208">CV63+CQ64</f>
        <v>345.13269230769231</v>
      </c>
      <c r="CW64" s="197">
        <f t="shared" ref="CW64:CW78" si="209">CW63+CR64</f>
        <v>3387.8042052307687</v>
      </c>
      <c r="CX64" s="197">
        <f t="shared" ref="CX64:CX78" si="210">CX63+CS64</f>
        <v>3226.2357947692317</v>
      </c>
      <c r="CY64" s="199">
        <f t="shared" ref="CY64:CY78" si="211">CY63+CT64</f>
        <v>3571.3684870769234</v>
      </c>
      <c r="DB64" s="204">
        <v>2</v>
      </c>
      <c r="DC64" s="902" t="s">
        <v>7</v>
      </c>
      <c r="DD64" s="760">
        <f>'Arable Inputs'!$G$18</f>
        <v>63.1</v>
      </c>
      <c r="DE64" s="760">
        <f>'Arable Inputs'!$G$25-'Arable Inputs'!$G$25</f>
        <v>0</v>
      </c>
      <c r="DH64" s="762">
        <f>DD64*DE64</f>
        <v>0</v>
      </c>
      <c r="DI64" s="197">
        <f>'Arable NPV'!$E144</f>
        <v>175.95</v>
      </c>
      <c r="DJ64" s="197">
        <f t="shared" ref="DJ64:DJ78" si="212">DH64+DI64</f>
        <v>175.95</v>
      </c>
      <c r="DK64" s="197">
        <f>'Arable NPV'!$G144</f>
        <v>819.30399999999986</v>
      </c>
      <c r="DL64" s="197">
        <f>'Arable NPV'!$H144</f>
        <v>996.95456799999988</v>
      </c>
      <c r="DM64" s="197">
        <f t="shared" ref="DM64:DM78" si="213">DK64+DL64</f>
        <v>1816.2585679999997</v>
      </c>
      <c r="DN64" s="197">
        <f t="shared" ref="DN64:DN78" si="214">DH64-DM64</f>
        <v>-1816.2585679999997</v>
      </c>
      <c r="DO64" s="197">
        <f t="shared" ref="DO64:DO78" si="215">DJ64-DM64</f>
        <v>-1640.3085679999997</v>
      </c>
      <c r="DP64" s="196">
        <f t="shared" ref="DP64:DP77" si="216">DH64/(1+$B$4)^(DB64-1)</f>
        <v>0</v>
      </c>
      <c r="DQ64" s="197">
        <f t="shared" ref="DQ64:DQ77" si="217">DI64/(1+$B$4)^(DB64-1)</f>
        <v>169.18269230769229</v>
      </c>
      <c r="DR64" s="197">
        <f t="shared" ref="DR64:DR77" si="218">DM64/(1+$B$4)^(DB64-1)</f>
        <v>1746.4024692307689</v>
      </c>
      <c r="DS64" s="197">
        <f t="shared" ref="DS64:DS77" si="219">DN64/(1+$B$4)^(DB64-1)</f>
        <v>-1746.4024692307689</v>
      </c>
      <c r="DT64" s="199">
        <f t="shared" ref="DT64:DT77" si="220">DO64/(1+$B$4)^(DB64-1)</f>
        <v>-1577.2197769230766</v>
      </c>
      <c r="DU64" s="196">
        <f t="shared" ref="DU64:DU78" si="221">DU63+DP64</f>
        <v>0</v>
      </c>
      <c r="DV64" s="197">
        <f t="shared" ref="DV64:DV78" si="222">DV63+DQ64</f>
        <v>345.13269230769231</v>
      </c>
      <c r="DW64" s="197">
        <f t="shared" ref="DW64:DW78" si="223">DW63+DR64</f>
        <v>3387.8042052307687</v>
      </c>
      <c r="DX64" s="197">
        <f t="shared" ref="DX64:DX78" si="224">DX63+DS64</f>
        <v>-3387.8042052307687</v>
      </c>
      <c r="DY64" s="199">
        <f t="shared" ref="DY64:DY78" si="225">DY63+DT64</f>
        <v>-3042.6715129230761</v>
      </c>
    </row>
    <row r="65" spans="2:129" x14ac:dyDescent="0.3">
      <c r="B65" s="900">
        <v>3</v>
      </c>
      <c r="C65" s="902" t="s">
        <v>260</v>
      </c>
      <c r="D65" s="760">
        <f>'Arable Inputs'!$H$18</f>
        <v>8.14</v>
      </c>
      <c r="E65" s="760">
        <f>'Arable Inputs'!$H$25</f>
        <v>182.8</v>
      </c>
      <c r="H65" s="762">
        <f>D65*E65</f>
        <v>1487.9920000000002</v>
      </c>
      <c r="I65" s="197">
        <f>'Arable NPV'!$E145</f>
        <v>175.95</v>
      </c>
      <c r="J65" s="197">
        <f t="shared" si="156"/>
        <v>1663.9420000000002</v>
      </c>
      <c r="K65" s="197">
        <f>'Arable NPV'!$G145</f>
        <v>574.23049999999989</v>
      </c>
      <c r="L65" s="197">
        <f>'Arable NPV'!$H145</f>
        <v>636.366536</v>
      </c>
      <c r="M65" s="197">
        <f t="shared" si="157"/>
        <v>1210.5970359999999</v>
      </c>
      <c r="N65" s="197">
        <f t="shared" si="158"/>
        <v>277.3949640000003</v>
      </c>
      <c r="O65" s="197">
        <f t="shared" si="159"/>
        <v>453.34496400000035</v>
      </c>
      <c r="P65" s="196">
        <f t="shared" si="160"/>
        <v>1375.7322485207101</v>
      </c>
      <c r="Q65" s="197">
        <f t="shared" si="161"/>
        <v>162.67566568047334</v>
      </c>
      <c r="R65" s="197">
        <f t="shared" si="162"/>
        <v>1119.2650110946743</v>
      </c>
      <c r="S65" s="197">
        <f t="shared" si="163"/>
        <v>256.46723742603575</v>
      </c>
      <c r="T65" s="199">
        <f t="shared" si="164"/>
        <v>419.14290310650915</v>
      </c>
      <c r="U65" s="196">
        <f t="shared" si="165"/>
        <v>4682.7522485207101</v>
      </c>
      <c r="V65" s="197">
        <f t="shared" si="166"/>
        <v>507.80835798816565</v>
      </c>
      <c r="W65" s="197">
        <f t="shared" si="167"/>
        <v>4507.0692163254425</v>
      </c>
      <c r="X65" s="197">
        <f t="shared" si="168"/>
        <v>175.68303219526709</v>
      </c>
      <c r="Y65" s="199">
        <f t="shared" si="169"/>
        <v>683.49139018343294</v>
      </c>
      <c r="Z65" s="197"/>
      <c r="AB65" s="900">
        <v>3</v>
      </c>
      <c r="AC65" s="902" t="s">
        <v>31</v>
      </c>
      <c r="AD65" s="760">
        <f>'Arable Inputs'!$H$18</f>
        <v>8.14</v>
      </c>
      <c r="AE65" s="760">
        <f>'Arable Inputs'!$H$25+0.5*'Arable Inputs'!$H$25</f>
        <v>274.20000000000005</v>
      </c>
      <c r="AH65" s="762">
        <f>AD65*AE65</f>
        <v>2231.9880000000007</v>
      </c>
      <c r="AI65" s="197">
        <f>'Arable NPV'!$E145</f>
        <v>175.95</v>
      </c>
      <c r="AJ65" s="197">
        <f t="shared" si="170"/>
        <v>2407.9380000000006</v>
      </c>
      <c r="AK65" s="197">
        <f>'Arable NPV'!$G145</f>
        <v>574.23049999999989</v>
      </c>
      <c r="AL65" s="197">
        <f>'Arable NPV'!$H145</f>
        <v>636.366536</v>
      </c>
      <c r="AM65" s="197">
        <f t="shared" si="171"/>
        <v>1210.5970359999999</v>
      </c>
      <c r="AN65" s="197">
        <f t="shared" si="172"/>
        <v>1021.3909640000008</v>
      </c>
      <c r="AO65" s="197">
        <f t="shared" si="173"/>
        <v>1197.3409640000007</v>
      </c>
      <c r="AP65" s="196">
        <f t="shared" si="174"/>
        <v>2063.5983727810653</v>
      </c>
      <c r="AQ65" s="197">
        <f t="shared" si="175"/>
        <v>162.67566568047334</v>
      </c>
      <c r="AR65" s="197">
        <f t="shared" si="176"/>
        <v>1119.2650110946743</v>
      </c>
      <c r="AS65" s="197">
        <f t="shared" si="177"/>
        <v>944.33336168639119</v>
      </c>
      <c r="AT65" s="199">
        <f t="shared" si="178"/>
        <v>1107.0090273668643</v>
      </c>
      <c r="AU65" s="196">
        <f t="shared" si="179"/>
        <v>7024.1283727810651</v>
      </c>
      <c r="AV65" s="197">
        <f t="shared" si="180"/>
        <v>507.80835798816565</v>
      </c>
      <c r="AW65" s="197">
        <f t="shared" si="181"/>
        <v>4507.0692163254425</v>
      </c>
      <c r="AX65" s="197">
        <f t="shared" si="182"/>
        <v>2517.0591564556221</v>
      </c>
      <c r="AY65" s="199">
        <f t="shared" si="183"/>
        <v>3024.8675144437875</v>
      </c>
      <c r="BB65" s="900">
        <v>3</v>
      </c>
      <c r="BC65" s="902" t="s">
        <v>31</v>
      </c>
      <c r="BD65" s="760">
        <f>'Arable Inputs'!$H$18</f>
        <v>8.14</v>
      </c>
      <c r="BE65" s="760">
        <f>'Arable Inputs'!$H$25-0.5*'Arable Inputs'!$H$25</f>
        <v>91.4</v>
      </c>
      <c r="BH65" s="762">
        <f>BD65*BE65</f>
        <v>743.99600000000009</v>
      </c>
      <c r="BI65" s="197">
        <f>'Arable NPV'!$E145</f>
        <v>175.95</v>
      </c>
      <c r="BJ65" s="197">
        <f t="shared" si="184"/>
        <v>919.94600000000014</v>
      </c>
      <c r="BK65" s="197">
        <f>'Arable NPV'!$G145</f>
        <v>574.23049999999989</v>
      </c>
      <c r="BL65" s="197">
        <f>'Arable NPV'!$H145</f>
        <v>636.366536</v>
      </c>
      <c r="BM65" s="197">
        <f t="shared" si="185"/>
        <v>1210.5970359999999</v>
      </c>
      <c r="BN65" s="197">
        <f t="shared" si="186"/>
        <v>-466.60103599999979</v>
      </c>
      <c r="BO65" s="197">
        <f t="shared" si="187"/>
        <v>-290.65103599999975</v>
      </c>
      <c r="BP65" s="196">
        <f t="shared" si="188"/>
        <v>687.86612426035504</v>
      </c>
      <c r="BQ65" s="197">
        <f t="shared" si="189"/>
        <v>162.67566568047334</v>
      </c>
      <c r="BR65" s="197">
        <f t="shared" si="190"/>
        <v>1119.2650110946743</v>
      </c>
      <c r="BS65" s="197">
        <f t="shared" si="191"/>
        <v>-431.39888683431928</v>
      </c>
      <c r="BT65" s="199">
        <f t="shared" si="192"/>
        <v>-268.72322115384588</v>
      </c>
      <c r="BU65" s="196">
        <f t="shared" si="193"/>
        <v>2341.376124260355</v>
      </c>
      <c r="BV65" s="197">
        <f t="shared" si="194"/>
        <v>507.80835798816565</v>
      </c>
      <c r="BW65" s="197">
        <f t="shared" si="195"/>
        <v>4507.0692163254425</v>
      </c>
      <c r="BX65" s="197">
        <f t="shared" si="196"/>
        <v>-2165.693092065088</v>
      </c>
      <c r="BY65" s="199">
        <f t="shared" si="197"/>
        <v>-1657.8847340769221</v>
      </c>
      <c r="CB65" s="900">
        <v>3</v>
      </c>
      <c r="CC65" s="902" t="s">
        <v>31</v>
      </c>
      <c r="CD65" s="760">
        <f>'Arable Inputs'!$H$18</f>
        <v>8.14</v>
      </c>
      <c r="CE65" s="760">
        <f>'Arable Inputs'!$H$25+'Arable Inputs'!$H$25</f>
        <v>365.6</v>
      </c>
      <c r="CH65" s="762">
        <f>CD65*CE65</f>
        <v>2975.9840000000004</v>
      </c>
      <c r="CI65" s="197">
        <f>'Arable NPV'!$E145</f>
        <v>175.95</v>
      </c>
      <c r="CJ65" s="197">
        <f t="shared" si="198"/>
        <v>3151.9340000000002</v>
      </c>
      <c r="CK65" s="197">
        <f>'Arable NPV'!$G145</f>
        <v>574.23049999999989</v>
      </c>
      <c r="CL65" s="197">
        <f>'Arable NPV'!$H145</f>
        <v>636.366536</v>
      </c>
      <c r="CM65" s="197">
        <f t="shared" si="199"/>
        <v>1210.5970359999999</v>
      </c>
      <c r="CN65" s="197">
        <f t="shared" si="200"/>
        <v>1765.3869640000005</v>
      </c>
      <c r="CO65" s="197">
        <f t="shared" si="201"/>
        <v>1941.3369640000003</v>
      </c>
      <c r="CP65" s="196">
        <f t="shared" si="202"/>
        <v>2751.4644970414201</v>
      </c>
      <c r="CQ65" s="197">
        <f t="shared" si="203"/>
        <v>162.67566568047334</v>
      </c>
      <c r="CR65" s="197">
        <f t="shared" si="204"/>
        <v>1119.2650110946743</v>
      </c>
      <c r="CS65" s="197">
        <f t="shared" si="205"/>
        <v>1632.1994859467459</v>
      </c>
      <c r="CT65" s="199">
        <f t="shared" si="206"/>
        <v>1794.8751516272191</v>
      </c>
      <c r="CU65" s="196">
        <f t="shared" si="207"/>
        <v>9365.5044970414201</v>
      </c>
      <c r="CV65" s="197">
        <f t="shared" si="208"/>
        <v>507.80835798816565</v>
      </c>
      <c r="CW65" s="197">
        <f t="shared" si="209"/>
        <v>4507.0692163254425</v>
      </c>
      <c r="CX65" s="197">
        <f t="shared" si="210"/>
        <v>4858.4352807159776</v>
      </c>
      <c r="CY65" s="199">
        <f t="shared" si="211"/>
        <v>5366.2436387041425</v>
      </c>
      <c r="DB65" s="204">
        <f t="shared" ref="DB65:DB78" si="226">DB64+1</f>
        <v>3</v>
      </c>
      <c r="DC65" s="902" t="s">
        <v>31</v>
      </c>
      <c r="DD65" s="760">
        <f>'Arable Inputs'!$H$18</f>
        <v>8.14</v>
      </c>
      <c r="DE65" s="760">
        <f>'Arable Inputs'!$H$25-'Arable Inputs'!$H$25</f>
        <v>0</v>
      </c>
      <c r="DH65" s="762">
        <f>DD65*DE65</f>
        <v>0</v>
      </c>
      <c r="DI65" s="197">
        <f>'Arable NPV'!$E145</f>
        <v>175.95</v>
      </c>
      <c r="DJ65" s="197">
        <f t="shared" si="212"/>
        <v>175.95</v>
      </c>
      <c r="DK65" s="197">
        <f>'Arable NPV'!$G145</f>
        <v>574.23049999999989</v>
      </c>
      <c r="DL65" s="197">
        <f>'Arable NPV'!$H145</f>
        <v>636.366536</v>
      </c>
      <c r="DM65" s="197">
        <f t="shared" si="213"/>
        <v>1210.5970359999999</v>
      </c>
      <c r="DN65" s="197">
        <f t="shared" si="214"/>
        <v>-1210.5970359999999</v>
      </c>
      <c r="DO65" s="197">
        <f t="shared" si="215"/>
        <v>-1034.6470359999998</v>
      </c>
      <c r="DP65" s="196">
        <f t="shared" si="216"/>
        <v>0</v>
      </c>
      <c r="DQ65" s="197">
        <f t="shared" si="217"/>
        <v>162.67566568047334</v>
      </c>
      <c r="DR65" s="197">
        <f t="shared" si="218"/>
        <v>1119.2650110946743</v>
      </c>
      <c r="DS65" s="197">
        <f t="shared" si="219"/>
        <v>-1119.2650110946743</v>
      </c>
      <c r="DT65" s="199">
        <f t="shared" si="220"/>
        <v>-956.58934541420092</v>
      </c>
      <c r="DU65" s="196">
        <f t="shared" si="221"/>
        <v>0</v>
      </c>
      <c r="DV65" s="197">
        <f t="shared" si="222"/>
        <v>507.80835798816565</v>
      </c>
      <c r="DW65" s="197">
        <f t="shared" si="223"/>
        <v>4507.0692163254425</v>
      </c>
      <c r="DX65" s="197">
        <f t="shared" si="224"/>
        <v>-4507.0692163254425</v>
      </c>
      <c r="DY65" s="199">
        <f t="shared" si="225"/>
        <v>-3999.2608583372771</v>
      </c>
    </row>
    <row r="66" spans="2:129" x14ac:dyDescent="0.3">
      <c r="B66" s="900">
        <v>4</v>
      </c>
      <c r="C66" s="902" t="s">
        <v>6</v>
      </c>
      <c r="D66" s="760">
        <f>'Arable Inputs'!$F$18</f>
        <v>3.3</v>
      </c>
      <c r="E66" s="760">
        <f>'Arable Inputs'!$F$25</f>
        <v>345.1</v>
      </c>
      <c r="F66" s="760">
        <f>'Arable Inputs'!$F$19</f>
        <v>2.6</v>
      </c>
      <c r="G66" s="760">
        <f>'Arable Inputs'!$F$26</f>
        <v>42.374999999999993</v>
      </c>
      <c r="H66" s="762">
        <f>D66*E66+F66*G66</f>
        <v>1249.0049999999999</v>
      </c>
      <c r="I66" s="197">
        <f>'Arable NPV'!$E146</f>
        <v>175.95</v>
      </c>
      <c r="J66" s="197">
        <f t="shared" si="156"/>
        <v>1424.9549999999999</v>
      </c>
      <c r="K66" s="197">
        <f>'Arable NPV'!$G146</f>
        <v>619.745</v>
      </c>
      <c r="L66" s="197">
        <f>'Arable NPV'!$H146</f>
        <v>710.23622685714281</v>
      </c>
      <c r="M66" s="197">
        <f t="shared" si="157"/>
        <v>1329.9812268571427</v>
      </c>
      <c r="N66" s="197">
        <f t="shared" si="158"/>
        <v>-80.976226857142819</v>
      </c>
      <c r="O66" s="197">
        <f t="shared" si="159"/>
        <v>94.973773142857226</v>
      </c>
      <c r="P66" s="196">
        <f t="shared" si="160"/>
        <v>1110.3608969617658</v>
      </c>
      <c r="Q66" s="197">
        <f t="shared" si="161"/>
        <v>156.41890930814745</v>
      </c>
      <c r="R66" s="197">
        <f t="shared" si="162"/>
        <v>1182.3484677766758</v>
      </c>
      <c r="S66" s="197">
        <f t="shared" si="163"/>
        <v>-71.987570814909901</v>
      </c>
      <c r="T66" s="199">
        <f t="shared" si="164"/>
        <v>84.431338493237604</v>
      </c>
      <c r="U66" s="196">
        <f t="shared" si="165"/>
        <v>5793.1131454824754</v>
      </c>
      <c r="V66" s="197">
        <f t="shared" si="166"/>
        <v>664.22726729631313</v>
      </c>
      <c r="W66" s="197">
        <f t="shared" si="167"/>
        <v>5689.4176841021181</v>
      </c>
      <c r="X66" s="197">
        <f t="shared" si="168"/>
        <v>103.69546138035719</v>
      </c>
      <c r="Y66" s="199">
        <f t="shared" si="169"/>
        <v>767.92272867667054</v>
      </c>
      <c r="Z66" s="197"/>
      <c r="AB66" s="900">
        <v>4</v>
      </c>
      <c r="AC66" s="902" t="s">
        <v>6</v>
      </c>
      <c r="AD66" s="760">
        <f>'Arable Inputs'!$F$18</f>
        <v>3.3</v>
      </c>
      <c r="AE66" s="760">
        <f>'Arable Inputs'!$F$25+0.5*'Arable Inputs'!$F$25</f>
        <v>517.65000000000009</v>
      </c>
      <c r="AF66" s="760">
        <f>'Arable Inputs'!$F$19</f>
        <v>2.6</v>
      </c>
      <c r="AG66" s="760">
        <f>'Arable Inputs'!$F$26+0.5*'Arable Inputs'!$F$26</f>
        <v>63.562499999999986</v>
      </c>
      <c r="AH66" s="762">
        <f>AD66*AE66+AF66*AG66</f>
        <v>1873.5075000000002</v>
      </c>
      <c r="AI66" s="197">
        <f>'Arable NPV'!$E146</f>
        <v>175.95</v>
      </c>
      <c r="AJ66" s="197">
        <f t="shared" si="170"/>
        <v>2049.4575</v>
      </c>
      <c r="AK66" s="197">
        <f>'Arable NPV'!$G146</f>
        <v>619.745</v>
      </c>
      <c r="AL66" s="197">
        <f>'Arable NPV'!$H146</f>
        <v>710.23622685714281</v>
      </c>
      <c r="AM66" s="197">
        <f t="shared" si="171"/>
        <v>1329.9812268571427</v>
      </c>
      <c r="AN66" s="197">
        <f t="shared" si="172"/>
        <v>543.52627314285746</v>
      </c>
      <c r="AO66" s="197">
        <f t="shared" si="173"/>
        <v>719.47627314285728</v>
      </c>
      <c r="AP66" s="196">
        <f t="shared" si="174"/>
        <v>1665.5413454426491</v>
      </c>
      <c r="AQ66" s="197">
        <f t="shared" si="175"/>
        <v>156.41890930814745</v>
      </c>
      <c r="AR66" s="197">
        <f t="shared" si="176"/>
        <v>1182.3484677766758</v>
      </c>
      <c r="AS66" s="197">
        <f t="shared" si="177"/>
        <v>483.19287766597336</v>
      </c>
      <c r="AT66" s="199">
        <f t="shared" si="178"/>
        <v>639.61178697412061</v>
      </c>
      <c r="AU66" s="196">
        <f t="shared" si="179"/>
        <v>8689.6697182237149</v>
      </c>
      <c r="AV66" s="197">
        <f t="shared" si="180"/>
        <v>664.22726729631313</v>
      </c>
      <c r="AW66" s="197">
        <f t="shared" si="181"/>
        <v>5689.4176841021181</v>
      </c>
      <c r="AX66" s="197">
        <f t="shared" si="182"/>
        <v>3000.2520341215954</v>
      </c>
      <c r="AY66" s="199">
        <f t="shared" si="183"/>
        <v>3664.4793014179081</v>
      </c>
      <c r="BB66" s="900">
        <v>4</v>
      </c>
      <c r="BC66" s="902" t="s">
        <v>6</v>
      </c>
      <c r="BD66" s="760">
        <f>'Arable Inputs'!$F$18</f>
        <v>3.3</v>
      </c>
      <c r="BE66" s="760">
        <f>'Arable Inputs'!$F$25-0.5*'Arable Inputs'!$F$25</f>
        <v>172.55</v>
      </c>
      <c r="BF66" s="760">
        <f>'Arable Inputs'!$F$19</f>
        <v>2.6</v>
      </c>
      <c r="BG66" s="760">
        <f>'Arable Inputs'!$F$26-0.5*'Arable Inputs'!$F$26</f>
        <v>21.187499999999996</v>
      </c>
      <c r="BH66" s="762">
        <f>BD66*BE66+BF66*BG66</f>
        <v>624.50249999999994</v>
      </c>
      <c r="BI66" s="197">
        <f>'Arable NPV'!$E146</f>
        <v>175.95</v>
      </c>
      <c r="BJ66" s="197">
        <f t="shared" si="184"/>
        <v>800.45249999999987</v>
      </c>
      <c r="BK66" s="197">
        <f>'Arable NPV'!$G146</f>
        <v>619.745</v>
      </c>
      <c r="BL66" s="197">
        <f>'Arable NPV'!$H146</f>
        <v>710.23622685714281</v>
      </c>
      <c r="BM66" s="197">
        <f t="shared" si="185"/>
        <v>1329.9812268571427</v>
      </c>
      <c r="BN66" s="197">
        <f t="shared" si="186"/>
        <v>-705.47872685714276</v>
      </c>
      <c r="BO66" s="197">
        <f t="shared" si="187"/>
        <v>-529.52872685714283</v>
      </c>
      <c r="BP66" s="196">
        <f t="shared" si="188"/>
        <v>555.18044848088289</v>
      </c>
      <c r="BQ66" s="197">
        <f t="shared" si="189"/>
        <v>156.41890930814745</v>
      </c>
      <c r="BR66" s="197">
        <f t="shared" si="190"/>
        <v>1182.3484677766758</v>
      </c>
      <c r="BS66" s="197">
        <f t="shared" si="191"/>
        <v>-627.16801929579287</v>
      </c>
      <c r="BT66" s="199">
        <f t="shared" si="192"/>
        <v>-470.74910998764545</v>
      </c>
      <c r="BU66" s="196">
        <f t="shared" si="193"/>
        <v>2896.5565727412377</v>
      </c>
      <c r="BV66" s="197">
        <f t="shared" si="194"/>
        <v>664.22726729631313</v>
      </c>
      <c r="BW66" s="197">
        <f t="shared" si="195"/>
        <v>5689.4176841021181</v>
      </c>
      <c r="BX66" s="197">
        <f t="shared" si="196"/>
        <v>-2792.8611113608808</v>
      </c>
      <c r="BY66" s="199">
        <f t="shared" si="197"/>
        <v>-2128.6338440645677</v>
      </c>
      <c r="CB66" s="900">
        <v>4</v>
      </c>
      <c r="CC66" s="902" t="s">
        <v>6</v>
      </c>
      <c r="CD66" s="760">
        <f>'Arable Inputs'!$F$18</f>
        <v>3.3</v>
      </c>
      <c r="CE66" s="760">
        <f>'Arable Inputs'!$F$25+'Arable Inputs'!$F$25</f>
        <v>690.2</v>
      </c>
      <c r="CF66" s="760">
        <f>'Arable Inputs'!$F$19</f>
        <v>2.6</v>
      </c>
      <c r="CG66" s="760">
        <f>'Arable Inputs'!$F$26+'Arable Inputs'!$F$26</f>
        <v>84.749999999999986</v>
      </c>
      <c r="CH66" s="762">
        <f>CD66*CE66+CF66*CG66</f>
        <v>2498.0099999999998</v>
      </c>
      <c r="CI66" s="197">
        <f>'Arable NPV'!$E146</f>
        <v>175.95</v>
      </c>
      <c r="CJ66" s="197">
        <f t="shared" si="198"/>
        <v>2673.9599999999996</v>
      </c>
      <c r="CK66" s="197">
        <f>'Arable NPV'!$G146</f>
        <v>619.745</v>
      </c>
      <c r="CL66" s="197">
        <f>'Arable NPV'!$H146</f>
        <v>710.23622685714281</v>
      </c>
      <c r="CM66" s="197">
        <f t="shared" si="199"/>
        <v>1329.9812268571427</v>
      </c>
      <c r="CN66" s="197">
        <f t="shared" si="200"/>
        <v>1168.0287731428571</v>
      </c>
      <c r="CO66" s="197">
        <f t="shared" si="201"/>
        <v>1343.9787731428569</v>
      </c>
      <c r="CP66" s="196">
        <f t="shared" si="202"/>
        <v>2220.7217939235315</v>
      </c>
      <c r="CQ66" s="197">
        <f t="shared" si="203"/>
        <v>156.41890930814745</v>
      </c>
      <c r="CR66" s="197">
        <f t="shared" si="204"/>
        <v>1182.3484677766758</v>
      </c>
      <c r="CS66" s="197">
        <f t="shared" si="205"/>
        <v>1038.373326146856</v>
      </c>
      <c r="CT66" s="199">
        <f t="shared" si="206"/>
        <v>1194.7922354550033</v>
      </c>
      <c r="CU66" s="196">
        <f t="shared" si="207"/>
        <v>11586.226290964951</v>
      </c>
      <c r="CV66" s="197">
        <f t="shared" si="208"/>
        <v>664.22726729631313</v>
      </c>
      <c r="CW66" s="197">
        <f t="shared" si="209"/>
        <v>5689.4176841021181</v>
      </c>
      <c r="CX66" s="197">
        <f t="shared" si="210"/>
        <v>5896.8086068628336</v>
      </c>
      <c r="CY66" s="199">
        <f t="shared" si="211"/>
        <v>6561.0358741591463</v>
      </c>
      <c r="DB66" s="204">
        <f t="shared" si="226"/>
        <v>4</v>
      </c>
      <c r="DC66" s="902" t="s">
        <v>6</v>
      </c>
      <c r="DD66" s="760">
        <f>'Arable Inputs'!$F$18</f>
        <v>3.3</v>
      </c>
      <c r="DE66" s="760">
        <f>'Arable Inputs'!$F$25-'Arable Inputs'!$F$25</f>
        <v>0</v>
      </c>
      <c r="DF66" s="760">
        <f>'Arable Inputs'!$F$19</f>
        <v>2.6</v>
      </c>
      <c r="DG66" s="760">
        <f>'Arable Inputs'!$F$26-'Arable Inputs'!$F$26</f>
        <v>0</v>
      </c>
      <c r="DH66" s="762">
        <f>DD66*DE66+DF66*DG66</f>
        <v>0</v>
      </c>
      <c r="DI66" s="197">
        <f>'Arable NPV'!$E146</f>
        <v>175.95</v>
      </c>
      <c r="DJ66" s="197">
        <f t="shared" si="212"/>
        <v>175.95</v>
      </c>
      <c r="DK66" s="197">
        <f>'Arable NPV'!$G146</f>
        <v>619.745</v>
      </c>
      <c r="DL66" s="197">
        <f>'Arable NPV'!$H146</f>
        <v>710.23622685714281</v>
      </c>
      <c r="DM66" s="197">
        <f t="shared" si="213"/>
        <v>1329.9812268571427</v>
      </c>
      <c r="DN66" s="197">
        <f t="shared" si="214"/>
        <v>-1329.9812268571427</v>
      </c>
      <c r="DO66" s="197">
        <f t="shared" si="215"/>
        <v>-1154.0312268571427</v>
      </c>
      <c r="DP66" s="196">
        <f t="shared" si="216"/>
        <v>0</v>
      </c>
      <c r="DQ66" s="197">
        <f t="shared" si="217"/>
        <v>156.41890930814745</v>
      </c>
      <c r="DR66" s="197">
        <f t="shared" si="218"/>
        <v>1182.3484677766758</v>
      </c>
      <c r="DS66" s="197">
        <f t="shared" si="219"/>
        <v>-1182.3484677766758</v>
      </c>
      <c r="DT66" s="199">
        <f t="shared" si="220"/>
        <v>-1025.9295584685283</v>
      </c>
      <c r="DU66" s="196">
        <f t="shared" si="221"/>
        <v>0</v>
      </c>
      <c r="DV66" s="197">
        <f t="shared" si="222"/>
        <v>664.22726729631313</v>
      </c>
      <c r="DW66" s="197">
        <f t="shared" si="223"/>
        <v>5689.4176841021181</v>
      </c>
      <c r="DX66" s="197">
        <f t="shared" si="224"/>
        <v>-5689.4176841021181</v>
      </c>
      <c r="DY66" s="199">
        <f t="shared" si="225"/>
        <v>-5025.1904168058054</v>
      </c>
    </row>
    <row r="67" spans="2:129" x14ac:dyDescent="0.3">
      <c r="B67" s="900">
        <v>5</v>
      </c>
      <c r="C67" s="902" t="s">
        <v>5</v>
      </c>
      <c r="D67" s="760">
        <f>'Arable Inputs'!$E$18</f>
        <v>4.1100000000000003</v>
      </c>
      <c r="E67" s="760">
        <f>'Arable Inputs'!$E$25</f>
        <v>154.80000000000001</v>
      </c>
      <c r="F67" s="760">
        <f>'Arable Inputs'!$E$19</f>
        <v>3.5</v>
      </c>
      <c r="G67" s="760">
        <f>'Arable Inputs'!$E$26</f>
        <v>79.099999999999994</v>
      </c>
      <c r="H67" s="762">
        <f>D67*E67+F67*G67</f>
        <v>913.07799999999997</v>
      </c>
      <c r="I67" s="197">
        <f>'Arable NPV'!$E147</f>
        <v>175.95</v>
      </c>
      <c r="J67" s="197">
        <f t="shared" si="156"/>
        <v>1089.028</v>
      </c>
      <c r="K67" s="197">
        <f>'Arable NPV'!$G147</f>
        <v>468.64299999999992</v>
      </c>
      <c r="L67" s="197">
        <f>'Arable NPV'!$H147</f>
        <v>888.75536799999986</v>
      </c>
      <c r="M67" s="197">
        <f t="shared" si="157"/>
        <v>1357.3983679999997</v>
      </c>
      <c r="N67" s="197">
        <f t="shared" si="158"/>
        <v>-444.32036799999969</v>
      </c>
      <c r="O67" s="197">
        <f t="shared" si="159"/>
        <v>-268.37036799999964</v>
      </c>
      <c r="P67" s="196">
        <f t="shared" si="160"/>
        <v>780.50290113703988</v>
      </c>
      <c r="Q67" s="197">
        <f t="shared" si="161"/>
        <v>150.40279741168024</v>
      </c>
      <c r="R67" s="197">
        <f t="shared" si="162"/>
        <v>1160.3098138633095</v>
      </c>
      <c r="S67" s="197">
        <f t="shared" si="163"/>
        <v>-379.80691272626973</v>
      </c>
      <c r="T67" s="199">
        <f t="shared" si="164"/>
        <v>-229.40411531458949</v>
      </c>
      <c r="U67" s="196">
        <f t="shared" si="165"/>
        <v>6573.6160466195151</v>
      </c>
      <c r="V67" s="197">
        <f t="shared" si="166"/>
        <v>814.63006470799337</v>
      </c>
      <c r="W67" s="197">
        <f t="shared" si="167"/>
        <v>6849.7274979654276</v>
      </c>
      <c r="X67" s="197">
        <f t="shared" si="168"/>
        <v>-276.11145134591254</v>
      </c>
      <c r="Y67" s="199">
        <f t="shared" si="169"/>
        <v>538.51861336208106</v>
      </c>
      <c r="Z67" s="197"/>
      <c r="AB67" s="900">
        <v>5</v>
      </c>
      <c r="AC67" s="902" t="s">
        <v>5</v>
      </c>
      <c r="AD67" s="760">
        <f>'Arable Inputs'!$E$18</f>
        <v>4.1100000000000003</v>
      </c>
      <c r="AE67" s="760">
        <f>'Arable Inputs'!$E$25+0.5*'Arable Inputs'!$E$25</f>
        <v>232.20000000000002</v>
      </c>
      <c r="AF67" s="760">
        <f>'Arable Inputs'!$E$19</f>
        <v>3.5</v>
      </c>
      <c r="AG67" s="760">
        <f>'Arable Inputs'!$E$26+0.5*'Arable Inputs'!$E$26</f>
        <v>118.64999999999999</v>
      </c>
      <c r="AH67" s="762">
        <f>AD67*AE67+AF67*AG67</f>
        <v>1369.6170000000002</v>
      </c>
      <c r="AI67" s="197">
        <f>'Arable NPV'!$E147</f>
        <v>175.95</v>
      </c>
      <c r="AJ67" s="197">
        <f t="shared" si="170"/>
        <v>1545.5670000000002</v>
      </c>
      <c r="AK67" s="197">
        <f>'Arable NPV'!$G147</f>
        <v>468.64299999999992</v>
      </c>
      <c r="AL67" s="197">
        <f>'Arable NPV'!$H147</f>
        <v>888.75536799999986</v>
      </c>
      <c r="AM67" s="197">
        <f t="shared" si="171"/>
        <v>1357.3983679999997</v>
      </c>
      <c r="AN67" s="197">
        <f t="shared" si="172"/>
        <v>12.218632000000525</v>
      </c>
      <c r="AO67" s="197">
        <f t="shared" si="173"/>
        <v>188.16863200000057</v>
      </c>
      <c r="AP67" s="196">
        <f t="shared" si="174"/>
        <v>1170.7543517055599</v>
      </c>
      <c r="AQ67" s="197">
        <f t="shared" si="175"/>
        <v>150.40279741168024</v>
      </c>
      <c r="AR67" s="197">
        <f t="shared" si="176"/>
        <v>1160.3098138633095</v>
      </c>
      <c r="AS67" s="197">
        <f t="shared" si="177"/>
        <v>10.444537842250368</v>
      </c>
      <c r="AT67" s="199">
        <f t="shared" si="178"/>
        <v>160.84733525393065</v>
      </c>
      <c r="AU67" s="196">
        <f t="shared" si="179"/>
        <v>9860.424069929275</v>
      </c>
      <c r="AV67" s="197">
        <f t="shared" si="180"/>
        <v>814.63006470799337</v>
      </c>
      <c r="AW67" s="197">
        <f t="shared" si="181"/>
        <v>6849.7274979654276</v>
      </c>
      <c r="AX67" s="197">
        <f t="shared" si="182"/>
        <v>3010.6965719638456</v>
      </c>
      <c r="AY67" s="199">
        <f t="shared" si="183"/>
        <v>3825.326636671839</v>
      </c>
      <c r="BB67" s="900">
        <v>5</v>
      </c>
      <c r="BC67" s="902" t="s">
        <v>5</v>
      </c>
      <c r="BD67" s="760">
        <f>'Arable Inputs'!$E$18</f>
        <v>4.1100000000000003</v>
      </c>
      <c r="BE67" s="760">
        <f>'Arable Inputs'!$E$25-0.5*'Arable Inputs'!$E$25</f>
        <v>77.400000000000006</v>
      </c>
      <c r="BF67" s="760">
        <f>'Arable Inputs'!$E$19</f>
        <v>3.5</v>
      </c>
      <c r="BG67" s="760">
        <f>'Arable Inputs'!$E$26-0.5*'Arable Inputs'!$E$26</f>
        <v>39.549999999999997</v>
      </c>
      <c r="BH67" s="762">
        <f>BD67*BE67+BF67*BG67</f>
        <v>456.53899999999999</v>
      </c>
      <c r="BI67" s="197">
        <f>'Arable NPV'!$E147</f>
        <v>175.95</v>
      </c>
      <c r="BJ67" s="197">
        <f t="shared" si="184"/>
        <v>632.48900000000003</v>
      </c>
      <c r="BK67" s="197">
        <f>'Arable NPV'!$G147</f>
        <v>468.64299999999992</v>
      </c>
      <c r="BL67" s="197">
        <f>'Arable NPV'!$H147</f>
        <v>888.75536799999986</v>
      </c>
      <c r="BM67" s="197">
        <f t="shared" si="185"/>
        <v>1357.3983679999997</v>
      </c>
      <c r="BN67" s="197">
        <f t="shared" si="186"/>
        <v>-900.85936799999968</v>
      </c>
      <c r="BO67" s="197">
        <f t="shared" si="187"/>
        <v>-724.90936799999963</v>
      </c>
      <c r="BP67" s="196">
        <f t="shared" si="188"/>
        <v>390.25145056851994</v>
      </c>
      <c r="BQ67" s="197">
        <f t="shared" si="189"/>
        <v>150.40279741168024</v>
      </c>
      <c r="BR67" s="197">
        <f t="shared" si="190"/>
        <v>1160.3098138633095</v>
      </c>
      <c r="BS67" s="197">
        <f t="shared" si="191"/>
        <v>-770.05836329478973</v>
      </c>
      <c r="BT67" s="199">
        <f t="shared" si="192"/>
        <v>-619.65556588310938</v>
      </c>
      <c r="BU67" s="196">
        <f t="shared" si="193"/>
        <v>3286.8080233097576</v>
      </c>
      <c r="BV67" s="197">
        <f t="shared" si="194"/>
        <v>814.63006470799337</v>
      </c>
      <c r="BW67" s="197">
        <f t="shared" si="195"/>
        <v>6849.7274979654276</v>
      </c>
      <c r="BX67" s="197">
        <f t="shared" si="196"/>
        <v>-3562.9194746556705</v>
      </c>
      <c r="BY67" s="199">
        <f t="shared" si="197"/>
        <v>-2748.2894099476771</v>
      </c>
      <c r="CB67" s="900">
        <v>5</v>
      </c>
      <c r="CC67" s="902" t="s">
        <v>5</v>
      </c>
      <c r="CD67" s="760">
        <f>'Arable Inputs'!$E$18</f>
        <v>4.1100000000000003</v>
      </c>
      <c r="CE67" s="760">
        <f>'Arable Inputs'!$E$25+'Arable Inputs'!$E$25</f>
        <v>309.60000000000002</v>
      </c>
      <c r="CF67" s="760">
        <f>'Arable Inputs'!$E$19</f>
        <v>3.5</v>
      </c>
      <c r="CG67" s="760">
        <f>'Arable Inputs'!$E$26+'Arable Inputs'!$E$26</f>
        <v>158.19999999999999</v>
      </c>
      <c r="CH67" s="762">
        <f>CD67*CE67+CF67*CG67</f>
        <v>1826.1559999999999</v>
      </c>
      <c r="CI67" s="197">
        <f>'Arable NPV'!$E147</f>
        <v>175.95</v>
      </c>
      <c r="CJ67" s="197">
        <f t="shared" si="198"/>
        <v>2002.106</v>
      </c>
      <c r="CK67" s="197">
        <f>'Arable NPV'!$G147</f>
        <v>468.64299999999992</v>
      </c>
      <c r="CL67" s="197">
        <f>'Arable NPV'!$H147</f>
        <v>888.75536799999986</v>
      </c>
      <c r="CM67" s="197">
        <f t="shared" si="199"/>
        <v>1357.3983679999997</v>
      </c>
      <c r="CN67" s="197">
        <f t="shared" si="200"/>
        <v>468.75763200000029</v>
      </c>
      <c r="CO67" s="197">
        <f t="shared" si="201"/>
        <v>644.70763200000033</v>
      </c>
      <c r="CP67" s="196">
        <f t="shared" si="202"/>
        <v>1561.0058022740798</v>
      </c>
      <c r="CQ67" s="197">
        <f t="shared" si="203"/>
        <v>150.40279741168024</v>
      </c>
      <c r="CR67" s="197">
        <f t="shared" si="204"/>
        <v>1160.3098138633095</v>
      </c>
      <c r="CS67" s="197">
        <f t="shared" si="205"/>
        <v>400.6959884107701</v>
      </c>
      <c r="CT67" s="199">
        <f t="shared" si="206"/>
        <v>551.0987858224504</v>
      </c>
      <c r="CU67" s="196">
        <f t="shared" si="207"/>
        <v>13147.23209323903</v>
      </c>
      <c r="CV67" s="197">
        <f t="shared" si="208"/>
        <v>814.63006470799337</v>
      </c>
      <c r="CW67" s="197">
        <f t="shared" si="209"/>
        <v>6849.7274979654276</v>
      </c>
      <c r="CX67" s="197">
        <f t="shared" si="210"/>
        <v>6297.5045952736036</v>
      </c>
      <c r="CY67" s="199">
        <f t="shared" si="211"/>
        <v>7112.134659981597</v>
      </c>
      <c r="DB67" s="204">
        <f t="shared" si="226"/>
        <v>5</v>
      </c>
      <c r="DC67" s="902" t="s">
        <v>5</v>
      </c>
      <c r="DD67" s="760">
        <f>'Arable Inputs'!$E$18</f>
        <v>4.1100000000000003</v>
      </c>
      <c r="DE67" s="760">
        <f>'Arable Inputs'!$E$25-'Arable Inputs'!$E$25</f>
        <v>0</v>
      </c>
      <c r="DF67" s="760">
        <f>'Arable Inputs'!$E$19</f>
        <v>3.5</v>
      </c>
      <c r="DG67" s="760">
        <f>'Arable Inputs'!$E$26-'Arable Inputs'!$E$26</f>
        <v>0</v>
      </c>
      <c r="DH67" s="762">
        <f>DD67*DE67+DF67*DG67</f>
        <v>0</v>
      </c>
      <c r="DI67" s="197">
        <f>'Arable NPV'!$E147</f>
        <v>175.95</v>
      </c>
      <c r="DJ67" s="197">
        <f t="shared" si="212"/>
        <v>175.95</v>
      </c>
      <c r="DK67" s="197">
        <f>'Arable NPV'!$G147</f>
        <v>468.64299999999992</v>
      </c>
      <c r="DL67" s="197">
        <f>'Arable NPV'!$H147</f>
        <v>888.75536799999986</v>
      </c>
      <c r="DM67" s="197">
        <f t="shared" si="213"/>
        <v>1357.3983679999997</v>
      </c>
      <c r="DN67" s="197">
        <f t="shared" si="214"/>
        <v>-1357.3983679999997</v>
      </c>
      <c r="DO67" s="197">
        <f t="shared" si="215"/>
        <v>-1181.4483679999996</v>
      </c>
      <c r="DP67" s="196">
        <f t="shared" si="216"/>
        <v>0</v>
      </c>
      <c r="DQ67" s="197">
        <f t="shared" si="217"/>
        <v>150.40279741168024</v>
      </c>
      <c r="DR67" s="197">
        <f t="shared" si="218"/>
        <v>1160.3098138633095</v>
      </c>
      <c r="DS67" s="197">
        <f t="shared" si="219"/>
        <v>-1160.3098138633095</v>
      </c>
      <c r="DT67" s="199">
        <f t="shared" si="220"/>
        <v>-1009.9070164516294</v>
      </c>
      <c r="DU67" s="196">
        <f t="shared" si="221"/>
        <v>0</v>
      </c>
      <c r="DV67" s="197">
        <f t="shared" si="222"/>
        <v>814.63006470799337</v>
      </c>
      <c r="DW67" s="197">
        <f t="shared" si="223"/>
        <v>6849.7274979654276</v>
      </c>
      <c r="DX67" s="197">
        <f t="shared" si="224"/>
        <v>-6849.7274979654276</v>
      </c>
      <c r="DY67" s="199">
        <f t="shared" si="225"/>
        <v>-6035.0974332574351</v>
      </c>
    </row>
    <row r="68" spans="2:129" x14ac:dyDescent="0.3">
      <c r="B68" s="900">
        <v>6</v>
      </c>
      <c r="C68" s="902" t="s">
        <v>4</v>
      </c>
      <c r="D68" s="760">
        <f>'Arable Inputs'!$D$18</f>
        <v>7.45</v>
      </c>
      <c r="E68" s="760">
        <f>'Arable Inputs'!$D$25</f>
        <v>193.7</v>
      </c>
      <c r="F68" s="760">
        <f>'Arable Inputs'!$D$19</f>
        <v>3.9</v>
      </c>
      <c r="G68" s="760">
        <f>'Arable Inputs'!$D$26</f>
        <v>73.449999999999989</v>
      </c>
      <c r="H68" s="762">
        <f>D68*E68+F68*G68</f>
        <v>1729.52</v>
      </c>
      <c r="I68" s="197">
        <f>'Arable NPV'!$E148</f>
        <v>175.95</v>
      </c>
      <c r="J68" s="197">
        <f t="shared" si="156"/>
        <v>1905.47</v>
      </c>
      <c r="K68" s="197">
        <f>'Arable NPV'!$G148</f>
        <v>671.92799999999988</v>
      </c>
      <c r="L68" s="197">
        <f>'Arable NPV'!$H148</f>
        <v>969.47373599999992</v>
      </c>
      <c r="M68" s="197">
        <f t="shared" si="157"/>
        <v>1641.4017359999998</v>
      </c>
      <c r="N68" s="197">
        <f t="shared" si="158"/>
        <v>88.118264000000181</v>
      </c>
      <c r="O68" s="197">
        <f t="shared" si="159"/>
        <v>264.06826400000023</v>
      </c>
      <c r="P68" s="196">
        <f t="shared" si="160"/>
        <v>1421.5393696824337</v>
      </c>
      <c r="Q68" s="197">
        <f t="shared" si="161"/>
        <v>144.61807443430789</v>
      </c>
      <c r="R68" s="197">
        <f t="shared" si="162"/>
        <v>1349.1125799002568</v>
      </c>
      <c r="S68" s="197">
        <f t="shared" si="163"/>
        <v>72.426789782176868</v>
      </c>
      <c r="T68" s="199">
        <f t="shared" si="164"/>
        <v>217.04486421648483</v>
      </c>
      <c r="U68" s="196">
        <f t="shared" si="165"/>
        <v>7995.1554163019491</v>
      </c>
      <c r="V68" s="197">
        <f t="shared" si="166"/>
        <v>959.24813914230128</v>
      </c>
      <c r="W68" s="197">
        <f t="shared" si="167"/>
        <v>8198.8400778656851</v>
      </c>
      <c r="X68" s="197">
        <f t="shared" si="168"/>
        <v>-203.68466156373569</v>
      </c>
      <c r="Y68" s="199">
        <f t="shared" si="169"/>
        <v>755.56347757856588</v>
      </c>
      <c r="Z68" s="197"/>
      <c r="AB68" s="900">
        <v>6</v>
      </c>
      <c r="AC68" s="902" t="s">
        <v>4</v>
      </c>
      <c r="AD68" s="760">
        <f>'Arable Inputs'!$D$18</f>
        <v>7.45</v>
      </c>
      <c r="AE68" s="760">
        <f>'Arable Inputs'!$D$25+0.5*'Arable Inputs'!$D$25</f>
        <v>290.54999999999995</v>
      </c>
      <c r="AF68" s="760">
        <f>'Arable Inputs'!$D$19</f>
        <v>3.9</v>
      </c>
      <c r="AG68" s="760">
        <f>'Arable Inputs'!$D$26+0.5*'Arable Inputs'!$D$26</f>
        <v>110.17499999999998</v>
      </c>
      <c r="AH68" s="762">
        <f>AD68*AE68+AF68*AG68</f>
        <v>2594.2799999999997</v>
      </c>
      <c r="AI68" s="197">
        <f>'Arable NPV'!$E148</f>
        <v>175.95</v>
      </c>
      <c r="AJ68" s="197">
        <f t="shared" si="170"/>
        <v>2770.2299999999996</v>
      </c>
      <c r="AK68" s="197">
        <f>'Arable NPV'!$G148</f>
        <v>671.92799999999988</v>
      </c>
      <c r="AL68" s="197">
        <f>'Arable NPV'!$H148</f>
        <v>969.47373599999992</v>
      </c>
      <c r="AM68" s="197">
        <f t="shared" si="171"/>
        <v>1641.4017359999998</v>
      </c>
      <c r="AN68" s="197">
        <f t="shared" si="172"/>
        <v>952.87826399999994</v>
      </c>
      <c r="AO68" s="197">
        <f t="shared" si="173"/>
        <v>1128.8282639999998</v>
      </c>
      <c r="AP68" s="196">
        <f t="shared" si="174"/>
        <v>2132.3090545236505</v>
      </c>
      <c r="AQ68" s="197">
        <f t="shared" si="175"/>
        <v>144.61807443430789</v>
      </c>
      <c r="AR68" s="197">
        <f t="shared" si="176"/>
        <v>1349.1125799002568</v>
      </c>
      <c r="AS68" s="197">
        <f t="shared" si="177"/>
        <v>783.19647462339356</v>
      </c>
      <c r="AT68" s="199">
        <f t="shared" si="178"/>
        <v>927.81454905770124</v>
      </c>
      <c r="AU68" s="196">
        <f t="shared" si="179"/>
        <v>11992.733124452925</v>
      </c>
      <c r="AV68" s="197">
        <f t="shared" si="180"/>
        <v>959.24813914230128</v>
      </c>
      <c r="AW68" s="197">
        <f t="shared" si="181"/>
        <v>8198.8400778656851</v>
      </c>
      <c r="AX68" s="197">
        <f t="shared" si="182"/>
        <v>3793.893046587239</v>
      </c>
      <c r="AY68" s="199">
        <f t="shared" si="183"/>
        <v>4753.1411857295407</v>
      </c>
      <c r="BB68" s="900">
        <v>6</v>
      </c>
      <c r="BC68" s="902" t="s">
        <v>4</v>
      </c>
      <c r="BD68" s="760">
        <f>'Arable Inputs'!$D$18</f>
        <v>7.45</v>
      </c>
      <c r="BE68" s="760">
        <f>'Arable Inputs'!$D$25-0.5*'Arable Inputs'!$D$25</f>
        <v>96.85</v>
      </c>
      <c r="BF68" s="760">
        <f>'Arable Inputs'!$D$19</f>
        <v>3.9</v>
      </c>
      <c r="BG68" s="760">
        <f>'Arable Inputs'!$D$26-0.5*'Arable Inputs'!$D$26</f>
        <v>36.724999999999994</v>
      </c>
      <c r="BH68" s="762">
        <f>BD68*BE68+BF68*BG68</f>
        <v>864.76</v>
      </c>
      <c r="BI68" s="197">
        <f>'Arable NPV'!$E148</f>
        <v>175.95</v>
      </c>
      <c r="BJ68" s="197">
        <f t="shared" si="184"/>
        <v>1040.71</v>
      </c>
      <c r="BK68" s="197">
        <f>'Arable NPV'!$G148</f>
        <v>671.92799999999988</v>
      </c>
      <c r="BL68" s="197">
        <f>'Arable NPV'!$H148</f>
        <v>969.47373599999992</v>
      </c>
      <c r="BM68" s="197">
        <f t="shared" si="185"/>
        <v>1641.4017359999998</v>
      </c>
      <c r="BN68" s="197">
        <f t="shared" si="186"/>
        <v>-776.64173599999981</v>
      </c>
      <c r="BO68" s="197">
        <f t="shared" si="187"/>
        <v>-600.69173599999976</v>
      </c>
      <c r="BP68" s="196">
        <f t="shared" si="188"/>
        <v>710.76968484121687</v>
      </c>
      <c r="BQ68" s="197">
        <f t="shared" si="189"/>
        <v>144.61807443430789</v>
      </c>
      <c r="BR68" s="197">
        <f t="shared" si="190"/>
        <v>1349.1125799002568</v>
      </c>
      <c r="BS68" s="197">
        <f t="shared" si="191"/>
        <v>-638.34289505903996</v>
      </c>
      <c r="BT68" s="199">
        <f t="shared" si="192"/>
        <v>-493.72482062473205</v>
      </c>
      <c r="BU68" s="196">
        <f t="shared" si="193"/>
        <v>3997.5777081509746</v>
      </c>
      <c r="BV68" s="197">
        <f t="shared" si="194"/>
        <v>959.24813914230128</v>
      </c>
      <c r="BW68" s="197">
        <f t="shared" si="195"/>
        <v>8198.8400778656851</v>
      </c>
      <c r="BX68" s="197">
        <f t="shared" si="196"/>
        <v>-4201.2623697147101</v>
      </c>
      <c r="BY68" s="199">
        <f t="shared" si="197"/>
        <v>-3242.0142305724094</v>
      </c>
      <c r="CB68" s="900">
        <v>6</v>
      </c>
      <c r="CC68" s="902" t="s">
        <v>4</v>
      </c>
      <c r="CD68" s="760">
        <f>'Arable Inputs'!$D$18</f>
        <v>7.45</v>
      </c>
      <c r="CE68" s="760">
        <f>'Arable Inputs'!$D$25+'Arable Inputs'!$D$25</f>
        <v>387.4</v>
      </c>
      <c r="CF68" s="760">
        <f>'Arable Inputs'!$D$19</f>
        <v>3.9</v>
      </c>
      <c r="CG68" s="760">
        <f>'Arable Inputs'!$D$26+'Arable Inputs'!$D$26</f>
        <v>146.89999999999998</v>
      </c>
      <c r="CH68" s="762">
        <f>CD68*CE68+CF68*CG68</f>
        <v>3459.04</v>
      </c>
      <c r="CI68" s="197">
        <f>'Arable NPV'!$E148</f>
        <v>175.95</v>
      </c>
      <c r="CJ68" s="197">
        <f t="shared" si="198"/>
        <v>3634.99</v>
      </c>
      <c r="CK68" s="197">
        <f>'Arable NPV'!$G148</f>
        <v>671.92799999999988</v>
      </c>
      <c r="CL68" s="197">
        <f>'Arable NPV'!$H148</f>
        <v>969.47373599999992</v>
      </c>
      <c r="CM68" s="197">
        <f t="shared" si="199"/>
        <v>1641.4017359999998</v>
      </c>
      <c r="CN68" s="197">
        <f t="shared" si="200"/>
        <v>1817.6382640000002</v>
      </c>
      <c r="CO68" s="197">
        <f t="shared" si="201"/>
        <v>1993.588264</v>
      </c>
      <c r="CP68" s="196">
        <f t="shared" si="202"/>
        <v>2843.0787393648675</v>
      </c>
      <c r="CQ68" s="197">
        <f t="shared" si="203"/>
        <v>144.61807443430789</v>
      </c>
      <c r="CR68" s="197">
        <f t="shared" si="204"/>
        <v>1349.1125799002568</v>
      </c>
      <c r="CS68" s="197">
        <f t="shared" si="205"/>
        <v>1493.9661594646104</v>
      </c>
      <c r="CT68" s="199">
        <f t="shared" si="206"/>
        <v>1638.5842338989182</v>
      </c>
      <c r="CU68" s="196">
        <f t="shared" si="207"/>
        <v>15990.310832603898</v>
      </c>
      <c r="CV68" s="197">
        <f t="shared" si="208"/>
        <v>959.24813914230128</v>
      </c>
      <c r="CW68" s="197">
        <f t="shared" si="209"/>
        <v>8198.8400778656851</v>
      </c>
      <c r="CX68" s="197">
        <f t="shared" si="210"/>
        <v>7791.4707547382141</v>
      </c>
      <c r="CY68" s="199">
        <f t="shared" si="211"/>
        <v>8750.7188938805157</v>
      </c>
      <c r="DB68" s="204">
        <f t="shared" si="226"/>
        <v>6</v>
      </c>
      <c r="DC68" s="902" t="s">
        <v>4</v>
      </c>
      <c r="DD68" s="760">
        <f>'Arable Inputs'!$D$18</f>
        <v>7.45</v>
      </c>
      <c r="DE68" s="760">
        <f>'Arable Inputs'!$D$25-'Arable Inputs'!$D$25</f>
        <v>0</v>
      </c>
      <c r="DF68" s="760">
        <f>'Arable Inputs'!$D$19</f>
        <v>3.9</v>
      </c>
      <c r="DG68" s="760">
        <f>'Arable Inputs'!$D$26-'Arable Inputs'!$D$26</f>
        <v>0</v>
      </c>
      <c r="DH68" s="762">
        <f>DD68*DE68+DF68*DG68</f>
        <v>0</v>
      </c>
      <c r="DI68" s="197">
        <f>'Arable NPV'!$E148</f>
        <v>175.95</v>
      </c>
      <c r="DJ68" s="197">
        <f t="shared" si="212"/>
        <v>175.95</v>
      </c>
      <c r="DK68" s="197">
        <f>'Arable NPV'!$G148</f>
        <v>671.92799999999988</v>
      </c>
      <c r="DL68" s="197">
        <f>'Arable NPV'!$H148</f>
        <v>969.47373599999992</v>
      </c>
      <c r="DM68" s="197">
        <f t="shared" si="213"/>
        <v>1641.4017359999998</v>
      </c>
      <c r="DN68" s="197">
        <f t="shared" si="214"/>
        <v>-1641.4017359999998</v>
      </c>
      <c r="DO68" s="197">
        <f t="shared" si="215"/>
        <v>-1465.4517359999998</v>
      </c>
      <c r="DP68" s="196">
        <f t="shared" si="216"/>
        <v>0</v>
      </c>
      <c r="DQ68" s="197">
        <f t="shared" si="217"/>
        <v>144.61807443430789</v>
      </c>
      <c r="DR68" s="197">
        <f t="shared" si="218"/>
        <v>1349.1125799002568</v>
      </c>
      <c r="DS68" s="197">
        <f t="shared" si="219"/>
        <v>-1349.1125799002568</v>
      </c>
      <c r="DT68" s="199">
        <f t="shared" si="220"/>
        <v>-1204.4945054659488</v>
      </c>
      <c r="DU68" s="196">
        <f t="shared" si="221"/>
        <v>0</v>
      </c>
      <c r="DV68" s="197">
        <f t="shared" si="222"/>
        <v>959.24813914230128</v>
      </c>
      <c r="DW68" s="197">
        <f t="shared" si="223"/>
        <v>8198.8400778656851</v>
      </c>
      <c r="DX68" s="197">
        <f t="shared" si="224"/>
        <v>-8198.8400778656851</v>
      </c>
      <c r="DY68" s="199">
        <f t="shared" si="225"/>
        <v>-7239.5919387233844</v>
      </c>
    </row>
    <row r="69" spans="2:129" x14ac:dyDescent="0.3">
      <c r="B69" s="900">
        <v>7</v>
      </c>
      <c r="C69" s="902" t="s">
        <v>7</v>
      </c>
      <c r="D69" s="760">
        <f>'Arable Inputs'!$G$18</f>
        <v>63.1</v>
      </c>
      <c r="E69" s="760">
        <f>'Arable Inputs'!$G$25</f>
        <v>26</v>
      </c>
      <c r="H69" s="762">
        <f>D69*E69</f>
        <v>1640.6000000000001</v>
      </c>
      <c r="I69" s="197">
        <f>'Arable NPV'!$E149</f>
        <v>175.95</v>
      </c>
      <c r="J69" s="197">
        <f t="shared" si="156"/>
        <v>1816.5500000000002</v>
      </c>
      <c r="K69" s="197">
        <f>'Arable NPV'!$G149</f>
        <v>819.30399999999986</v>
      </c>
      <c r="L69" s="197">
        <f>'Arable NPV'!$H149</f>
        <v>996.95456799999988</v>
      </c>
      <c r="M69" s="197">
        <f t="shared" si="157"/>
        <v>1816.2585679999997</v>
      </c>
      <c r="N69" s="197">
        <f t="shared" si="158"/>
        <v>-175.6585679999996</v>
      </c>
      <c r="O69" s="197">
        <f t="shared" si="159"/>
        <v>0.29143200000044089</v>
      </c>
      <c r="P69" s="196">
        <f t="shared" si="160"/>
        <v>1296.5900109128772</v>
      </c>
      <c r="Q69" s="197">
        <f t="shared" si="161"/>
        <v>139.05584080221914</v>
      </c>
      <c r="R69" s="197">
        <f t="shared" si="162"/>
        <v>1435.4155287722333</v>
      </c>
      <c r="S69" s="197">
        <f t="shared" si="163"/>
        <v>-138.82551785935624</v>
      </c>
      <c r="T69" s="199">
        <f t="shared" si="164"/>
        <v>0.23032294286293628</v>
      </c>
      <c r="U69" s="196">
        <f t="shared" si="165"/>
        <v>9291.7454272148261</v>
      </c>
      <c r="V69" s="197">
        <f t="shared" si="166"/>
        <v>1098.3039799445205</v>
      </c>
      <c r="W69" s="197">
        <f t="shared" si="167"/>
        <v>9634.2556066379184</v>
      </c>
      <c r="X69" s="197">
        <f t="shared" si="168"/>
        <v>-342.51017942309193</v>
      </c>
      <c r="Y69" s="199">
        <f t="shared" si="169"/>
        <v>755.79380052142881</v>
      </c>
      <c r="Z69" s="197"/>
      <c r="AB69" s="900">
        <v>7</v>
      </c>
      <c r="AC69" s="902" t="s">
        <v>7</v>
      </c>
      <c r="AD69" s="760">
        <f>'Arable Inputs'!$G$18</f>
        <v>63.1</v>
      </c>
      <c r="AE69" s="760">
        <f>'Arable Inputs'!$G$25+0.5*'Arable Inputs'!$G$25</f>
        <v>39</v>
      </c>
      <c r="AH69" s="762">
        <f>AD69*AE69</f>
        <v>2460.9</v>
      </c>
      <c r="AI69" s="197">
        <f>'Arable NPV'!$E149</f>
        <v>175.95</v>
      </c>
      <c r="AJ69" s="197">
        <f t="shared" si="170"/>
        <v>2636.85</v>
      </c>
      <c r="AK69" s="197">
        <f>'Arable NPV'!$G149</f>
        <v>819.30399999999986</v>
      </c>
      <c r="AL69" s="197">
        <f>'Arable NPV'!$H149</f>
        <v>996.95456799999988</v>
      </c>
      <c r="AM69" s="197">
        <f t="shared" si="171"/>
        <v>1816.2585679999997</v>
      </c>
      <c r="AN69" s="197">
        <f t="shared" si="172"/>
        <v>644.64143200000035</v>
      </c>
      <c r="AO69" s="197">
        <f t="shared" si="173"/>
        <v>820.59143200000017</v>
      </c>
      <c r="AP69" s="196">
        <f t="shared" si="174"/>
        <v>1944.8850163693157</v>
      </c>
      <c r="AQ69" s="197">
        <f t="shared" si="175"/>
        <v>139.05584080221914</v>
      </c>
      <c r="AR69" s="197">
        <f t="shared" si="176"/>
        <v>1435.4155287722333</v>
      </c>
      <c r="AS69" s="197">
        <f t="shared" si="177"/>
        <v>509.46948759708226</v>
      </c>
      <c r="AT69" s="199">
        <f t="shared" si="178"/>
        <v>648.5253283993012</v>
      </c>
      <c r="AU69" s="196">
        <f t="shared" si="179"/>
        <v>13937.61814082224</v>
      </c>
      <c r="AV69" s="197">
        <f t="shared" si="180"/>
        <v>1098.3039799445205</v>
      </c>
      <c r="AW69" s="197">
        <f t="shared" si="181"/>
        <v>9634.2556066379184</v>
      </c>
      <c r="AX69" s="197">
        <f t="shared" si="182"/>
        <v>4303.3625341843217</v>
      </c>
      <c r="AY69" s="199">
        <f t="shared" si="183"/>
        <v>5401.6665141288422</v>
      </c>
      <c r="BB69" s="900">
        <v>7</v>
      </c>
      <c r="BC69" s="902" t="s">
        <v>7</v>
      </c>
      <c r="BD69" s="760">
        <f>'Arable Inputs'!$G$18</f>
        <v>63.1</v>
      </c>
      <c r="BE69" s="760">
        <f>'Arable Inputs'!$G$25-0.5*'Arable Inputs'!$G$25</f>
        <v>13</v>
      </c>
      <c r="BH69" s="762">
        <f>BD69*BE69</f>
        <v>820.30000000000007</v>
      </c>
      <c r="BI69" s="197">
        <f>'Arable NPV'!$E149</f>
        <v>175.95</v>
      </c>
      <c r="BJ69" s="197">
        <f t="shared" si="184"/>
        <v>996.25</v>
      </c>
      <c r="BK69" s="197">
        <f>'Arable NPV'!$G149</f>
        <v>819.30399999999986</v>
      </c>
      <c r="BL69" s="197">
        <f>'Arable NPV'!$H149</f>
        <v>996.95456799999988</v>
      </c>
      <c r="BM69" s="197">
        <f t="shared" si="185"/>
        <v>1816.2585679999997</v>
      </c>
      <c r="BN69" s="197">
        <f t="shared" si="186"/>
        <v>-995.95856799999967</v>
      </c>
      <c r="BO69" s="197">
        <f t="shared" si="187"/>
        <v>-820.00856799999974</v>
      </c>
      <c r="BP69" s="196">
        <f t="shared" si="188"/>
        <v>648.29500545643862</v>
      </c>
      <c r="BQ69" s="197">
        <f t="shared" si="189"/>
        <v>139.05584080221914</v>
      </c>
      <c r="BR69" s="197">
        <f t="shared" si="190"/>
        <v>1435.4155287722333</v>
      </c>
      <c r="BS69" s="197">
        <f t="shared" si="191"/>
        <v>-787.1205233157948</v>
      </c>
      <c r="BT69" s="199">
        <f t="shared" si="192"/>
        <v>-648.06468251357569</v>
      </c>
      <c r="BU69" s="196">
        <f t="shared" si="193"/>
        <v>4645.8727136074131</v>
      </c>
      <c r="BV69" s="197">
        <f t="shared" si="194"/>
        <v>1098.3039799445205</v>
      </c>
      <c r="BW69" s="197">
        <f t="shared" si="195"/>
        <v>9634.2556066379184</v>
      </c>
      <c r="BX69" s="197">
        <f t="shared" si="196"/>
        <v>-4988.3828930305044</v>
      </c>
      <c r="BY69" s="199">
        <f t="shared" si="197"/>
        <v>-3890.0789130859848</v>
      </c>
      <c r="CB69" s="900">
        <v>7</v>
      </c>
      <c r="CC69" s="902" t="s">
        <v>7</v>
      </c>
      <c r="CD69" s="760">
        <f>'Arable Inputs'!$G$18</f>
        <v>63.1</v>
      </c>
      <c r="CE69" s="760">
        <f>'Arable Inputs'!$G$25+'Arable Inputs'!$G$25</f>
        <v>52</v>
      </c>
      <c r="CH69" s="762">
        <f>CD69*CE69</f>
        <v>3281.2000000000003</v>
      </c>
      <c r="CI69" s="197">
        <f>'Arable NPV'!$E149</f>
        <v>175.95</v>
      </c>
      <c r="CJ69" s="197">
        <f t="shared" si="198"/>
        <v>3457.15</v>
      </c>
      <c r="CK69" s="197">
        <f>'Arable NPV'!$G149</f>
        <v>819.30399999999986</v>
      </c>
      <c r="CL69" s="197">
        <f>'Arable NPV'!$H149</f>
        <v>996.95456799999988</v>
      </c>
      <c r="CM69" s="197">
        <f t="shared" si="199"/>
        <v>1816.2585679999997</v>
      </c>
      <c r="CN69" s="197">
        <f t="shared" si="200"/>
        <v>1464.9414320000005</v>
      </c>
      <c r="CO69" s="197">
        <f t="shared" si="201"/>
        <v>1640.8914320000003</v>
      </c>
      <c r="CP69" s="196">
        <f t="shared" si="202"/>
        <v>2593.1800218257545</v>
      </c>
      <c r="CQ69" s="197">
        <f t="shared" si="203"/>
        <v>139.05584080221914</v>
      </c>
      <c r="CR69" s="197">
        <f t="shared" si="204"/>
        <v>1435.4155287722333</v>
      </c>
      <c r="CS69" s="197">
        <f t="shared" si="205"/>
        <v>1157.7644930535209</v>
      </c>
      <c r="CT69" s="199">
        <f t="shared" si="206"/>
        <v>1296.8203338557398</v>
      </c>
      <c r="CU69" s="196">
        <f t="shared" si="207"/>
        <v>18583.490854429652</v>
      </c>
      <c r="CV69" s="197">
        <f t="shared" si="208"/>
        <v>1098.3039799445205</v>
      </c>
      <c r="CW69" s="197">
        <f t="shared" si="209"/>
        <v>9634.2556066379184</v>
      </c>
      <c r="CX69" s="197">
        <f t="shared" si="210"/>
        <v>8949.2352477917357</v>
      </c>
      <c r="CY69" s="199">
        <f t="shared" si="211"/>
        <v>10047.539227736255</v>
      </c>
      <c r="DB69" s="204">
        <f t="shared" si="226"/>
        <v>7</v>
      </c>
      <c r="DC69" s="902" t="s">
        <v>7</v>
      </c>
      <c r="DD69" s="760">
        <f>'Arable Inputs'!$G$18</f>
        <v>63.1</v>
      </c>
      <c r="DE69" s="760">
        <f>'Arable Inputs'!$G$25-'Arable Inputs'!$G$25</f>
        <v>0</v>
      </c>
      <c r="DH69" s="762">
        <f>DD69*DE69</f>
        <v>0</v>
      </c>
      <c r="DI69" s="197">
        <f>'Arable NPV'!$E149</f>
        <v>175.95</v>
      </c>
      <c r="DJ69" s="197">
        <f t="shared" si="212"/>
        <v>175.95</v>
      </c>
      <c r="DK69" s="197">
        <f>'Arable NPV'!$G149</f>
        <v>819.30399999999986</v>
      </c>
      <c r="DL69" s="197">
        <f>'Arable NPV'!$H149</f>
        <v>996.95456799999988</v>
      </c>
      <c r="DM69" s="197">
        <f t="shared" si="213"/>
        <v>1816.2585679999997</v>
      </c>
      <c r="DN69" s="197">
        <f t="shared" si="214"/>
        <v>-1816.2585679999997</v>
      </c>
      <c r="DO69" s="197">
        <f t="shared" si="215"/>
        <v>-1640.3085679999997</v>
      </c>
      <c r="DP69" s="196">
        <f t="shared" si="216"/>
        <v>0</v>
      </c>
      <c r="DQ69" s="197">
        <f t="shared" si="217"/>
        <v>139.05584080221914</v>
      </c>
      <c r="DR69" s="197">
        <f t="shared" si="218"/>
        <v>1435.4155287722333</v>
      </c>
      <c r="DS69" s="197">
        <f t="shared" si="219"/>
        <v>-1435.4155287722333</v>
      </c>
      <c r="DT69" s="199">
        <f t="shared" si="220"/>
        <v>-1296.3596879700142</v>
      </c>
      <c r="DU69" s="196">
        <f t="shared" si="221"/>
        <v>0</v>
      </c>
      <c r="DV69" s="197">
        <f t="shared" si="222"/>
        <v>1098.3039799445205</v>
      </c>
      <c r="DW69" s="197">
        <f t="shared" si="223"/>
        <v>9634.2556066379184</v>
      </c>
      <c r="DX69" s="197">
        <f t="shared" si="224"/>
        <v>-9634.2556066379184</v>
      </c>
      <c r="DY69" s="199">
        <f t="shared" si="225"/>
        <v>-8535.9516266933988</v>
      </c>
    </row>
    <row r="70" spans="2:129" x14ac:dyDescent="0.3">
      <c r="B70" s="900">
        <v>8</v>
      </c>
      <c r="C70" s="902" t="s">
        <v>260</v>
      </c>
      <c r="D70" s="760">
        <f>'Arable Inputs'!$H$18</f>
        <v>8.14</v>
      </c>
      <c r="E70" s="760">
        <f>'Arable Inputs'!$H$25</f>
        <v>182.8</v>
      </c>
      <c r="H70" s="762">
        <f>D70*E70</f>
        <v>1487.9920000000002</v>
      </c>
      <c r="I70" s="197">
        <f>'Arable NPV'!$E150</f>
        <v>175.95</v>
      </c>
      <c r="J70" s="197">
        <f t="shared" si="156"/>
        <v>1663.9420000000002</v>
      </c>
      <c r="K70" s="197">
        <f>'Arable NPV'!$G150</f>
        <v>574.23049999999989</v>
      </c>
      <c r="L70" s="197">
        <f>'Arable NPV'!$H150</f>
        <v>636.366536</v>
      </c>
      <c r="M70" s="197">
        <f t="shared" si="157"/>
        <v>1210.5970359999999</v>
      </c>
      <c r="N70" s="197">
        <f t="shared" si="158"/>
        <v>277.3949640000003</v>
      </c>
      <c r="O70" s="197">
        <f t="shared" si="159"/>
        <v>453.34496400000035</v>
      </c>
      <c r="P70" s="196">
        <f t="shared" si="160"/>
        <v>1130.7516267021647</v>
      </c>
      <c r="Q70" s="197">
        <f t="shared" si="161"/>
        <v>133.70753923290303</v>
      </c>
      <c r="R70" s="197">
        <f t="shared" si="162"/>
        <v>919.95425226601935</v>
      </c>
      <c r="S70" s="197">
        <f t="shared" si="163"/>
        <v>210.79737443614528</v>
      </c>
      <c r="T70" s="199">
        <f t="shared" si="164"/>
        <v>344.50491366904834</v>
      </c>
      <c r="U70" s="196">
        <f t="shared" si="165"/>
        <v>10422.497053916992</v>
      </c>
      <c r="V70" s="197">
        <f t="shared" si="166"/>
        <v>1232.0115191774235</v>
      </c>
      <c r="W70" s="197">
        <f t="shared" si="167"/>
        <v>10554.209858903938</v>
      </c>
      <c r="X70" s="197">
        <f t="shared" si="168"/>
        <v>-131.71280498694665</v>
      </c>
      <c r="Y70" s="199">
        <f t="shared" si="169"/>
        <v>1100.2987141904771</v>
      </c>
      <c r="Z70" s="197"/>
      <c r="AB70" s="900">
        <v>8</v>
      </c>
      <c r="AC70" s="902" t="s">
        <v>31</v>
      </c>
      <c r="AD70" s="760">
        <f>'Arable Inputs'!$H$18</f>
        <v>8.14</v>
      </c>
      <c r="AE70" s="760">
        <f>'Arable Inputs'!$H$25+0.5*'Arable Inputs'!$H$25</f>
        <v>274.20000000000005</v>
      </c>
      <c r="AH70" s="762">
        <f>AD70*AE70</f>
        <v>2231.9880000000007</v>
      </c>
      <c r="AI70" s="197">
        <f>'Arable NPV'!$E150</f>
        <v>175.95</v>
      </c>
      <c r="AJ70" s="197">
        <f t="shared" si="170"/>
        <v>2407.9380000000006</v>
      </c>
      <c r="AK70" s="197">
        <f>'Arable NPV'!$G150</f>
        <v>574.23049999999989</v>
      </c>
      <c r="AL70" s="197">
        <f>'Arable NPV'!$H150</f>
        <v>636.366536</v>
      </c>
      <c r="AM70" s="197">
        <f t="shared" si="171"/>
        <v>1210.5970359999999</v>
      </c>
      <c r="AN70" s="197">
        <f t="shared" si="172"/>
        <v>1021.3909640000008</v>
      </c>
      <c r="AO70" s="197">
        <f t="shared" si="173"/>
        <v>1197.3409640000007</v>
      </c>
      <c r="AP70" s="196">
        <f t="shared" si="174"/>
        <v>1696.1274400532473</v>
      </c>
      <c r="AQ70" s="197">
        <f t="shared" si="175"/>
        <v>133.70753923290303</v>
      </c>
      <c r="AR70" s="197">
        <f t="shared" si="176"/>
        <v>919.95425226601935</v>
      </c>
      <c r="AS70" s="197">
        <f t="shared" si="177"/>
        <v>776.17318778722802</v>
      </c>
      <c r="AT70" s="199">
        <f t="shared" si="178"/>
        <v>909.88072702013085</v>
      </c>
      <c r="AU70" s="196">
        <f t="shared" si="179"/>
        <v>15633.745580875488</v>
      </c>
      <c r="AV70" s="197">
        <f t="shared" si="180"/>
        <v>1232.0115191774235</v>
      </c>
      <c r="AW70" s="197">
        <f t="shared" si="181"/>
        <v>10554.209858903938</v>
      </c>
      <c r="AX70" s="197">
        <f t="shared" si="182"/>
        <v>5079.5357219715497</v>
      </c>
      <c r="AY70" s="199">
        <f t="shared" si="183"/>
        <v>6311.5472411489727</v>
      </c>
      <c r="BB70" s="900">
        <v>8</v>
      </c>
      <c r="BC70" s="902" t="s">
        <v>31</v>
      </c>
      <c r="BD70" s="760">
        <f>'Arable Inputs'!$H$18</f>
        <v>8.14</v>
      </c>
      <c r="BE70" s="760">
        <f>'Arable Inputs'!$H$25-0.5*'Arable Inputs'!$H$25</f>
        <v>91.4</v>
      </c>
      <c r="BH70" s="762">
        <f>BD70*BE70</f>
        <v>743.99600000000009</v>
      </c>
      <c r="BI70" s="197">
        <f>'Arable NPV'!$E150</f>
        <v>175.95</v>
      </c>
      <c r="BJ70" s="197">
        <f t="shared" si="184"/>
        <v>919.94600000000014</v>
      </c>
      <c r="BK70" s="197">
        <f>'Arable NPV'!$G150</f>
        <v>574.23049999999989</v>
      </c>
      <c r="BL70" s="197">
        <f>'Arable NPV'!$H150</f>
        <v>636.366536</v>
      </c>
      <c r="BM70" s="197">
        <f t="shared" si="185"/>
        <v>1210.5970359999999</v>
      </c>
      <c r="BN70" s="197">
        <f t="shared" si="186"/>
        <v>-466.60103599999979</v>
      </c>
      <c r="BO70" s="197">
        <f t="shared" si="187"/>
        <v>-290.65103599999975</v>
      </c>
      <c r="BP70" s="196">
        <f t="shared" si="188"/>
        <v>565.37581335108234</v>
      </c>
      <c r="BQ70" s="197">
        <f t="shared" si="189"/>
        <v>133.70753923290303</v>
      </c>
      <c r="BR70" s="197">
        <f t="shared" si="190"/>
        <v>919.95425226601935</v>
      </c>
      <c r="BS70" s="197">
        <f t="shared" si="191"/>
        <v>-354.57843891493701</v>
      </c>
      <c r="BT70" s="199">
        <f t="shared" si="192"/>
        <v>-220.87089968203398</v>
      </c>
      <c r="BU70" s="196">
        <f t="shared" si="193"/>
        <v>5211.2485269584959</v>
      </c>
      <c r="BV70" s="197">
        <f t="shared" si="194"/>
        <v>1232.0115191774235</v>
      </c>
      <c r="BW70" s="197">
        <f t="shared" si="195"/>
        <v>10554.209858903938</v>
      </c>
      <c r="BX70" s="197">
        <f t="shared" si="196"/>
        <v>-5342.9613319454411</v>
      </c>
      <c r="BY70" s="199">
        <f t="shared" si="197"/>
        <v>-4110.949812768019</v>
      </c>
      <c r="CB70" s="900">
        <v>8</v>
      </c>
      <c r="CC70" s="902" t="s">
        <v>31</v>
      </c>
      <c r="CD70" s="760">
        <f>'Arable Inputs'!$H$18</f>
        <v>8.14</v>
      </c>
      <c r="CE70" s="760">
        <f>'Arable Inputs'!$H$25+'Arable Inputs'!$H$25</f>
        <v>365.6</v>
      </c>
      <c r="CH70" s="762">
        <f>CD70*CE70</f>
        <v>2975.9840000000004</v>
      </c>
      <c r="CI70" s="197">
        <f>'Arable NPV'!$E150</f>
        <v>175.95</v>
      </c>
      <c r="CJ70" s="197">
        <f t="shared" si="198"/>
        <v>3151.9340000000002</v>
      </c>
      <c r="CK70" s="197">
        <f>'Arable NPV'!$G150</f>
        <v>574.23049999999989</v>
      </c>
      <c r="CL70" s="197">
        <f>'Arable NPV'!$H150</f>
        <v>636.366536</v>
      </c>
      <c r="CM70" s="197">
        <f t="shared" si="199"/>
        <v>1210.5970359999999</v>
      </c>
      <c r="CN70" s="197">
        <f t="shared" si="200"/>
        <v>1765.3869640000005</v>
      </c>
      <c r="CO70" s="197">
        <f t="shared" si="201"/>
        <v>1941.3369640000003</v>
      </c>
      <c r="CP70" s="196">
        <f t="shared" si="202"/>
        <v>2261.5032534043294</v>
      </c>
      <c r="CQ70" s="197">
        <f t="shared" si="203"/>
        <v>133.70753923290303</v>
      </c>
      <c r="CR70" s="197">
        <f t="shared" si="204"/>
        <v>919.95425226601935</v>
      </c>
      <c r="CS70" s="197">
        <f t="shared" si="205"/>
        <v>1341.5490011383099</v>
      </c>
      <c r="CT70" s="199">
        <f t="shared" si="206"/>
        <v>1475.2565403712129</v>
      </c>
      <c r="CU70" s="196">
        <f t="shared" si="207"/>
        <v>20844.994107833983</v>
      </c>
      <c r="CV70" s="197">
        <f t="shared" si="208"/>
        <v>1232.0115191774235</v>
      </c>
      <c r="CW70" s="197">
        <f t="shared" si="209"/>
        <v>10554.209858903938</v>
      </c>
      <c r="CX70" s="197">
        <f t="shared" si="210"/>
        <v>10290.784248930046</v>
      </c>
      <c r="CY70" s="199">
        <f t="shared" si="211"/>
        <v>11522.795768107468</v>
      </c>
      <c r="DB70" s="204">
        <f t="shared" si="226"/>
        <v>8</v>
      </c>
      <c r="DC70" s="902" t="s">
        <v>31</v>
      </c>
      <c r="DD70" s="760">
        <f>'Arable Inputs'!$H$18</f>
        <v>8.14</v>
      </c>
      <c r="DE70" s="760">
        <f>'Arable Inputs'!$H$25-'Arable Inputs'!$H$25</f>
        <v>0</v>
      </c>
      <c r="DH70" s="762">
        <f>DD70*DE70</f>
        <v>0</v>
      </c>
      <c r="DI70" s="197">
        <f>'Arable NPV'!$E150</f>
        <v>175.95</v>
      </c>
      <c r="DJ70" s="197">
        <f t="shared" si="212"/>
        <v>175.95</v>
      </c>
      <c r="DK70" s="197">
        <f>'Arable NPV'!$G150</f>
        <v>574.23049999999989</v>
      </c>
      <c r="DL70" s="197">
        <f>'Arable NPV'!$H150</f>
        <v>636.366536</v>
      </c>
      <c r="DM70" s="197">
        <f t="shared" si="213"/>
        <v>1210.5970359999999</v>
      </c>
      <c r="DN70" s="197">
        <f t="shared" si="214"/>
        <v>-1210.5970359999999</v>
      </c>
      <c r="DO70" s="197">
        <f t="shared" si="215"/>
        <v>-1034.6470359999998</v>
      </c>
      <c r="DP70" s="196">
        <f t="shared" si="216"/>
        <v>0</v>
      </c>
      <c r="DQ70" s="197">
        <f t="shared" si="217"/>
        <v>133.70753923290303</v>
      </c>
      <c r="DR70" s="197">
        <f t="shared" si="218"/>
        <v>919.95425226601935</v>
      </c>
      <c r="DS70" s="197">
        <f t="shared" si="219"/>
        <v>-919.95425226601935</v>
      </c>
      <c r="DT70" s="199">
        <f t="shared" si="220"/>
        <v>-786.24671303311629</v>
      </c>
      <c r="DU70" s="196">
        <f t="shared" si="221"/>
        <v>0</v>
      </c>
      <c r="DV70" s="197">
        <f t="shared" si="222"/>
        <v>1232.0115191774235</v>
      </c>
      <c r="DW70" s="197">
        <f t="shared" si="223"/>
        <v>10554.209858903938</v>
      </c>
      <c r="DX70" s="197">
        <f t="shared" si="224"/>
        <v>-10554.209858903938</v>
      </c>
      <c r="DY70" s="199">
        <f t="shared" si="225"/>
        <v>-9322.1983397265158</v>
      </c>
    </row>
    <row r="71" spans="2:129" x14ac:dyDescent="0.3">
      <c r="B71" s="900">
        <v>9</v>
      </c>
      <c r="C71" s="902" t="s">
        <v>6</v>
      </c>
      <c r="D71" s="760">
        <f>'Arable Inputs'!$F$18</f>
        <v>3.3</v>
      </c>
      <c r="E71" s="760">
        <f>'Arable Inputs'!$F$25</f>
        <v>345.1</v>
      </c>
      <c r="F71" s="760">
        <f>'Arable Inputs'!$F$19</f>
        <v>2.6</v>
      </c>
      <c r="G71" s="760">
        <f>'Arable Inputs'!$F$26</f>
        <v>42.374999999999993</v>
      </c>
      <c r="H71" s="762">
        <f>D71*E71+F71*G71</f>
        <v>1249.0049999999999</v>
      </c>
      <c r="I71" s="197">
        <f>'Arable NPV'!$E151</f>
        <v>175.95</v>
      </c>
      <c r="J71" s="197">
        <f t="shared" si="156"/>
        <v>1424.9549999999999</v>
      </c>
      <c r="K71" s="197">
        <f>'Arable NPV'!$G151</f>
        <v>619.745</v>
      </c>
      <c r="L71" s="197">
        <f>'Arable NPV'!$H151</f>
        <v>710.23622685714281</v>
      </c>
      <c r="M71" s="197">
        <f t="shared" si="157"/>
        <v>1329.9812268571427</v>
      </c>
      <c r="N71" s="197">
        <f t="shared" si="158"/>
        <v>-80.976226857142819</v>
      </c>
      <c r="O71" s="197">
        <f t="shared" si="159"/>
        <v>94.973773142857226</v>
      </c>
      <c r="P71" s="196">
        <f t="shared" si="160"/>
        <v>912.63571949850268</v>
      </c>
      <c r="Q71" s="197">
        <f t="shared" si="161"/>
        <v>128.56494157009902</v>
      </c>
      <c r="R71" s="197">
        <f t="shared" si="162"/>
        <v>971.80425530103548</v>
      </c>
      <c r="S71" s="197">
        <f t="shared" si="163"/>
        <v>-59.16853580253283</v>
      </c>
      <c r="T71" s="199">
        <f t="shared" si="164"/>
        <v>69.39640576756625</v>
      </c>
      <c r="U71" s="196">
        <f t="shared" si="165"/>
        <v>11335.132773415495</v>
      </c>
      <c r="V71" s="197">
        <f t="shared" si="166"/>
        <v>1360.5764607475226</v>
      </c>
      <c r="W71" s="197">
        <f t="shared" si="167"/>
        <v>11526.014114204972</v>
      </c>
      <c r="X71" s="197">
        <f t="shared" si="168"/>
        <v>-190.88134078947948</v>
      </c>
      <c r="Y71" s="199">
        <f t="shared" si="169"/>
        <v>1169.6951199580433</v>
      </c>
      <c r="Z71" s="197"/>
      <c r="AB71" s="900">
        <v>9</v>
      </c>
      <c r="AC71" s="902" t="s">
        <v>6</v>
      </c>
      <c r="AD71" s="760">
        <f>'Arable Inputs'!$F$18</f>
        <v>3.3</v>
      </c>
      <c r="AE71" s="760">
        <f>'Arable Inputs'!$F$25+0.5*'Arable Inputs'!$F$25</f>
        <v>517.65000000000009</v>
      </c>
      <c r="AF71" s="760">
        <f>'Arable Inputs'!$F$19</f>
        <v>2.6</v>
      </c>
      <c r="AG71" s="760">
        <f>'Arable Inputs'!$F$26+0.5*'Arable Inputs'!$F$26</f>
        <v>63.562499999999986</v>
      </c>
      <c r="AH71" s="762">
        <f>AD71*AE71+AF71*AG71</f>
        <v>1873.5075000000002</v>
      </c>
      <c r="AI71" s="197">
        <f>'Arable NPV'!$E151</f>
        <v>175.95</v>
      </c>
      <c r="AJ71" s="197">
        <f t="shared" si="170"/>
        <v>2049.4575</v>
      </c>
      <c r="AK71" s="197">
        <f>'Arable NPV'!$G151</f>
        <v>619.745</v>
      </c>
      <c r="AL71" s="197">
        <f>'Arable NPV'!$H151</f>
        <v>710.23622685714281</v>
      </c>
      <c r="AM71" s="197">
        <f t="shared" si="171"/>
        <v>1329.9812268571427</v>
      </c>
      <c r="AN71" s="197">
        <f t="shared" si="172"/>
        <v>543.52627314285746</v>
      </c>
      <c r="AO71" s="197">
        <f t="shared" si="173"/>
        <v>719.47627314285728</v>
      </c>
      <c r="AP71" s="196">
        <f t="shared" si="174"/>
        <v>1368.9535792477543</v>
      </c>
      <c r="AQ71" s="197">
        <f t="shared" si="175"/>
        <v>128.56494157009902</v>
      </c>
      <c r="AR71" s="197">
        <f t="shared" si="176"/>
        <v>971.80425530103548</v>
      </c>
      <c r="AS71" s="197">
        <f t="shared" si="177"/>
        <v>397.14932394671877</v>
      </c>
      <c r="AT71" s="199">
        <f t="shared" si="178"/>
        <v>525.7142655168177</v>
      </c>
      <c r="AU71" s="196">
        <f t="shared" si="179"/>
        <v>17002.69916012324</v>
      </c>
      <c r="AV71" s="197">
        <f t="shared" si="180"/>
        <v>1360.5764607475226</v>
      </c>
      <c r="AW71" s="197">
        <f t="shared" si="181"/>
        <v>11526.014114204972</v>
      </c>
      <c r="AX71" s="197">
        <f t="shared" si="182"/>
        <v>5476.6850459182688</v>
      </c>
      <c r="AY71" s="199">
        <f t="shared" si="183"/>
        <v>6837.2615066657909</v>
      </c>
      <c r="BB71" s="900">
        <v>9</v>
      </c>
      <c r="BC71" s="902" t="s">
        <v>6</v>
      </c>
      <c r="BD71" s="760">
        <f>'Arable Inputs'!$F$18</f>
        <v>3.3</v>
      </c>
      <c r="BE71" s="760">
        <f>'Arable Inputs'!$F$25-0.5*'Arable Inputs'!$F$25</f>
        <v>172.55</v>
      </c>
      <c r="BF71" s="760">
        <f>'Arable Inputs'!$F$19</f>
        <v>2.6</v>
      </c>
      <c r="BG71" s="760">
        <f>'Arable Inputs'!$F$26-0.5*'Arable Inputs'!$F$26</f>
        <v>21.187499999999996</v>
      </c>
      <c r="BH71" s="762">
        <f>BD71*BE71+BF71*BG71</f>
        <v>624.50249999999994</v>
      </c>
      <c r="BI71" s="197">
        <f>'Arable NPV'!$E151</f>
        <v>175.95</v>
      </c>
      <c r="BJ71" s="197">
        <f t="shared" si="184"/>
        <v>800.45249999999987</v>
      </c>
      <c r="BK71" s="197">
        <f>'Arable NPV'!$G151</f>
        <v>619.745</v>
      </c>
      <c r="BL71" s="197">
        <f>'Arable NPV'!$H151</f>
        <v>710.23622685714281</v>
      </c>
      <c r="BM71" s="197">
        <f t="shared" si="185"/>
        <v>1329.9812268571427</v>
      </c>
      <c r="BN71" s="197">
        <f t="shared" si="186"/>
        <v>-705.47872685714276</v>
      </c>
      <c r="BO71" s="197">
        <f t="shared" si="187"/>
        <v>-529.52872685714283</v>
      </c>
      <c r="BP71" s="196">
        <f t="shared" si="188"/>
        <v>456.31785974925134</v>
      </c>
      <c r="BQ71" s="197">
        <f t="shared" si="189"/>
        <v>128.56494157009902</v>
      </c>
      <c r="BR71" s="197">
        <f t="shared" si="190"/>
        <v>971.80425530103548</v>
      </c>
      <c r="BS71" s="197">
        <f t="shared" si="191"/>
        <v>-515.4863955517842</v>
      </c>
      <c r="BT71" s="199">
        <f t="shared" si="192"/>
        <v>-386.92145398168515</v>
      </c>
      <c r="BU71" s="196">
        <f t="shared" si="193"/>
        <v>5667.5663867077474</v>
      </c>
      <c r="BV71" s="197">
        <f t="shared" si="194"/>
        <v>1360.5764607475226</v>
      </c>
      <c r="BW71" s="197">
        <f t="shared" si="195"/>
        <v>11526.014114204972</v>
      </c>
      <c r="BX71" s="197">
        <f t="shared" si="196"/>
        <v>-5858.4477274972251</v>
      </c>
      <c r="BY71" s="199">
        <f t="shared" si="197"/>
        <v>-4497.8712667497039</v>
      </c>
      <c r="CB71" s="900">
        <v>9</v>
      </c>
      <c r="CC71" s="902" t="s">
        <v>6</v>
      </c>
      <c r="CD71" s="760">
        <f>'Arable Inputs'!$F$18</f>
        <v>3.3</v>
      </c>
      <c r="CE71" s="760">
        <f>'Arable Inputs'!$F$25+'Arable Inputs'!$F$25</f>
        <v>690.2</v>
      </c>
      <c r="CF71" s="760">
        <f>'Arable Inputs'!$F$19</f>
        <v>2.6</v>
      </c>
      <c r="CG71" s="760">
        <f>'Arable Inputs'!$F$26+'Arable Inputs'!$F$26</f>
        <v>84.749999999999986</v>
      </c>
      <c r="CH71" s="762">
        <f>CD71*CE71+CF71*CG71</f>
        <v>2498.0099999999998</v>
      </c>
      <c r="CI71" s="197">
        <f>'Arable NPV'!$E151</f>
        <v>175.95</v>
      </c>
      <c r="CJ71" s="197">
        <f t="shared" si="198"/>
        <v>2673.9599999999996</v>
      </c>
      <c r="CK71" s="197">
        <f>'Arable NPV'!$G151</f>
        <v>619.745</v>
      </c>
      <c r="CL71" s="197">
        <f>'Arable NPV'!$H151</f>
        <v>710.23622685714281</v>
      </c>
      <c r="CM71" s="197">
        <f t="shared" si="199"/>
        <v>1329.9812268571427</v>
      </c>
      <c r="CN71" s="197">
        <f t="shared" si="200"/>
        <v>1168.0287731428571</v>
      </c>
      <c r="CO71" s="197">
        <f t="shared" si="201"/>
        <v>1343.9787731428569</v>
      </c>
      <c r="CP71" s="196">
        <f t="shared" si="202"/>
        <v>1825.2714389970054</v>
      </c>
      <c r="CQ71" s="197">
        <f t="shared" si="203"/>
        <v>128.56494157009902</v>
      </c>
      <c r="CR71" s="197">
        <f t="shared" si="204"/>
        <v>971.80425530103548</v>
      </c>
      <c r="CS71" s="197">
        <f t="shared" si="205"/>
        <v>853.46718369596988</v>
      </c>
      <c r="CT71" s="199">
        <f t="shared" si="206"/>
        <v>982.03212526606876</v>
      </c>
      <c r="CU71" s="196">
        <f t="shared" si="207"/>
        <v>22670.265546830989</v>
      </c>
      <c r="CV71" s="197">
        <f t="shared" si="208"/>
        <v>1360.5764607475226</v>
      </c>
      <c r="CW71" s="197">
        <f t="shared" si="209"/>
        <v>11526.014114204972</v>
      </c>
      <c r="CX71" s="197">
        <f t="shared" si="210"/>
        <v>11144.251432626015</v>
      </c>
      <c r="CY71" s="199">
        <f t="shared" si="211"/>
        <v>12504.827893373536</v>
      </c>
      <c r="DB71" s="204">
        <f t="shared" si="226"/>
        <v>9</v>
      </c>
      <c r="DC71" s="902" t="s">
        <v>6</v>
      </c>
      <c r="DD71" s="760">
        <f>'Arable Inputs'!$F$18</f>
        <v>3.3</v>
      </c>
      <c r="DE71" s="760">
        <f>'Arable Inputs'!$F$25-'Arable Inputs'!$F$25</f>
        <v>0</v>
      </c>
      <c r="DF71" s="760">
        <f>'Arable Inputs'!$F$19</f>
        <v>2.6</v>
      </c>
      <c r="DG71" s="760">
        <f>'Arable Inputs'!$F$26-'Arable Inputs'!$F$26</f>
        <v>0</v>
      </c>
      <c r="DH71" s="762">
        <f>DD71*DE71+DF71*DG71</f>
        <v>0</v>
      </c>
      <c r="DI71" s="197">
        <f>'Arable NPV'!$E151</f>
        <v>175.95</v>
      </c>
      <c r="DJ71" s="197">
        <f t="shared" si="212"/>
        <v>175.95</v>
      </c>
      <c r="DK71" s="197">
        <f>'Arable NPV'!$G151</f>
        <v>619.745</v>
      </c>
      <c r="DL71" s="197">
        <f>'Arable NPV'!$H151</f>
        <v>710.23622685714281</v>
      </c>
      <c r="DM71" s="197">
        <f t="shared" si="213"/>
        <v>1329.9812268571427</v>
      </c>
      <c r="DN71" s="197">
        <f t="shared" si="214"/>
        <v>-1329.9812268571427</v>
      </c>
      <c r="DO71" s="197">
        <f t="shared" si="215"/>
        <v>-1154.0312268571427</v>
      </c>
      <c r="DP71" s="196">
        <f t="shared" si="216"/>
        <v>0</v>
      </c>
      <c r="DQ71" s="197">
        <f t="shared" si="217"/>
        <v>128.56494157009902</v>
      </c>
      <c r="DR71" s="197">
        <f t="shared" si="218"/>
        <v>971.80425530103548</v>
      </c>
      <c r="DS71" s="197">
        <f t="shared" si="219"/>
        <v>-971.80425530103548</v>
      </c>
      <c r="DT71" s="199">
        <f t="shared" si="220"/>
        <v>-843.23931373093637</v>
      </c>
      <c r="DU71" s="196">
        <f t="shared" si="221"/>
        <v>0</v>
      </c>
      <c r="DV71" s="197">
        <f t="shared" si="222"/>
        <v>1360.5764607475226</v>
      </c>
      <c r="DW71" s="197">
        <f t="shared" si="223"/>
        <v>11526.014114204972</v>
      </c>
      <c r="DX71" s="197">
        <f t="shared" si="224"/>
        <v>-11526.014114204972</v>
      </c>
      <c r="DY71" s="199">
        <f t="shared" si="225"/>
        <v>-10165.437653457451</v>
      </c>
    </row>
    <row r="72" spans="2:129" x14ac:dyDescent="0.3">
      <c r="B72" s="900">
        <v>10</v>
      </c>
      <c r="C72" s="902" t="s">
        <v>5</v>
      </c>
      <c r="D72" s="760">
        <f>'Arable Inputs'!$E$18</f>
        <v>4.1100000000000003</v>
      </c>
      <c r="E72" s="760">
        <f>'Arable Inputs'!$E$25</f>
        <v>154.80000000000001</v>
      </c>
      <c r="F72" s="760">
        <f>'Arable Inputs'!$E$19</f>
        <v>3.5</v>
      </c>
      <c r="G72" s="760">
        <f>'Arable Inputs'!$E$26</f>
        <v>79.099999999999994</v>
      </c>
      <c r="H72" s="762">
        <f>D72*E72+F72*G72</f>
        <v>913.07799999999997</v>
      </c>
      <c r="I72" s="197">
        <f>'Arable NPV'!$E152</f>
        <v>175.95</v>
      </c>
      <c r="J72" s="197">
        <f t="shared" si="156"/>
        <v>1089.028</v>
      </c>
      <c r="K72" s="197">
        <f>'Arable NPV'!$G152</f>
        <v>468.64299999999992</v>
      </c>
      <c r="L72" s="197">
        <f>'Arable NPV'!$H152</f>
        <v>888.75536799999986</v>
      </c>
      <c r="M72" s="197">
        <f t="shared" si="157"/>
        <v>1357.3983679999997</v>
      </c>
      <c r="N72" s="197">
        <f t="shared" si="158"/>
        <v>-444.32036799999969</v>
      </c>
      <c r="O72" s="197">
        <f t="shared" si="159"/>
        <v>-268.37036799999964</v>
      </c>
      <c r="P72" s="196">
        <f t="shared" si="160"/>
        <v>641.51649134884735</v>
      </c>
      <c r="Q72" s="197">
        <f t="shared" si="161"/>
        <v>123.62013612509521</v>
      </c>
      <c r="R72" s="197">
        <f t="shared" si="162"/>
        <v>953.69008825315177</v>
      </c>
      <c r="S72" s="197">
        <f t="shared" si="163"/>
        <v>-312.17359690430442</v>
      </c>
      <c r="T72" s="199">
        <f t="shared" si="164"/>
        <v>-188.55346077920919</v>
      </c>
      <c r="U72" s="196">
        <f t="shared" si="165"/>
        <v>11976.649264764343</v>
      </c>
      <c r="V72" s="197">
        <f t="shared" si="166"/>
        <v>1484.1965968726179</v>
      </c>
      <c r="W72" s="197">
        <f t="shared" si="167"/>
        <v>12479.704202458124</v>
      </c>
      <c r="X72" s="197">
        <f t="shared" si="168"/>
        <v>-503.05493769378393</v>
      </c>
      <c r="Y72" s="199">
        <f t="shared" si="169"/>
        <v>981.14165917883406</v>
      </c>
      <c r="Z72" s="197"/>
      <c r="AB72" s="900">
        <v>10</v>
      </c>
      <c r="AC72" s="902" t="s">
        <v>5</v>
      </c>
      <c r="AD72" s="760">
        <f>'Arable Inputs'!$E$18</f>
        <v>4.1100000000000003</v>
      </c>
      <c r="AE72" s="760">
        <f>'Arable Inputs'!$E$25+0.5*'Arable Inputs'!$E$25</f>
        <v>232.20000000000002</v>
      </c>
      <c r="AF72" s="760">
        <f>'Arable Inputs'!$E$19</f>
        <v>3.5</v>
      </c>
      <c r="AG72" s="760">
        <f>'Arable Inputs'!$E$26+0.5*'Arable Inputs'!$E$26</f>
        <v>118.64999999999999</v>
      </c>
      <c r="AH72" s="762">
        <f>AD72*AE72+AF72*AG72</f>
        <v>1369.6170000000002</v>
      </c>
      <c r="AI72" s="197">
        <f>'Arable NPV'!$E152</f>
        <v>175.95</v>
      </c>
      <c r="AJ72" s="197">
        <f t="shared" si="170"/>
        <v>1545.5670000000002</v>
      </c>
      <c r="AK72" s="197">
        <f>'Arable NPV'!$G152</f>
        <v>468.64299999999992</v>
      </c>
      <c r="AL72" s="197">
        <f>'Arable NPV'!$H152</f>
        <v>888.75536799999986</v>
      </c>
      <c r="AM72" s="197">
        <f t="shared" si="171"/>
        <v>1357.3983679999997</v>
      </c>
      <c r="AN72" s="197">
        <f t="shared" si="172"/>
        <v>12.218632000000525</v>
      </c>
      <c r="AO72" s="197">
        <f t="shared" si="173"/>
        <v>188.16863200000057</v>
      </c>
      <c r="AP72" s="196">
        <f t="shared" si="174"/>
        <v>962.2747370232712</v>
      </c>
      <c r="AQ72" s="197">
        <f t="shared" si="175"/>
        <v>123.62013612509521</v>
      </c>
      <c r="AR72" s="197">
        <f t="shared" si="176"/>
        <v>953.69008825315177</v>
      </c>
      <c r="AS72" s="197">
        <f t="shared" si="177"/>
        <v>8.5846487701194061</v>
      </c>
      <c r="AT72" s="199">
        <f t="shared" si="178"/>
        <v>132.20478489521466</v>
      </c>
      <c r="AU72" s="196">
        <f t="shared" si="179"/>
        <v>17964.973897146512</v>
      </c>
      <c r="AV72" s="197">
        <f t="shared" si="180"/>
        <v>1484.1965968726179</v>
      </c>
      <c r="AW72" s="197">
        <f t="shared" si="181"/>
        <v>12479.704202458124</v>
      </c>
      <c r="AX72" s="197">
        <f t="shared" si="182"/>
        <v>5485.269694688388</v>
      </c>
      <c r="AY72" s="199">
        <f t="shared" si="183"/>
        <v>6969.4662915610052</v>
      </c>
      <c r="BB72" s="900">
        <v>10</v>
      </c>
      <c r="BC72" s="902" t="s">
        <v>5</v>
      </c>
      <c r="BD72" s="760">
        <f>'Arable Inputs'!$E$18</f>
        <v>4.1100000000000003</v>
      </c>
      <c r="BE72" s="760">
        <f>'Arable Inputs'!$E$25-0.5*'Arable Inputs'!$E$25</f>
        <v>77.400000000000006</v>
      </c>
      <c r="BF72" s="760">
        <f>'Arable Inputs'!$E$19</f>
        <v>3.5</v>
      </c>
      <c r="BG72" s="760">
        <f>'Arable Inputs'!$E$26-0.5*'Arable Inputs'!$E$26</f>
        <v>39.549999999999997</v>
      </c>
      <c r="BH72" s="762">
        <f>BD72*BE72+BF72*BG72</f>
        <v>456.53899999999999</v>
      </c>
      <c r="BI72" s="197">
        <f>'Arable NPV'!$E152</f>
        <v>175.95</v>
      </c>
      <c r="BJ72" s="197">
        <f t="shared" si="184"/>
        <v>632.48900000000003</v>
      </c>
      <c r="BK72" s="197">
        <f>'Arable NPV'!$G152</f>
        <v>468.64299999999992</v>
      </c>
      <c r="BL72" s="197">
        <f>'Arable NPV'!$H152</f>
        <v>888.75536799999986</v>
      </c>
      <c r="BM72" s="197">
        <f t="shared" si="185"/>
        <v>1357.3983679999997</v>
      </c>
      <c r="BN72" s="197">
        <f t="shared" si="186"/>
        <v>-900.85936799999968</v>
      </c>
      <c r="BO72" s="197">
        <f t="shared" si="187"/>
        <v>-724.90936799999963</v>
      </c>
      <c r="BP72" s="196">
        <f t="shared" si="188"/>
        <v>320.75824567442368</v>
      </c>
      <c r="BQ72" s="197">
        <f t="shared" si="189"/>
        <v>123.62013612509521</v>
      </c>
      <c r="BR72" s="197">
        <f t="shared" si="190"/>
        <v>953.69008825315177</v>
      </c>
      <c r="BS72" s="197">
        <f t="shared" si="191"/>
        <v>-632.93184257872815</v>
      </c>
      <c r="BT72" s="199">
        <f t="shared" si="192"/>
        <v>-509.31170645363289</v>
      </c>
      <c r="BU72" s="196">
        <f t="shared" si="193"/>
        <v>5988.3246323821713</v>
      </c>
      <c r="BV72" s="197">
        <f t="shared" si="194"/>
        <v>1484.1965968726179</v>
      </c>
      <c r="BW72" s="197">
        <f t="shared" si="195"/>
        <v>12479.704202458124</v>
      </c>
      <c r="BX72" s="197">
        <f t="shared" si="196"/>
        <v>-6491.3795700759529</v>
      </c>
      <c r="BY72" s="199">
        <f t="shared" si="197"/>
        <v>-5007.1829732033366</v>
      </c>
      <c r="CB72" s="900">
        <v>10</v>
      </c>
      <c r="CC72" s="902" t="s">
        <v>5</v>
      </c>
      <c r="CD72" s="760">
        <f>'Arable Inputs'!$E$18</f>
        <v>4.1100000000000003</v>
      </c>
      <c r="CE72" s="760">
        <f>'Arable Inputs'!$E$25+'Arable Inputs'!$E$25</f>
        <v>309.60000000000002</v>
      </c>
      <c r="CF72" s="760">
        <f>'Arable Inputs'!$E$19</f>
        <v>3.5</v>
      </c>
      <c r="CG72" s="760">
        <f>'Arable Inputs'!$E$26+'Arable Inputs'!$E$26</f>
        <v>158.19999999999999</v>
      </c>
      <c r="CH72" s="762">
        <f>CD72*CE72+CF72*CG72</f>
        <v>1826.1559999999999</v>
      </c>
      <c r="CI72" s="197">
        <f>'Arable NPV'!$E152</f>
        <v>175.95</v>
      </c>
      <c r="CJ72" s="197">
        <f t="shared" si="198"/>
        <v>2002.106</v>
      </c>
      <c r="CK72" s="197">
        <f>'Arable NPV'!$G152</f>
        <v>468.64299999999992</v>
      </c>
      <c r="CL72" s="197">
        <f>'Arable NPV'!$H152</f>
        <v>888.75536799999986</v>
      </c>
      <c r="CM72" s="197">
        <f t="shared" si="199"/>
        <v>1357.3983679999997</v>
      </c>
      <c r="CN72" s="197">
        <f t="shared" si="200"/>
        <v>468.75763200000029</v>
      </c>
      <c r="CO72" s="197">
        <f t="shared" si="201"/>
        <v>644.70763200000033</v>
      </c>
      <c r="CP72" s="196">
        <f t="shared" si="202"/>
        <v>1283.0329826976947</v>
      </c>
      <c r="CQ72" s="197">
        <f t="shared" si="203"/>
        <v>123.62013612509521</v>
      </c>
      <c r="CR72" s="197">
        <f t="shared" si="204"/>
        <v>953.69008825315177</v>
      </c>
      <c r="CS72" s="197">
        <f t="shared" si="205"/>
        <v>329.34289444454294</v>
      </c>
      <c r="CT72" s="199">
        <f t="shared" si="206"/>
        <v>452.96303056963819</v>
      </c>
      <c r="CU72" s="196">
        <f t="shared" si="207"/>
        <v>23953.298529528685</v>
      </c>
      <c r="CV72" s="197">
        <f t="shared" si="208"/>
        <v>1484.1965968726179</v>
      </c>
      <c r="CW72" s="197">
        <f t="shared" si="209"/>
        <v>12479.704202458124</v>
      </c>
      <c r="CX72" s="197">
        <f t="shared" si="210"/>
        <v>11473.594327070557</v>
      </c>
      <c r="CY72" s="199">
        <f t="shared" si="211"/>
        <v>12957.790923943174</v>
      </c>
      <c r="DB72" s="204">
        <f t="shared" si="226"/>
        <v>10</v>
      </c>
      <c r="DC72" s="902" t="s">
        <v>5</v>
      </c>
      <c r="DD72" s="760">
        <f>'Arable Inputs'!$E$18</f>
        <v>4.1100000000000003</v>
      </c>
      <c r="DE72" s="760">
        <f>'Arable Inputs'!$E$25-'Arable Inputs'!$E$25</f>
        <v>0</v>
      </c>
      <c r="DF72" s="760">
        <f>'Arable Inputs'!$E$19</f>
        <v>3.5</v>
      </c>
      <c r="DG72" s="760">
        <f>'Arable Inputs'!$E$26-'Arable Inputs'!$E$26</f>
        <v>0</v>
      </c>
      <c r="DH72" s="762">
        <f>DD72*DE72+DF72*DG72</f>
        <v>0</v>
      </c>
      <c r="DI72" s="197">
        <f>'Arable NPV'!$E152</f>
        <v>175.95</v>
      </c>
      <c r="DJ72" s="197">
        <f t="shared" si="212"/>
        <v>175.95</v>
      </c>
      <c r="DK72" s="197">
        <f>'Arable NPV'!$G152</f>
        <v>468.64299999999992</v>
      </c>
      <c r="DL72" s="197">
        <f>'Arable NPV'!$H152</f>
        <v>888.75536799999986</v>
      </c>
      <c r="DM72" s="197">
        <f t="shared" si="213"/>
        <v>1357.3983679999997</v>
      </c>
      <c r="DN72" s="197">
        <f t="shared" si="214"/>
        <v>-1357.3983679999997</v>
      </c>
      <c r="DO72" s="197">
        <f t="shared" si="215"/>
        <v>-1181.4483679999996</v>
      </c>
      <c r="DP72" s="196">
        <f t="shared" si="216"/>
        <v>0</v>
      </c>
      <c r="DQ72" s="197">
        <f t="shared" si="217"/>
        <v>123.62013612509521</v>
      </c>
      <c r="DR72" s="197">
        <f t="shared" si="218"/>
        <v>953.69008825315177</v>
      </c>
      <c r="DS72" s="197">
        <f t="shared" si="219"/>
        <v>-953.69008825315177</v>
      </c>
      <c r="DT72" s="199">
        <f t="shared" si="220"/>
        <v>-830.06995212805657</v>
      </c>
      <c r="DU72" s="196">
        <f t="shared" si="221"/>
        <v>0</v>
      </c>
      <c r="DV72" s="197">
        <f t="shared" si="222"/>
        <v>1484.1965968726179</v>
      </c>
      <c r="DW72" s="197">
        <f t="shared" si="223"/>
        <v>12479.704202458124</v>
      </c>
      <c r="DX72" s="197">
        <f t="shared" si="224"/>
        <v>-12479.704202458124</v>
      </c>
      <c r="DY72" s="199">
        <f t="shared" si="225"/>
        <v>-10995.507605585508</v>
      </c>
    </row>
    <row r="73" spans="2:129" x14ac:dyDescent="0.3">
      <c r="B73" s="900">
        <v>11</v>
      </c>
      <c r="C73" s="902" t="s">
        <v>4</v>
      </c>
      <c r="D73" s="760">
        <f>'Arable Inputs'!$D$18</f>
        <v>7.45</v>
      </c>
      <c r="E73" s="760">
        <f>'Arable Inputs'!$D$25</f>
        <v>193.7</v>
      </c>
      <c r="F73" s="760">
        <f>'Arable Inputs'!$D$19</f>
        <v>3.9</v>
      </c>
      <c r="G73" s="760">
        <f>'Arable Inputs'!$D$26</f>
        <v>73.449999999999989</v>
      </c>
      <c r="H73" s="762">
        <f>D73*E73+F73*G73</f>
        <v>1729.52</v>
      </c>
      <c r="I73" s="197">
        <f>'Arable NPV'!$E153</f>
        <v>175.95</v>
      </c>
      <c r="J73" s="197">
        <f t="shared" si="156"/>
        <v>1905.47</v>
      </c>
      <c r="K73" s="197">
        <f>'Arable NPV'!$G153</f>
        <v>671.92799999999988</v>
      </c>
      <c r="L73" s="197">
        <f>'Arable NPV'!$H153</f>
        <v>969.47373599999992</v>
      </c>
      <c r="M73" s="197">
        <f t="shared" si="157"/>
        <v>1641.4017359999998</v>
      </c>
      <c r="N73" s="197">
        <f t="shared" si="158"/>
        <v>88.118264000000181</v>
      </c>
      <c r="O73" s="197">
        <f t="shared" si="159"/>
        <v>264.06826400000023</v>
      </c>
      <c r="P73" s="196">
        <f t="shared" si="160"/>
        <v>1168.4017412675951</v>
      </c>
      <c r="Q73" s="197">
        <f t="shared" si="161"/>
        <v>118.86551550489925</v>
      </c>
      <c r="R73" s="197">
        <f t="shared" si="162"/>
        <v>1108.8721994900627</v>
      </c>
      <c r="S73" s="197">
        <f t="shared" si="163"/>
        <v>59.529541777532408</v>
      </c>
      <c r="T73" s="199">
        <f t="shared" si="164"/>
        <v>178.39505728243171</v>
      </c>
      <c r="U73" s="196">
        <f t="shared" si="165"/>
        <v>13145.051006031938</v>
      </c>
      <c r="V73" s="197">
        <f t="shared" si="166"/>
        <v>1603.0621123775172</v>
      </c>
      <c r="W73" s="197">
        <f t="shared" si="167"/>
        <v>13588.576401948187</v>
      </c>
      <c r="X73" s="197">
        <f t="shared" si="168"/>
        <v>-443.52539591625151</v>
      </c>
      <c r="Y73" s="199">
        <f t="shared" si="169"/>
        <v>1159.5367164612658</v>
      </c>
      <c r="Z73" s="197"/>
      <c r="AB73" s="900">
        <v>11</v>
      </c>
      <c r="AC73" s="902" t="s">
        <v>4</v>
      </c>
      <c r="AD73" s="760">
        <f>'Arable Inputs'!$D$18</f>
        <v>7.45</v>
      </c>
      <c r="AE73" s="760">
        <f>'Arable Inputs'!$D$25+0.5*'Arable Inputs'!$D$25</f>
        <v>290.54999999999995</v>
      </c>
      <c r="AF73" s="760">
        <f>'Arable Inputs'!$D$19</f>
        <v>3.9</v>
      </c>
      <c r="AG73" s="760">
        <f>'Arable Inputs'!$D$26+0.5*'Arable Inputs'!$D$26</f>
        <v>110.17499999999998</v>
      </c>
      <c r="AH73" s="762">
        <f>AD73*AE73+AF73*AG73</f>
        <v>2594.2799999999997</v>
      </c>
      <c r="AI73" s="197">
        <f>'Arable NPV'!$E153</f>
        <v>175.95</v>
      </c>
      <c r="AJ73" s="197">
        <f t="shared" si="170"/>
        <v>2770.2299999999996</v>
      </c>
      <c r="AK73" s="197">
        <f>'Arable NPV'!$G153</f>
        <v>671.92799999999988</v>
      </c>
      <c r="AL73" s="197">
        <f>'Arable NPV'!$H153</f>
        <v>969.47373599999992</v>
      </c>
      <c r="AM73" s="197">
        <f t="shared" si="171"/>
        <v>1641.4017359999998</v>
      </c>
      <c r="AN73" s="197">
        <f t="shared" si="172"/>
        <v>952.87826399999994</v>
      </c>
      <c r="AO73" s="197">
        <f t="shared" si="173"/>
        <v>1128.8282639999998</v>
      </c>
      <c r="AP73" s="196">
        <f t="shared" si="174"/>
        <v>1752.6026119013925</v>
      </c>
      <c r="AQ73" s="197">
        <f t="shared" si="175"/>
        <v>118.86551550489925</v>
      </c>
      <c r="AR73" s="197">
        <f t="shared" si="176"/>
        <v>1108.8721994900627</v>
      </c>
      <c r="AS73" s="197">
        <f t="shared" si="177"/>
        <v>643.73041241132978</v>
      </c>
      <c r="AT73" s="199">
        <f t="shared" si="178"/>
        <v>762.5959279162289</v>
      </c>
      <c r="AU73" s="196">
        <f t="shared" si="179"/>
        <v>19717.576509047904</v>
      </c>
      <c r="AV73" s="197">
        <f t="shared" si="180"/>
        <v>1603.0621123775172</v>
      </c>
      <c r="AW73" s="197">
        <f t="shared" si="181"/>
        <v>13588.576401948187</v>
      </c>
      <c r="AX73" s="197">
        <f t="shared" si="182"/>
        <v>6129.0001070997178</v>
      </c>
      <c r="AY73" s="199">
        <f t="shared" si="183"/>
        <v>7732.0622194772341</v>
      </c>
      <c r="BB73" s="900">
        <v>11</v>
      </c>
      <c r="BC73" s="902" t="s">
        <v>4</v>
      </c>
      <c r="BD73" s="760">
        <f>'Arable Inputs'!$D$18</f>
        <v>7.45</v>
      </c>
      <c r="BE73" s="760">
        <f>'Arable Inputs'!$D$25-0.5*'Arable Inputs'!$D$25</f>
        <v>96.85</v>
      </c>
      <c r="BF73" s="760">
        <f>'Arable Inputs'!$D$19</f>
        <v>3.9</v>
      </c>
      <c r="BG73" s="760">
        <f>'Arable Inputs'!$D$26-0.5*'Arable Inputs'!$D$26</f>
        <v>36.724999999999994</v>
      </c>
      <c r="BH73" s="762">
        <f>BD73*BE73+BF73*BG73</f>
        <v>864.76</v>
      </c>
      <c r="BI73" s="197">
        <f>'Arable NPV'!$E153</f>
        <v>175.95</v>
      </c>
      <c r="BJ73" s="197">
        <f t="shared" si="184"/>
        <v>1040.71</v>
      </c>
      <c r="BK73" s="197">
        <f>'Arable NPV'!$G153</f>
        <v>671.92799999999988</v>
      </c>
      <c r="BL73" s="197">
        <f>'Arable NPV'!$H153</f>
        <v>969.47373599999992</v>
      </c>
      <c r="BM73" s="197">
        <f t="shared" si="185"/>
        <v>1641.4017359999998</v>
      </c>
      <c r="BN73" s="197">
        <f t="shared" si="186"/>
        <v>-776.64173599999981</v>
      </c>
      <c r="BO73" s="197">
        <f t="shared" si="187"/>
        <v>-600.69173599999976</v>
      </c>
      <c r="BP73" s="196">
        <f t="shared" si="188"/>
        <v>584.20087063379754</v>
      </c>
      <c r="BQ73" s="197">
        <f t="shared" si="189"/>
        <v>118.86551550489925</v>
      </c>
      <c r="BR73" s="197">
        <f t="shared" si="190"/>
        <v>1108.8721994900627</v>
      </c>
      <c r="BS73" s="197">
        <f t="shared" si="191"/>
        <v>-524.67132885626518</v>
      </c>
      <c r="BT73" s="199">
        <f t="shared" si="192"/>
        <v>-405.80581335136583</v>
      </c>
      <c r="BU73" s="196">
        <f t="shared" si="193"/>
        <v>6572.5255030159688</v>
      </c>
      <c r="BV73" s="197">
        <f t="shared" si="194"/>
        <v>1603.0621123775172</v>
      </c>
      <c r="BW73" s="197">
        <f t="shared" si="195"/>
        <v>13588.576401948187</v>
      </c>
      <c r="BX73" s="197">
        <f t="shared" si="196"/>
        <v>-7016.0508989322179</v>
      </c>
      <c r="BY73" s="199">
        <f t="shared" si="197"/>
        <v>-5412.9887865547025</v>
      </c>
      <c r="CB73" s="900">
        <v>11</v>
      </c>
      <c r="CC73" s="902" t="s">
        <v>4</v>
      </c>
      <c r="CD73" s="760">
        <f>'Arable Inputs'!$D$18</f>
        <v>7.45</v>
      </c>
      <c r="CE73" s="760">
        <f>'Arable Inputs'!$D$25+'Arable Inputs'!$D$25</f>
        <v>387.4</v>
      </c>
      <c r="CF73" s="760">
        <f>'Arable Inputs'!$D$19</f>
        <v>3.9</v>
      </c>
      <c r="CG73" s="760">
        <f>'Arable Inputs'!$D$26+'Arable Inputs'!$D$26</f>
        <v>146.89999999999998</v>
      </c>
      <c r="CH73" s="762">
        <f>CD73*CE73+CF73*CG73</f>
        <v>3459.04</v>
      </c>
      <c r="CI73" s="197">
        <f>'Arable NPV'!$E153</f>
        <v>175.95</v>
      </c>
      <c r="CJ73" s="197">
        <f t="shared" si="198"/>
        <v>3634.99</v>
      </c>
      <c r="CK73" s="197">
        <f>'Arable NPV'!$G153</f>
        <v>671.92799999999988</v>
      </c>
      <c r="CL73" s="197">
        <f>'Arable NPV'!$H153</f>
        <v>969.47373599999992</v>
      </c>
      <c r="CM73" s="197">
        <f t="shared" si="199"/>
        <v>1641.4017359999998</v>
      </c>
      <c r="CN73" s="197">
        <f t="shared" si="200"/>
        <v>1817.6382640000002</v>
      </c>
      <c r="CO73" s="197">
        <f t="shared" si="201"/>
        <v>1993.588264</v>
      </c>
      <c r="CP73" s="196">
        <f t="shared" si="202"/>
        <v>2336.8034825351901</v>
      </c>
      <c r="CQ73" s="197">
        <f t="shared" si="203"/>
        <v>118.86551550489925</v>
      </c>
      <c r="CR73" s="197">
        <f t="shared" si="204"/>
        <v>1108.8721994900627</v>
      </c>
      <c r="CS73" s="197">
        <f t="shared" si="205"/>
        <v>1227.9312830451274</v>
      </c>
      <c r="CT73" s="199">
        <f t="shared" si="206"/>
        <v>1346.7967985500266</v>
      </c>
      <c r="CU73" s="196">
        <f t="shared" si="207"/>
        <v>26290.102012063875</v>
      </c>
      <c r="CV73" s="197">
        <f t="shared" si="208"/>
        <v>1603.0621123775172</v>
      </c>
      <c r="CW73" s="197">
        <f t="shared" si="209"/>
        <v>13588.576401948187</v>
      </c>
      <c r="CX73" s="197">
        <f t="shared" si="210"/>
        <v>12701.525610115685</v>
      </c>
      <c r="CY73" s="199">
        <f t="shared" si="211"/>
        <v>14304.587722493201</v>
      </c>
      <c r="DB73" s="204">
        <f t="shared" si="226"/>
        <v>11</v>
      </c>
      <c r="DC73" s="902" t="s">
        <v>4</v>
      </c>
      <c r="DD73" s="760">
        <f>'Arable Inputs'!$D$18</f>
        <v>7.45</v>
      </c>
      <c r="DE73" s="760">
        <f>'Arable Inputs'!$D$25-'Arable Inputs'!$D$25</f>
        <v>0</v>
      </c>
      <c r="DF73" s="760">
        <f>'Arable Inputs'!$D$19</f>
        <v>3.9</v>
      </c>
      <c r="DG73" s="760">
        <f>'Arable Inputs'!$D$26-'Arable Inputs'!$D$26</f>
        <v>0</v>
      </c>
      <c r="DH73" s="762">
        <f>DD73*DE73+DF73*DG73</f>
        <v>0</v>
      </c>
      <c r="DI73" s="197">
        <f>'Arable NPV'!$E153</f>
        <v>175.95</v>
      </c>
      <c r="DJ73" s="197">
        <f t="shared" si="212"/>
        <v>175.95</v>
      </c>
      <c r="DK73" s="197">
        <f>'Arable NPV'!$G153</f>
        <v>671.92799999999988</v>
      </c>
      <c r="DL73" s="197">
        <f>'Arable NPV'!$H153</f>
        <v>969.47373599999992</v>
      </c>
      <c r="DM73" s="197">
        <f t="shared" si="213"/>
        <v>1641.4017359999998</v>
      </c>
      <c r="DN73" s="197">
        <f t="shared" si="214"/>
        <v>-1641.4017359999998</v>
      </c>
      <c r="DO73" s="197">
        <f t="shared" si="215"/>
        <v>-1465.4517359999998</v>
      </c>
      <c r="DP73" s="196">
        <f t="shared" si="216"/>
        <v>0</v>
      </c>
      <c r="DQ73" s="197">
        <f t="shared" si="217"/>
        <v>118.86551550489925</v>
      </c>
      <c r="DR73" s="197">
        <f t="shared" si="218"/>
        <v>1108.8721994900627</v>
      </c>
      <c r="DS73" s="197">
        <f t="shared" si="219"/>
        <v>-1108.8721994900627</v>
      </c>
      <c r="DT73" s="199">
        <f t="shared" si="220"/>
        <v>-990.00668398516336</v>
      </c>
      <c r="DU73" s="196">
        <f t="shared" si="221"/>
        <v>0</v>
      </c>
      <c r="DV73" s="197">
        <f t="shared" si="222"/>
        <v>1603.0621123775172</v>
      </c>
      <c r="DW73" s="197">
        <f t="shared" si="223"/>
        <v>13588.576401948187</v>
      </c>
      <c r="DX73" s="197">
        <f t="shared" si="224"/>
        <v>-13588.576401948187</v>
      </c>
      <c r="DY73" s="199">
        <f t="shared" si="225"/>
        <v>-11985.51428957067</v>
      </c>
    </row>
    <row r="74" spans="2:129" x14ac:dyDescent="0.3">
      <c r="B74" s="900">
        <v>12</v>
      </c>
      <c r="C74" s="902" t="s">
        <v>7</v>
      </c>
      <c r="D74" s="760">
        <f>'Arable Inputs'!$G$18</f>
        <v>63.1</v>
      </c>
      <c r="E74" s="760">
        <f>'Arable Inputs'!$G$25</f>
        <v>26</v>
      </c>
      <c r="H74" s="762">
        <f>D74*E74</f>
        <v>1640.6000000000001</v>
      </c>
      <c r="I74" s="197">
        <f>'Arable NPV'!$E154</f>
        <v>175.95</v>
      </c>
      <c r="J74" s="197">
        <f t="shared" si="156"/>
        <v>1816.5500000000002</v>
      </c>
      <c r="K74" s="197">
        <f>'Arable NPV'!$G154</f>
        <v>819.30399999999986</v>
      </c>
      <c r="L74" s="197">
        <f>'Arable NPV'!$H154</f>
        <v>996.95456799999988</v>
      </c>
      <c r="M74" s="197">
        <f t="shared" si="157"/>
        <v>1816.2585679999997</v>
      </c>
      <c r="N74" s="197">
        <f t="shared" si="158"/>
        <v>-175.6585679999996</v>
      </c>
      <c r="O74" s="197">
        <f t="shared" si="159"/>
        <v>0.29143200000044089</v>
      </c>
      <c r="P74" s="196">
        <f t="shared" si="160"/>
        <v>1065.7024763226973</v>
      </c>
      <c r="Q74" s="197">
        <f t="shared" si="161"/>
        <v>114.29376490855698</v>
      </c>
      <c r="R74" s="197">
        <f t="shared" si="162"/>
        <v>1179.8069325612068</v>
      </c>
      <c r="S74" s="197">
        <f t="shared" si="163"/>
        <v>-114.10445623850939</v>
      </c>
      <c r="T74" s="199">
        <f t="shared" si="164"/>
        <v>0.18930867004763269</v>
      </c>
      <c r="U74" s="196">
        <f t="shared" si="165"/>
        <v>14210.753482354634</v>
      </c>
      <c r="V74" s="197">
        <f t="shared" si="166"/>
        <v>1717.3558772860742</v>
      </c>
      <c r="W74" s="197">
        <f t="shared" si="167"/>
        <v>14768.383334509394</v>
      </c>
      <c r="X74" s="197">
        <f t="shared" si="168"/>
        <v>-557.6298521547609</v>
      </c>
      <c r="Y74" s="199">
        <f t="shared" si="169"/>
        <v>1159.7260251313135</v>
      </c>
      <c r="Z74" s="197"/>
      <c r="AB74" s="900">
        <v>12</v>
      </c>
      <c r="AC74" s="902" t="s">
        <v>7</v>
      </c>
      <c r="AD74" s="760">
        <f>'Arable Inputs'!$G$18</f>
        <v>63.1</v>
      </c>
      <c r="AE74" s="760">
        <f>'Arable Inputs'!$G$25+0.5*'Arable Inputs'!$G$25</f>
        <v>39</v>
      </c>
      <c r="AH74" s="762">
        <f>AD74*AE74</f>
        <v>2460.9</v>
      </c>
      <c r="AI74" s="197">
        <f>'Arable NPV'!$E154</f>
        <v>175.95</v>
      </c>
      <c r="AJ74" s="197">
        <f t="shared" si="170"/>
        <v>2636.85</v>
      </c>
      <c r="AK74" s="197">
        <f>'Arable NPV'!$G154</f>
        <v>819.30399999999986</v>
      </c>
      <c r="AL74" s="197">
        <f>'Arable NPV'!$H154</f>
        <v>996.95456799999988</v>
      </c>
      <c r="AM74" s="197">
        <f t="shared" si="171"/>
        <v>1816.2585679999997</v>
      </c>
      <c r="AN74" s="197">
        <f t="shared" si="172"/>
        <v>644.64143200000035</v>
      </c>
      <c r="AO74" s="197">
        <f t="shared" si="173"/>
        <v>820.59143200000017</v>
      </c>
      <c r="AP74" s="196">
        <f t="shared" si="174"/>
        <v>1598.5537144840459</v>
      </c>
      <c r="AQ74" s="197">
        <f t="shared" si="175"/>
        <v>114.29376490855698</v>
      </c>
      <c r="AR74" s="197">
        <f t="shared" si="176"/>
        <v>1179.8069325612068</v>
      </c>
      <c r="AS74" s="197">
        <f t="shared" si="177"/>
        <v>418.74678192283926</v>
      </c>
      <c r="AT74" s="199">
        <f t="shared" si="178"/>
        <v>533.04054683139611</v>
      </c>
      <c r="AU74" s="196">
        <f t="shared" si="179"/>
        <v>21316.130223531949</v>
      </c>
      <c r="AV74" s="197">
        <f t="shared" si="180"/>
        <v>1717.3558772860742</v>
      </c>
      <c r="AW74" s="197">
        <f t="shared" si="181"/>
        <v>14768.383334509394</v>
      </c>
      <c r="AX74" s="197">
        <f t="shared" si="182"/>
        <v>6547.7468890225573</v>
      </c>
      <c r="AY74" s="199">
        <f t="shared" si="183"/>
        <v>8265.1027663086297</v>
      </c>
      <c r="BB74" s="900">
        <v>12</v>
      </c>
      <c r="BC74" s="902" t="s">
        <v>7</v>
      </c>
      <c r="BD74" s="760">
        <f>'Arable Inputs'!$G$18</f>
        <v>63.1</v>
      </c>
      <c r="BE74" s="760">
        <f>'Arable Inputs'!$G$25-0.5*'Arable Inputs'!$G$25</f>
        <v>13</v>
      </c>
      <c r="BH74" s="762">
        <f>BD74*BE74</f>
        <v>820.30000000000007</v>
      </c>
      <c r="BI74" s="197">
        <f>'Arable NPV'!$E154</f>
        <v>175.95</v>
      </c>
      <c r="BJ74" s="197">
        <f t="shared" si="184"/>
        <v>996.25</v>
      </c>
      <c r="BK74" s="197">
        <f>'Arable NPV'!$G154</f>
        <v>819.30399999999986</v>
      </c>
      <c r="BL74" s="197">
        <f>'Arable NPV'!$H154</f>
        <v>996.95456799999988</v>
      </c>
      <c r="BM74" s="197">
        <f t="shared" si="185"/>
        <v>1816.2585679999997</v>
      </c>
      <c r="BN74" s="197">
        <f t="shared" si="186"/>
        <v>-995.95856799999967</v>
      </c>
      <c r="BO74" s="197">
        <f t="shared" si="187"/>
        <v>-820.00856799999974</v>
      </c>
      <c r="BP74" s="196">
        <f t="shared" si="188"/>
        <v>532.85123816134865</v>
      </c>
      <c r="BQ74" s="197">
        <f t="shared" si="189"/>
        <v>114.29376490855698</v>
      </c>
      <c r="BR74" s="197">
        <f t="shared" si="190"/>
        <v>1179.8069325612068</v>
      </c>
      <c r="BS74" s="197">
        <f t="shared" si="191"/>
        <v>-646.95569439985809</v>
      </c>
      <c r="BT74" s="199">
        <f t="shared" si="192"/>
        <v>-532.66192949130118</v>
      </c>
      <c r="BU74" s="196">
        <f t="shared" si="193"/>
        <v>7105.3767411773169</v>
      </c>
      <c r="BV74" s="197">
        <f t="shared" si="194"/>
        <v>1717.3558772860742</v>
      </c>
      <c r="BW74" s="197">
        <f t="shared" si="195"/>
        <v>14768.383334509394</v>
      </c>
      <c r="BX74" s="197">
        <f t="shared" si="196"/>
        <v>-7663.0065933320757</v>
      </c>
      <c r="BY74" s="199">
        <f t="shared" si="197"/>
        <v>-5945.6507160460042</v>
      </c>
      <c r="CB74" s="900">
        <v>12</v>
      </c>
      <c r="CC74" s="902" t="s">
        <v>7</v>
      </c>
      <c r="CD74" s="760">
        <f>'Arable Inputs'!$G$18</f>
        <v>63.1</v>
      </c>
      <c r="CE74" s="760">
        <f>'Arable Inputs'!$G$25+'Arable Inputs'!$G$25</f>
        <v>52</v>
      </c>
      <c r="CH74" s="762">
        <f>CD74*CE74</f>
        <v>3281.2000000000003</v>
      </c>
      <c r="CI74" s="197">
        <f>'Arable NPV'!$E154</f>
        <v>175.95</v>
      </c>
      <c r="CJ74" s="197">
        <f t="shared" si="198"/>
        <v>3457.15</v>
      </c>
      <c r="CK74" s="197">
        <f>'Arable NPV'!$G154</f>
        <v>819.30399999999986</v>
      </c>
      <c r="CL74" s="197">
        <f>'Arable NPV'!$H154</f>
        <v>996.95456799999988</v>
      </c>
      <c r="CM74" s="197">
        <f t="shared" si="199"/>
        <v>1816.2585679999997</v>
      </c>
      <c r="CN74" s="197">
        <f t="shared" si="200"/>
        <v>1464.9414320000005</v>
      </c>
      <c r="CO74" s="197">
        <f t="shared" si="201"/>
        <v>1640.8914320000003</v>
      </c>
      <c r="CP74" s="196">
        <f t="shared" si="202"/>
        <v>2131.4049526453946</v>
      </c>
      <c r="CQ74" s="197">
        <f t="shared" si="203"/>
        <v>114.29376490855698</v>
      </c>
      <c r="CR74" s="197">
        <f t="shared" si="204"/>
        <v>1179.8069325612068</v>
      </c>
      <c r="CS74" s="197">
        <f t="shared" si="205"/>
        <v>951.59802008418797</v>
      </c>
      <c r="CT74" s="199">
        <f t="shared" si="206"/>
        <v>1065.8917849927448</v>
      </c>
      <c r="CU74" s="196">
        <f t="shared" si="207"/>
        <v>28421.506964709268</v>
      </c>
      <c r="CV74" s="197">
        <f t="shared" si="208"/>
        <v>1717.3558772860742</v>
      </c>
      <c r="CW74" s="197">
        <f t="shared" si="209"/>
        <v>14768.383334509394</v>
      </c>
      <c r="CX74" s="197">
        <f t="shared" si="210"/>
        <v>13653.123630199872</v>
      </c>
      <c r="CY74" s="199">
        <f t="shared" si="211"/>
        <v>15370.479507485947</v>
      </c>
      <c r="DB74" s="204">
        <f t="shared" si="226"/>
        <v>12</v>
      </c>
      <c r="DC74" s="902" t="s">
        <v>7</v>
      </c>
      <c r="DD74" s="760">
        <f>'Arable Inputs'!$G$18</f>
        <v>63.1</v>
      </c>
      <c r="DE74" s="760">
        <f>'Arable Inputs'!$G$25-'Arable Inputs'!$G$25</f>
        <v>0</v>
      </c>
      <c r="DH74" s="762">
        <f>DD74*DE74</f>
        <v>0</v>
      </c>
      <c r="DI74" s="197">
        <f>'Arable NPV'!$E154</f>
        <v>175.95</v>
      </c>
      <c r="DJ74" s="197">
        <f t="shared" si="212"/>
        <v>175.95</v>
      </c>
      <c r="DK74" s="197">
        <f>'Arable NPV'!$G154</f>
        <v>819.30399999999986</v>
      </c>
      <c r="DL74" s="197">
        <f>'Arable NPV'!$H154</f>
        <v>996.95456799999988</v>
      </c>
      <c r="DM74" s="197">
        <f t="shared" si="213"/>
        <v>1816.2585679999997</v>
      </c>
      <c r="DN74" s="197">
        <f t="shared" si="214"/>
        <v>-1816.2585679999997</v>
      </c>
      <c r="DO74" s="197">
        <f t="shared" si="215"/>
        <v>-1640.3085679999997</v>
      </c>
      <c r="DP74" s="196">
        <f t="shared" si="216"/>
        <v>0</v>
      </c>
      <c r="DQ74" s="197">
        <f t="shared" si="217"/>
        <v>114.29376490855698</v>
      </c>
      <c r="DR74" s="197">
        <f t="shared" si="218"/>
        <v>1179.8069325612068</v>
      </c>
      <c r="DS74" s="197">
        <f t="shared" si="219"/>
        <v>-1179.8069325612068</v>
      </c>
      <c r="DT74" s="199">
        <f t="shared" si="220"/>
        <v>-1065.5131676526498</v>
      </c>
      <c r="DU74" s="196">
        <f t="shared" si="221"/>
        <v>0</v>
      </c>
      <c r="DV74" s="197">
        <f t="shared" si="222"/>
        <v>1717.3558772860742</v>
      </c>
      <c r="DW74" s="197">
        <f t="shared" si="223"/>
        <v>14768.383334509394</v>
      </c>
      <c r="DX74" s="197">
        <f t="shared" si="224"/>
        <v>-14768.383334509394</v>
      </c>
      <c r="DY74" s="199">
        <f t="shared" si="225"/>
        <v>-13051.027457223321</v>
      </c>
    </row>
    <row r="75" spans="2:129" x14ac:dyDescent="0.3">
      <c r="B75" s="900">
        <v>13</v>
      </c>
      <c r="C75" s="902" t="s">
        <v>260</v>
      </c>
      <c r="D75" s="760">
        <f>'Arable Inputs'!$H$18</f>
        <v>8.14</v>
      </c>
      <c r="E75" s="760">
        <f>'Arable Inputs'!$H$25</f>
        <v>182.8</v>
      </c>
      <c r="H75" s="762">
        <f>D75*E75</f>
        <v>1487.9920000000002</v>
      </c>
      <c r="I75" s="197">
        <f>'Arable NPV'!$E155</f>
        <v>175.95</v>
      </c>
      <c r="J75" s="197">
        <f t="shared" si="156"/>
        <v>1663.9420000000002</v>
      </c>
      <c r="K75" s="197">
        <f>'Arable NPV'!$G155</f>
        <v>574.23049999999989</v>
      </c>
      <c r="L75" s="197">
        <f>'Arable NPV'!$H155</f>
        <v>636.366536</v>
      </c>
      <c r="M75" s="197">
        <f t="shared" si="157"/>
        <v>1210.5970359999999</v>
      </c>
      <c r="N75" s="197">
        <f t="shared" si="158"/>
        <v>277.3949640000003</v>
      </c>
      <c r="O75" s="197">
        <f t="shared" si="159"/>
        <v>453.34496400000035</v>
      </c>
      <c r="P75" s="196">
        <f t="shared" si="160"/>
        <v>929.39541299874043</v>
      </c>
      <c r="Q75" s="197">
        <f t="shared" si="161"/>
        <v>109.89785087361246</v>
      </c>
      <c r="R75" s="197">
        <f t="shared" si="162"/>
        <v>756.13533691597183</v>
      </c>
      <c r="S75" s="197">
        <f t="shared" si="163"/>
        <v>173.26007608276856</v>
      </c>
      <c r="T75" s="199">
        <f t="shared" si="164"/>
        <v>283.15792695638106</v>
      </c>
      <c r="U75" s="196">
        <f t="shared" si="165"/>
        <v>15140.148895353374</v>
      </c>
      <c r="V75" s="197">
        <f t="shared" si="166"/>
        <v>1827.2537281596867</v>
      </c>
      <c r="W75" s="197">
        <f t="shared" si="167"/>
        <v>15524.518671425365</v>
      </c>
      <c r="X75" s="197">
        <f t="shared" si="168"/>
        <v>-384.36977607199231</v>
      </c>
      <c r="Y75" s="199">
        <f t="shared" si="169"/>
        <v>1442.8839520876945</v>
      </c>
      <c r="Z75" s="197"/>
      <c r="AB75" s="900">
        <v>13</v>
      </c>
      <c r="AC75" s="902" t="s">
        <v>31</v>
      </c>
      <c r="AD75" s="760">
        <f>'Arable Inputs'!$H$18</f>
        <v>8.14</v>
      </c>
      <c r="AE75" s="760">
        <f>'Arable Inputs'!$H$25+0.5*'Arable Inputs'!$H$25</f>
        <v>274.20000000000005</v>
      </c>
      <c r="AH75" s="762">
        <f>AD75*AE75</f>
        <v>2231.9880000000007</v>
      </c>
      <c r="AI75" s="197">
        <f>'Arable NPV'!$E155</f>
        <v>175.95</v>
      </c>
      <c r="AJ75" s="197">
        <f t="shared" si="170"/>
        <v>2407.9380000000006</v>
      </c>
      <c r="AK75" s="197">
        <f>'Arable NPV'!$G155</f>
        <v>574.23049999999989</v>
      </c>
      <c r="AL75" s="197">
        <f>'Arable NPV'!$H155</f>
        <v>636.366536</v>
      </c>
      <c r="AM75" s="197">
        <f t="shared" si="171"/>
        <v>1210.5970359999999</v>
      </c>
      <c r="AN75" s="197">
        <f t="shared" si="172"/>
        <v>1021.3909640000008</v>
      </c>
      <c r="AO75" s="197">
        <f t="shared" si="173"/>
        <v>1197.3409640000007</v>
      </c>
      <c r="AP75" s="196">
        <f t="shared" si="174"/>
        <v>1394.0931194981108</v>
      </c>
      <c r="AQ75" s="197">
        <f t="shared" si="175"/>
        <v>109.89785087361246</v>
      </c>
      <c r="AR75" s="197">
        <f t="shared" si="176"/>
        <v>756.13533691597183</v>
      </c>
      <c r="AS75" s="197">
        <f t="shared" si="177"/>
        <v>637.95778258213909</v>
      </c>
      <c r="AT75" s="199">
        <f t="shared" si="178"/>
        <v>747.85563345575144</v>
      </c>
      <c r="AU75" s="196">
        <f t="shared" si="179"/>
        <v>22710.223343030058</v>
      </c>
      <c r="AV75" s="197">
        <f t="shared" si="180"/>
        <v>1827.2537281596867</v>
      </c>
      <c r="AW75" s="197">
        <f t="shared" si="181"/>
        <v>15524.518671425365</v>
      </c>
      <c r="AX75" s="197">
        <f t="shared" si="182"/>
        <v>7185.7046716046962</v>
      </c>
      <c r="AY75" s="199">
        <f t="shared" si="183"/>
        <v>9012.9583997643804</v>
      </c>
      <c r="BB75" s="900">
        <v>13</v>
      </c>
      <c r="BC75" s="902" t="s">
        <v>31</v>
      </c>
      <c r="BD75" s="760">
        <f>'Arable Inputs'!$H$18</f>
        <v>8.14</v>
      </c>
      <c r="BE75" s="760">
        <f>'Arable Inputs'!$H$25-0.5*'Arable Inputs'!$H$25</f>
        <v>91.4</v>
      </c>
      <c r="BH75" s="762">
        <f>BD75*BE75</f>
        <v>743.99600000000009</v>
      </c>
      <c r="BI75" s="197">
        <f>'Arable NPV'!$E155</f>
        <v>175.95</v>
      </c>
      <c r="BJ75" s="197">
        <f t="shared" si="184"/>
        <v>919.94600000000014</v>
      </c>
      <c r="BK75" s="197">
        <f>'Arable NPV'!$G155</f>
        <v>574.23049999999989</v>
      </c>
      <c r="BL75" s="197">
        <f>'Arable NPV'!$H155</f>
        <v>636.366536</v>
      </c>
      <c r="BM75" s="197">
        <f t="shared" si="185"/>
        <v>1210.5970359999999</v>
      </c>
      <c r="BN75" s="197">
        <f t="shared" si="186"/>
        <v>-466.60103599999979</v>
      </c>
      <c r="BO75" s="197">
        <f t="shared" si="187"/>
        <v>-290.65103599999975</v>
      </c>
      <c r="BP75" s="196">
        <f t="shared" si="188"/>
        <v>464.69770649937021</v>
      </c>
      <c r="BQ75" s="197">
        <f t="shared" si="189"/>
        <v>109.89785087361246</v>
      </c>
      <c r="BR75" s="197">
        <f t="shared" si="190"/>
        <v>756.13533691597183</v>
      </c>
      <c r="BS75" s="197">
        <f t="shared" si="191"/>
        <v>-291.43763041660162</v>
      </c>
      <c r="BT75" s="199">
        <f t="shared" si="192"/>
        <v>-181.53977954298915</v>
      </c>
      <c r="BU75" s="196">
        <f t="shared" si="193"/>
        <v>7570.0744476766868</v>
      </c>
      <c r="BV75" s="197">
        <f t="shared" si="194"/>
        <v>1827.2537281596867</v>
      </c>
      <c r="BW75" s="197">
        <f t="shared" si="195"/>
        <v>15524.518671425365</v>
      </c>
      <c r="BX75" s="197">
        <f t="shared" si="196"/>
        <v>-7954.4442237486774</v>
      </c>
      <c r="BY75" s="199">
        <f t="shared" si="197"/>
        <v>-6127.1904955889931</v>
      </c>
      <c r="CB75" s="900">
        <v>13</v>
      </c>
      <c r="CC75" s="902" t="s">
        <v>31</v>
      </c>
      <c r="CD75" s="760">
        <f>'Arable Inputs'!$H$18</f>
        <v>8.14</v>
      </c>
      <c r="CE75" s="760">
        <f>'Arable Inputs'!$H$25+'Arable Inputs'!$H$25</f>
        <v>365.6</v>
      </c>
      <c r="CH75" s="762">
        <f>CD75*CE75</f>
        <v>2975.9840000000004</v>
      </c>
      <c r="CI75" s="197">
        <f>'Arable NPV'!$E155</f>
        <v>175.95</v>
      </c>
      <c r="CJ75" s="197">
        <f t="shared" si="198"/>
        <v>3151.9340000000002</v>
      </c>
      <c r="CK75" s="197">
        <f>'Arable NPV'!$G155</f>
        <v>574.23049999999989</v>
      </c>
      <c r="CL75" s="197">
        <f>'Arable NPV'!$H155</f>
        <v>636.366536</v>
      </c>
      <c r="CM75" s="197">
        <f t="shared" si="199"/>
        <v>1210.5970359999999</v>
      </c>
      <c r="CN75" s="197">
        <f t="shared" si="200"/>
        <v>1765.3869640000005</v>
      </c>
      <c r="CO75" s="197">
        <f t="shared" si="201"/>
        <v>1941.3369640000003</v>
      </c>
      <c r="CP75" s="196">
        <f t="shared" si="202"/>
        <v>1858.7908259974809</v>
      </c>
      <c r="CQ75" s="197">
        <f t="shared" si="203"/>
        <v>109.89785087361246</v>
      </c>
      <c r="CR75" s="197">
        <f t="shared" si="204"/>
        <v>756.13533691597183</v>
      </c>
      <c r="CS75" s="197">
        <f t="shared" si="205"/>
        <v>1102.6554890815089</v>
      </c>
      <c r="CT75" s="199">
        <f t="shared" si="206"/>
        <v>1212.5533399551214</v>
      </c>
      <c r="CU75" s="196">
        <f t="shared" si="207"/>
        <v>30280.297790706747</v>
      </c>
      <c r="CV75" s="197">
        <f t="shared" si="208"/>
        <v>1827.2537281596867</v>
      </c>
      <c r="CW75" s="197">
        <f t="shared" si="209"/>
        <v>15524.518671425365</v>
      </c>
      <c r="CX75" s="197">
        <f t="shared" si="210"/>
        <v>14755.779119281382</v>
      </c>
      <c r="CY75" s="199">
        <f t="shared" si="211"/>
        <v>16583.032847441067</v>
      </c>
      <c r="DB75" s="204">
        <f t="shared" si="226"/>
        <v>13</v>
      </c>
      <c r="DC75" s="902" t="s">
        <v>31</v>
      </c>
      <c r="DD75" s="760">
        <f>'Arable Inputs'!$H$18</f>
        <v>8.14</v>
      </c>
      <c r="DE75" s="760">
        <f>'Arable Inputs'!$H$25-'Arable Inputs'!$H$25</f>
        <v>0</v>
      </c>
      <c r="DH75" s="762">
        <f>DD75*DE75</f>
        <v>0</v>
      </c>
      <c r="DI75" s="197">
        <f>'Arable NPV'!$E155</f>
        <v>175.95</v>
      </c>
      <c r="DJ75" s="197">
        <f t="shared" si="212"/>
        <v>175.95</v>
      </c>
      <c r="DK75" s="197">
        <f>'Arable NPV'!$G155</f>
        <v>574.23049999999989</v>
      </c>
      <c r="DL75" s="197">
        <f>'Arable NPV'!$H155</f>
        <v>636.366536</v>
      </c>
      <c r="DM75" s="197">
        <f t="shared" si="213"/>
        <v>1210.5970359999999</v>
      </c>
      <c r="DN75" s="197">
        <f t="shared" si="214"/>
        <v>-1210.5970359999999</v>
      </c>
      <c r="DO75" s="197">
        <f t="shared" si="215"/>
        <v>-1034.6470359999998</v>
      </c>
      <c r="DP75" s="196">
        <f t="shared" si="216"/>
        <v>0</v>
      </c>
      <c r="DQ75" s="197">
        <f t="shared" si="217"/>
        <v>109.89785087361246</v>
      </c>
      <c r="DR75" s="197">
        <f t="shared" si="218"/>
        <v>756.13533691597183</v>
      </c>
      <c r="DS75" s="197">
        <f t="shared" si="219"/>
        <v>-756.13533691597183</v>
      </c>
      <c r="DT75" s="199">
        <f t="shared" si="220"/>
        <v>-646.23748604235936</v>
      </c>
      <c r="DU75" s="196">
        <f t="shared" si="221"/>
        <v>0</v>
      </c>
      <c r="DV75" s="197">
        <f t="shared" si="222"/>
        <v>1827.2537281596867</v>
      </c>
      <c r="DW75" s="197">
        <f t="shared" si="223"/>
        <v>15524.518671425365</v>
      </c>
      <c r="DX75" s="197">
        <f t="shared" si="224"/>
        <v>-15524.518671425365</v>
      </c>
      <c r="DY75" s="199">
        <f t="shared" si="225"/>
        <v>-13697.26494326568</v>
      </c>
    </row>
    <row r="76" spans="2:129" x14ac:dyDescent="0.3">
      <c r="B76" s="900">
        <v>14</v>
      </c>
      <c r="C76" s="902" t="s">
        <v>6</v>
      </c>
      <c r="D76" s="760">
        <f>'Arable Inputs'!$F$18</f>
        <v>3.3</v>
      </c>
      <c r="E76" s="760">
        <f>'Arable Inputs'!$F$25</f>
        <v>345.1</v>
      </c>
      <c r="F76" s="760">
        <f>'Arable Inputs'!$F$19</f>
        <v>2.6</v>
      </c>
      <c r="G76" s="760">
        <f>'Arable Inputs'!$F$26</f>
        <v>42.374999999999993</v>
      </c>
      <c r="H76" s="762">
        <f>D76*E76+F76*G76</f>
        <v>1249.0049999999999</v>
      </c>
      <c r="I76" s="197">
        <f>'Arable NPV'!$E156</f>
        <v>175.95</v>
      </c>
      <c r="J76" s="197">
        <f t="shared" si="156"/>
        <v>1424.9549999999999</v>
      </c>
      <c r="K76" s="197">
        <f>'Arable NPV'!$G156</f>
        <v>619.745</v>
      </c>
      <c r="L76" s="197">
        <f>'Arable NPV'!$H156</f>
        <v>710.23622685714281</v>
      </c>
      <c r="M76" s="197">
        <f t="shared" si="157"/>
        <v>1329.9812268571427</v>
      </c>
      <c r="N76" s="197">
        <f t="shared" si="158"/>
        <v>-80.976226857142819</v>
      </c>
      <c r="O76" s="197">
        <f t="shared" si="159"/>
        <v>94.973773142857226</v>
      </c>
      <c r="P76" s="196">
        <f t="shared" si="160"/>
        <v>750.12003645264338</v>
      </c>
      <c r="Q76" s="197">
        <f t="shared" si="161"/>
        <v>105.67101045539658</v>
      </c>
      <c r="R76" s="197">
        <f t="shared" si="162"/>
        <v>798.75225989600631</v>
      </c>
      <c r="S76" s="197">
        <f t="shared" si="163"/>
        <v>-48.632223443362918</v>
      </c>
      <c r="T76" s="199">
        <f t="shared" si="164"/>
        <v>57.038787012033701</v>
      </c>
      <c r="U76" s="196">
        <f t="shared" si="165"/>
        <v>15890.268931806017</v>
      </c>
      <c r="V76" s="197">
        <f t="shared" si="166"/>
        <v>1932.9247386150832</v>
      </c>
      <c r="W76" s="197">
        <f t="shared" si="167"/>
        <v>16323.270931321371</v>
      </c>
      <c r="X76" s="197">
        <f t="shared" si="168"/>
        <v>-433.00199951535524</v>
      </c>
      <c r="Y76" s="199">
        <f t="shared" si="169"/>
        <v>1499.9227390997282</v>
      </c>
      <c r="Z76" s="197"/>
      <c r="AB76" s="900">
        <v>14</v>
      </c>
      <c r="AC76" s="902" t="s">
        <v>6</v>
      </c>
      <c r="AD76" s="760">
        <f>'Arable Inputs'!$F$18</f>
        <v>3.3</v>
      </c>
      <c r="AE76" s="760">
        <f>'Arable Inputs'!$F$25+0.5*'Arable Inputs'!$F$25</f>
        <v>517.65000000000009</v>
      </c>
      <c r="AF76" s="760">
        <f>'Arable Inputs'!$F$19</f>
        <v>2.6</v>
      </c>
      <c r="AG76" s="760">
        <f>'Arable Inputs'!$F$26+0.5*'Arable Inputs'!$F$26</f>
        <v>63.562499999999986</v>
      </c>
      <c r="AH76" s="762">
        <f>AD76*AE76+AF76*AG76</f>
        <v>1873.5075000000002</v>
      </c>
      <c r="AI76" s="197">
        <f>'Arable NPV'!$E156</f>
        <v>175.95</v>
      </c>
      <c r="AJ76" s="197">
        <f t="shared" si="170"/>
        <v>2049.4575</v>
      </c>
      <c r="AK76" s="197">
        <f>'Arable NPV'!$G156</f>
        <v>619.745</v>
      </c>
      <c r="AL76" s="197">
        <f>'Arable NPV'!$H156</f>
        <v>710.23622685714281</v>
      </c>
      <c r="AM76" s="197">
        <f t="shared" si="171"/>
        <v>1329.9812268571427</v>
      </c>
      <c r="AN76" s="197">
        <f t="shared" si="172"/>
        <v>543.52627314285746</v>
      </c>
      <c r="AO76" s="197">
        <f t="shared" si="173"/>
        <v>719.47627314285728</v>
      </c>
      <c r="AP76" s="196">
        <f t="shared" si="174"/>
        <v>1125.1800546789652</v>
      </c>
      <c r="AQ76" s="197">
        <f t="shared" si="175"/>
        <v>105.67101045539658</v>
      </c>
      <c r="AR76" s="197">
        <f t="shared" si="176"/>
        <v>798.75225989600631</v>
      </c>
      <c r="AS76" s="197">
        <f t="shared" si="177"/>
        <v>326.42779478295898</v>
      </c>
      <c r="AT76" s="199">
        <f t="shared" si="178"/>
        <v>432.09880523835551</v>
      </c>
      <c r="AU76" s="196">
        <f t="shared" si="179"/>
        <v>23835.403397709022</v>
      </c>
      <c r="AV76" s="197">
        <f t="shared" si="180"/>
        <v>1932.9247386150832</v>
      </c>
      <c r="AW76" s="197">
        <f t="shared" si="181"/>
        <v>16323.270931321371</v>
      </c>
      <c r="AX76" s="197">
        <f t="shared" si="182"/>
        <v>7512.1324663876549</v>
      </c>
      <c r="AY76" s="199">
        <f t="shared" si="183"/>
        <v>9445.0572050027367</v>
      </c>
      <c r="BB76" s="900">
        <v>14</v>
      </c>
      <c r="BC76" s="902" t="s">
        <v>6</v>
      </c>
      <c r="BD76" s="760">
        <f>'Arable Inputs'!$F$18</f>
        <v>3.3</v>
      </c>
      <c r="BE76" s="760">
        <f>'Arable Inputs'!$F$25-0.5*'Arable Inputs'!$F$25</f>
        <v>172.55</v>
      </c>
      <c r="BF76" s="760">
        <f>'Arable Inputs'!$F$19</f>
        <v>2.6</v>
      </c>
      <c r="BG76" s="760">
        <f>'Arable Inputs'!$F$26-0.5*'Arable Inputs'!$F$26</f>
        <v>21.187499999999996</v>
      </c>
      <c r="BH76" s="762">
        <f>BD76*BE76+BF76*BG76</f>
        <v>624.50249999999994</v>
      </c>
      <c r="BI76" s="197">
        <f>'Arable NPV'!$E156</f>
        <v>175.95</v>
      </c>
      <c r="BJ76" s="197">
        <f t="shared" si="184"/>
        <v>800.45249999999987</v>
      </c>
      <c r="BK76" s="197">
        <f>'Arable NPV'!$G156</f>
        <v>619.745</v>
      </c>
      <c r="BL76" s="197">
        <f>'Arable NPV'!$H156</f>
        <v>710.23622685714281</v>
      </c>
      <c r="BM76" s="197">
        <f t="shared" si="185"/>
        <v>1329.9812268571427</v>
      </c>
      <c r="BN76" s="197">
        <f t="shared" si="186"/>
        <v>-705.47872685714276</v>
      </c>
      <c r="BO76" s="197">
        <f t="shared" si="187"/>
        <v>-529.52872685714283</v>
      </c>
      <c r="BP76" s="196">
        <f t="shared" si="188"/>
        <v>375.06001822632169</v>
      </c>
      <c r="BQ76" s="197">
        <f t="shared" si="189"/>
        <v>105.67101045539658</v>
      </c>
      <c r="BR76" s="197">
        <f t="shared" si="190"/>
        <v>798.75225989600631</v>
      </c>
      <c r="BS76" s="197">
        <f t="shared" si="191"/>
        <v>-423.69224166968462</v>
      </c>
      <c r="BT76" s="199">
        <f t="shared" si="192"/>
        <v>-318.02123121428809</v>
      </c>
      <c r="BU76" s="196">
        <f t="shared" si="193"/>
        <v>7945.1344659030083</v>
      </c>
      <c r="BV76" s="197">
        <f t="shared" si="194"/>
        <v>1932.9247386150832</v>
      </c>
      <c r="BW76" s="197">
        <f t="shared" si="195"/>
        <v>16323.270931321371</v>
      </c>
      <c r="BX76" s="197">
        <f t="shared" si="196"/>
        <v>-8378.1364654183617</v>
      </c>
      <c r="BY76" s="199">
        <f t="shared" si="197"/>
        <v>-6445.2117268032816</v>
      </c>
      <c r="CB76" s="900">
        <v>14</v>
      </c>
      <c r="CC76" s="902" t="s">
        <v>6</v>
      </c>
      <c r="CD76" s="760">
        <f>'Arable Inputs'!$F$18</f>
        <v>3.3</v>
      </c>
      <c r="CE76" s="760">
        <f>'Arable Inputs'!$F$25+'Arable Inputs'!$F$25</f>
        <v>690.2</v>
      </c>
      <c r="CF76" s="760">
        <f>'Arable Inputs'!$F$19</f>
        <v>2.6</v>
      </c>
      <c r="CG76" s="760">
        <f>'Arable Inputs'!$F$26+'Arable Inputs'!$F$26</f>
        <v>84.749999999999986</v>
      </c>
      <c r="CH76" s="762">
        <f>CD76*CE76+CF76*CG76</f>
        <v>2498.0099999999998</v>
      </c>
      <c r="CI76" s="197">
        <f>'Arable NPV'!$E156</f>
        <v>175.95</v>
      </c>
      <c r="CJ76" s="197">
        <f t="shared" si="198"/>
        <v>2673.9599999999996</v>
      </c>
      <c r="CK76" s="197">
        <f>'Arable NPV'!$G156</f>
        <v>619.745</v>
      </c>
      <c r="CL76" s="197">
        <f>'Arable NPV'!$H156</f>
        <v>710.23622685714281</v>
      </c>
      <c r="CM76" s="197">
        <f t="shared" si="199"/>
        <v>1329.9812268571427</v>
      </c>
      <c r="CN76" s="197">
        <f t="shared" si="200"/>
        <v>1168.0287731428571</v>
      </c>
      <c r="CO76" s="197">
        <f t="shared" si="201"/>
        <v>1343.9787731428569</v>
      </c>
      <c r="CP76" s="196">
        <f t="shared" si="202"/>
        <v>1500.2400729052868</v>
      </c>
      <c r="CQ76" s="197">
        <f t="shared" si="203"/>
        <v>105.67101045539658</v>
      </c>
      <c r="CR76" s="197">
        <f t="shared" si="204"/>
        <v>798.75225989600631</v>
      </c>
      <c r="CS76" s="197">
        <f t="shared" si="205"/>
        <v>701.48781300928056</v>
      </c>
      <c r="CT76" s="199">
        <f t="shared" si="206"/>
        <v>807.15882346467697</v>
      </c>
      <c r="CU76" s="196">
        <f t="shared" si="207"/>
        <v>31780.537863612033</v>
      </c>
      <c r="CV76" s="197">
        <f t="shared" si="208"/>
        <v>1932.9247386150832</v>
      </c>
      <c r="CW76" s="197">
        <f t="shared" si="209"/>
        <v>16323.270931321371</v>
      </c>
      <c r="CX76" s="197">
        <f t="shared" si="210"/>
        <v>15457.266932290662</v>
      </c>
      <c r="CY76" s="199">
        <f t="shared" si="211"/>
        <v>17390.191670905744</v>
      </c>
      <c r="DB76" s="204">
        <f t="shared" si="226"/>
        <v>14</v>
      </c>
      <c r="DC76" s="902" t="s">
        <v>6</v>
      </c>
      <c r="DD76" s="760">
        <f>'Arable Inputs'!$F$18</f>
        <v>3.3</v>
      </c>
      <c r="DE76" s="760">
        <f>'Arable Inputs'!$F$25-'Arable Inputs'!$F$25</f>
        <v>0</v>
      </c>
      <c r="DF76" s="760">
        <f>'Arable Inputs'!$F$19</f>
        <v>2.6</v>
      </c>
      <c r="DG76" s="760">
        <f>'Arable Inputs'!$F$26-'Arable Inputs'!$F$26</f>
        <v>0</v>
      </c>
      <c r="DH76" s="762">
        <f>DD76*DE76+DF76*DG76</f>
        <v>0</v>
      </c>
      <c r="DI76" s="197">
        <f>'Arable NPV'!$E156</f>
        <v>175.95</v>
      </c>
      <c r="DJ76" s="197">
        <f t="shared" si="212"/>
        <v>175.95</v>
      </c>
      <c r="DK76" s="197">
        <f>'Arable NPV'!$G156</f>
        <v>619.745</v>
      </c>
      <c r="DL76" s="197">
        <f>'Arable NPV'!$H156</f>
        <v>710.23622685714281</v>
      </c>
      <c r="DM76" s="197">
        <f t="shared" si="213"/>
        <v>1329.9812268571427</v>
      </c>
      <c r="DN76" s="197">
        <f t="shared" si="214"/>
        <v>-1329.9812268571427</v>
      </c>
      <c r="DO76" s="197">
        <f t="shared" si="215"/>
        <v>-1154.0312268571427</v>
      </c>
      <c r="DP76" s="196">
        <f t="shared" si="216"/>
        <v>0</v>
      </c>
      <c r="DQ76" s="197">
        <f t="shared" si="217"/>
        <v>105.67101045539658</v>
      </c>
      <c r="DR76" s="197">
        <f t="shared" si="218"/>
        <v>798.75225989600631</v>
      </c>
      <c r="DS76" s="197">
        <f t="shared" si="219"/>
        <v>-798.75225989600631</v>
      </c>
      <c r="DT76" s="199">
        <f t="shared" si="220"/>
        <v>-693.08124944060967</v>
      </c>
      <c r="DU76" s="196">
        <f t="shared" si="221"/>
        <v>0</v>
      </c>
      <c r="DV76" s="197">
        <f t="shared" si="222"/>
        <v>1932.9247386150832</v>
      </c>
      <c r="DW76" s="197">
        <f t="shared" si="223"/>
        <v>16323.270931321371</v>
      </c>
      <c r="DX76" s="197">
        <f t="shared" si="224"/>
        <v>-16323.270931321371</v>
      </c>
      <c r="DY76" s="199">
        <f t="shared" si="225"/>
        <v>-14390.346192706289</v>
      </c>
    </row>
    <row r="77" spans="2:129" x14ac:dyDescent="0.3">
      <c r="B77" s="900">
        <v>15</v>
      </c>
      <c r="C77" s="902" t="s">
        <v>5</v>
      </c>
      <c r="D77" s="760">
        <f>'Arable Inputs'!$E$18</f>
        <v>4.1100000000000003</v>
      </c>
      <c r="E77" s="760">
        <f>'Arable Inputs'!$E$25</f>
        <v>154.80000000000001</v>
      </c>
      <c r="F77" s="760">
        <f>'Arable Inputs'!$E$19</f>
        <v>3.5</v>
      </c>
      <c r="G77" s="760">
        <f>'Arable Inputs'!$E$26</f>
        <v>79.099999999999994</v>
      </c>
      <c r="H77" s="762">
        <f>D77*E77+F77*G77</f>
        <v>913.07799999999997</v>
      </c>
      <c r="I77" s="197">
        <f>'Arable NPV'!$E157</f>
        <v>175.95</v>
      </c>
      <c r="J77" s="197">
        <f t="shared" si="156"/>
        <v>1089.028</v>
      </c>
      <c r="K77" s="197">
        <f>'Arable NPV'!$G157</f>
        <v>468.64299999999992</v>
      </c>
      <c r="L77" s="197">
        <f>'Arable NPV'!$H157</f>
        <v>888.75536799999986</v>
      </c>
      <c r="M77" s="197">
        <f t="shared" si="157"/>
        <v>1357.3983679999997</v>
      </c>
      <c r="N77" s="197">
        <f t="shared" si="158"/>
        <v>-444.32036799999969</v>
      </c>
      <c r="O77" s="197">
        <f t="shared" si="159"/>
        <v>-268.37036799999964</v>
      </c>
      <c r="P77" s="196">
        <f t="shared" si="160"/>
        <v>527.27979367276873</v>
      </c>
      <c r="Q77" s="197">
        <f t="shared" si="161"/>
        <v>101.60674082249672</v>
      </c>
      <c r="R77" s="197">
        <f t="shared" si="162"/>
        <v>783.86373498298383</v>
      </c>
      <c r="S77" s="197">
        <f t="shared" si="163"/>
        <v>-256.58394131021504</v>
      </c>
      <c r="T77" s="199">
        <f t="shared" si="164"/>
        <v>-154.97720048771828</v>
      </c>
      <c r="U77" s="196">
        <f t="shared" si="165"/>
        <v>16417.548725478784</v>
      </c>
      <c r="V77" s="197">
        <f t="shared" si="166"/>
        <v>2034.5314794375799</v>
      </c>
      <c r="W77" s="197">
        <f t="shared" si="167"/>
        <v>17107.134666304355</v>
      </c>
      <c r="X77" s="197">
        <f t="shared" si="168"/>
        <v>-689.58594082557033</v>
      </c>
      <c r="Y77" s="199">
        <f t="shared" si="169"/>
        <v>1344.9455386120098</v>
      </c>
      <c r="Z77" s="197"/>
      <c r="AB77" s="900">
        <v>15</v>
      </c>
      <c r="AC77" s="902" t="s">
        <v>5</v>
      </c>
      <c r="AD77" s="760">
        <f>'Arable Inputs'!$E$18</f>
        <v>4.1100000000000003</v>
      </c>
      <c r="AE77" s="760">
        <f>'Arable Inputs'!$E$25+0.5*'Arable Inputs'!$E$25</f>
        <v>232.20000000000002</v>
      </c>
      <c r="AF77" s="760">
        <f>'Arable Inputs'!$E$19</f>
        <v>3.5</v>
      </c>
      <c r="AG77" s="760">
        <f>'Arable Inputs'!$E$26+0.5*'Arable Inputs'!$E$26</f>
        <v>118.64999999999999</v>
      </c>
      <c r="AH77" s="762">
        <f>AD77*AE77+AF77*AG77</f>
        <v>1369.6170000000002</v>
      </c>
      <c r="AI77" s="197">
        <f>'Arable NPV'!$E157</f>
        <v>175.95</v>
      </c>
      <c r="AJ77" s="197">
        <f t="shared" si="170"/>
        <v>1545.5670000000002</v>
      </c>
      <c r="AK77" s="197">
        <f>'Arable NPV'!$G157</f>
        <v>468.64299999999992</v>
      </c>
      <c r="AL77" s="197">
        <f>'Arable NPV'!$H157</f>
        <v>888.75536799999986</v>
      </c>
      <c r="AM77" s="197">
        <f t="shared" si="171"/>
        <v>1357.3983679999997</v>
      </c>
      <c r="AN77" s="197">
        <f t="shared" si="172"/>
        <v>12.218632000000525</v>
      </c>
      <c r="AO77" s="197">
        <f t="shared" si="173"/>
        <v>188.16863200000057</v>
      </c>
      <c r="AP77" s="196">
        <f t="shared" si="174"/>
        <v>790.91969050915327</v>
      </c>
      <c r="AQ77" s="197">
        <f t="shared" si="175"/>
        <v>101.60674082249672</v>
      </c>
      <c r="AR77" s="197">
        <f t="shared" si="176"/>
        <v>783.86373498298383</v>
      </c>
      <c r="AS77" s="197">
        <f t="shared" si="177"/>
        <v>7.0559555261694697</v>
      </c>
      <c r="AT77" s="199">
        <f t="shared" si="178"/>
        <v>108.66269634866622</v>
      </c>
      <c r="AU77" s="196">
        <f t="shared" si="179"/>
        <v>24626.323088218174</v>
      </c>
      <c r="AV77" s="197">
        <f t="shared" si="180"/>
        <v>2034.5314794375799</v>
      </c>
      <c r="AW77" s="197">
        <f t="shared" si="181"/>
        <v>17107.134666304355</v>
      </c>
      <c r="AX77" s="197">
        <f t="shared" si="182"/>
        <v>7519.1884219138246</v>
      </c>
      <c r="AY77" s="199">
        <f t="shared" si="183"/>
        <v>9553.7199013514037</v>
      </c>
      <c r="BB77" s="900">
        <v>15</v>
      </c>
      <c r="BC77" s="902" t="s">
        <v>5</v>
      </c>
      <c r="BD77" s="760">
        <f>'Arable Inputs'!$E$18</f>
        <v>4.1100000000000003</v>
      </c>
      <c r="BE77" s="760">
        <f>'Arable Inputs'!$E$25-0.5*'Arable Inputs'!$E$25</f>
        <v>77.400000000000006</v>
      </c>
      <c r="BF77" s="760">
        <f>'Arable Inputs'!$E$19</f>
        <v>3.5</v>
      </c>
      <c r="BG77" s="760">
        <f>'Arable Inputs'!$E$26-0.5*'Arable Inputs'!$E$26</f>
        <v>39.549999999999997</v>
      </c>
      <c r="BH77" s="762">
        <f>BD77*BE77+BF77*BG77</f>
        <v>456.53899999999999</v>
      </c>
      <c r="BI77" s="197">
        <f>'Arable NPV'!$E157</f>
        <v>175.95</v>
      </c>
      <c r="BJ77" s="197">
        <f t="shared" si="184"/>
        <v>632.48900000000003</v>
      </c>
      <c r="BK77" s="197">
        <f>'Arable NPV'!$G157</f>
        <v>468.64299999999992</v>
      </c>
      <c r="BL77" s="197">
        <f>'Arable NPV'!$H157</f>
        <v>888.75536799999986</v>
      </c>
      <c r="BM77" s="197">
        <f t="shared" si="185"/>
        <v>1357.3983679999997</v>
      </c>
      <c r="BN77" s="197">
        <f t="shared" si="186"/>
        <v>-900.85936799999968</v>
      </c>
      <c r="BO77" s="197">
        <f t="shared" si="187"/>
        <v>-724.90936799999963</v>
      </c>
      <c r="BP77" s="196">
        <f t="shared" si="188"/>
        <v>263.63989683638437</v>
      </c>
      <c r="BQ77" s="197">
        <f t="shared" si="189"/>
        <v>101.60674082249672</v>
      </c>
      <c r="BR77" s="197">
        <f t="shared" si="190"/>
        <v>783.86373498298383</v>
      </c>
      <c r="BS77" s="197">
        <f t="shared" si="191"/>
        <v>-520.22383814659941</v>
      </c>
      <c r="BT77" s="199">
        <f t="shared" si="192"/>
        <v>-418.61709732410264</v>
      </c>
      <c r="BU77" s="196">
        <f t="shared" si="193"/>
        <v>8208.774362739392</v>
      </c>
      <c r="BV77" s="197">
        <f t="shared" si="194"/>
        <v>2034.5314794375799</v>
      </c>
      <c r="BW77" s="197">
        <f t="shared" si="195"/>
        <v>17107.134666304355</v>
      </c>
      <c r="BX77" s="197">
        <f t="shared" si="196"/>
        <v>-8898.3603035649612</v>
      </c>
      <c r="BY77" s="199">
        <f t="shared" si="197"/>
        <v>-6863.828824127384</v>
      </c>
      <c r="CB77" s="900">
        <v>15</v>
      </c>
      <c r="CC77" s="902" t="s">
        <v>5</v>
      </c>
      <c r="CD77" s="760">
        <f>'Arable Inputs'!$E$18</f>
        <v>4.1100000000000003</v>
      </c>
      <c r="CE77" s="760">
        <f>'Arable Inputs'!$E$25+'Arable Inputs'!$E$25</f>
        <v>309.60000000000002</v>
      </c>
      <c r="CF77" s="760">
        <f>'Arable Inputs'!$E$19</f>
        <v>3.5</v>
      </c>
      <c r="CG77" s="760">
        <f>'Arable Inputs'!$E$26+'Arable Inputs'!$E$26</f>
        <v>158.19999999999999</v>
      </c>
      <c r="CH77" s="762">
        <f>CD77*CE77+CF77*CG77</f>
        <v>1826.1559999999999</v>
      </c>
      <c r="CI77" s="197">
        <f>'Arable NPV'!$E157</f>
        <v>175.95</v>
      </c>
      <c r="CJ77" s="197">
        <f t="shared" si="198"/>
        <v>2002.106</v>
      </c>
      <c r="CK77" s="197">
        <f>'Arable NPV'!$G157</f>
        <v>468.64299999999992</v>
      </c>
      <c r="CL77" s="197">
        <f>'Arable NPV'!$H157</f>
        <v>888.75536799999986</v>
      </c>
      <c r="CM77" s="197">
        <f t="shared" si="199"/>
        <v>1357.3983679999997</v>
      </c>
      <c r="CN77" s="197">
        <f t="shared" si="200"/>
        <v>468.75763200000029</v>
      </c>
      <c r="CO77" s="197">
        <f t="shared" si="201"/>
        <v>644.70763200000033</v>
      </c>
      <c r="CP77" s="196">
        <f t="shared" si="202"/>
        <v>1054.5595873455375</v>
      </c>
      <c r="CQ77" s="197">
        <f t="shared" si="203"/>
        <v>101.60674082249672</v>
      </c>
      <c r="CR77" s="197">
        <f t="shared" si="204"/>
        <v>783.86373498298383</v>
      </c>
      <c r="CS77" s="197">
        <f t="shared" si="205"/>
        <v>270.69585236255369</v>
      </c>
      <c r="CT77" s="199">
        <f t="shared" si="206"/>
        <v>372.30259318505045</v>
      </c>
      <c r="CU77" s="196">
        <f t="shared" si="207"/>
        <v>32835.097450957568</v>
      </c>
      <c r="CV77" s="197">
        <f t="shared" si="208"/>
        <v>2034.5314794375799</v>
      </c>
      <c r="CW77" s="197">
        <f t="shared" si="209"/>
        <v>17107.134666304355</v>
      </c>
      <c r="CX77" s="197">
        <f t="shared" si="210"/>
        <v>15727.962784653217</v>
      </c>
      <c r="CY77" s="199">
        <f t="shared" si="211"/>
        <v>17762.494264090794</v>
      </c>
      <c r="DB77" s="204">
        <f t="shared" si="226"/>
        <v>15</v>
      </c>
      <c r="DC77" s="902" t="s">
        <v>5</v>
      </c>
      <c r="DD77" s="760">
        <f>'Arable Inputs'!$E$18</f>
        <v>4.1100000000000003</v>
      </c>
      <c r="DE77" s="760">
        <f>'Arable Inputs'!$E$25-'Arable Inputs'!$E$25</f>
        <v>0</v>
      </c>
      <c r="DF77" s="760">
        <f>'Arable Inputs'!$E$19</f>
        <v>3.5</v>
      </c>
      <c r="DG77" s="760">
        <f>'Arable Inputs'!$E$26-'Arable Inputs'!$E$26</f>
        <v>0</v>
      </c>
      <c r="DH77" s="762">
        <f>DD77*DE77+DF77*DG77</f>
        <v>0</v>
      </c>
      <c r="DI77" s="197">
        <f>'Arable NPV'!$E157</f>
        <v>175.95</v>
      </c>
      <c r="DJ77" s="197">
        <f t="shared" si="212"/>
        <v>175.95</v>
      </c>
      <c r="DK77" s="197">
        <f>'Arable NPV'!$G157</f>
        <v>468.64299999999992</v>
      </c>
      <c r="DL77" s="197">
        <f>'Arable NPV'!$H157</f>
        <v>888.75536799999986</v>
      </c>
      <c r="DM77" s="197">
        <f t="shared" si="213"/>
        <v>1357.3983679999997</v>
      </c>
      <c r="DN77" s="197">
        <f t="shared" si="214"/>
        <v>-1357.3983679999997</v>
      </c>
      <c r="DO77" s="197">
        <f t="shared" si="215"/>
        <v>-1181.4483679999996</v>
      </c>
      <c r="DP77" s="196">
        <f t="shared" si="216"/>
        <v>0</v>
      </c>
      <c r="DQ77" s="197">
        <f t="shared" si="217"/>
        <v>101.60674082249672</v>
      </c>
      <c r="DR77" s="197">
        <f t="shared" si="218"/>
        <v>783.86373498298383</v>
      </c>
      <c r="DS77" s="197">
        <f t="shared" si="219"/>
        <v>-783.86373498298383</v>
      </c>
      <c r="DT77" s="199">
        <f t="shared" si="220"/>
        <v>-682.25699416048701</v>
      </c>
      <c r="DU77" s="196">
        <f t="shared" si="221"/>
        <v>0</v>
      </c>
      <c r="DV77" s="197">
        <f t="shared" si="222"/>
        <v>2034.5314794375799</v>
      </c>
      <c r="DW77" s="197">
        <f t="shared" si="223"/>
        <v>17107.134666304355</v>
      </c>
      <c r="DX77" s="197">
        <f t="shared" si="224"/>
        <v>-17107.134666304355</v>
      </c>
      <c r="DY77" s="199">
        <f t="shared" si="225"/>
        <v>-15072.603186866776</v>
      </c>
    </row>
    <row r="78" spans="2:129" x14ac:dyDescent="0.3">
      <c r="B78" s="901">
        <v>16</v>
      </c>
      <c r="C78" s="903" t="s">
        <v>4</v>
      </c>
      <c r="D78" s="761">
        <f>'Arable Inputs'!$D$18</f>
        <v>7.45</v>
      </c>
      <c r="E78" s="761">
        <f>'Arable Inputs'!$D$25</f>
        <v>193.7</v>
      </c>
      <c r="F78" s="761">
        <f>'Arable Inputs'!$D$19</f>
        <v>3.9</v>
      </c>
      <c r="G78" s="761">
        <f>'Arable Inputs'!$D$26</f>
        <v>73.449999999999989</v>
      </c>
      <c r="H78" s="207">
        <f>D78*E78+F78*G78</f>
        <v>1729.52</v>
      </c>
      <c r="I78" s="207">
        <f>'Arable NPV'!$E158</f>
        <v>175.95</v>
      </c>
      <c r="J78" s="207">
        <f t="shared" si="156"/>
        <v>1905.47</v>
      </c>
      <c r="K78" s="207">
        <f>'Arable NPV'!$G158</f>
        <v>671.92799999999988</v>
      </c>
      <c r="L78" s="207">
        <f>'Arable NPV'!$H158</f>
        <v>969.47373599999992</v>
      </c>
      <c r="M78" s="207">
        <f t="shared" si="157"/>
        <v>1641.4017359999998</v>
      </c>
      <c r="N78" s="207">
        <f t="shared" si="158"/>
        <v>88.118264000000181</v>
      </c>
      <c r="O78" s="207">
        <f t="shared" si="159"/>
        <v>264.06826400000023</v>
      </c>
      <c r="P78" s="208">
        <f t="shared" si="160"/>
        <v>960.34106273266298</v>
      </c>
      <c r="Q78" s="207">
        <f>I78/(1+$B$4)^(B78-1)</f>
        <v>97.698789252400701</v>
      </c>
      <c r="R78" s="207">
        <f t="shared" si="162"/>
        <v>911.41211869274582</v>
      </c>
      <c r="S78" s="207">
        <f t="shared" si="163"/>
        <v>48.928944039917162</v>
      </c>
      <c r="T78" s="209">
        <f t="shared" si="164"/>
        <v>146.62773329231788</v>
      </c>
      <c r="U78" s="208">
        <f t="shared" si="165"/>
        <v>17377.889788211447</v>
      </c>
      <c r="V78" s="207">
        <f t="shared" si="166"/>
        <v>2132.2302686899807</v>
      </c>
      <c r="W78" s="207">
        <f t="shared" si="167"/>
        <v>18018.546784997099</v>
      </c>
      <c r="X78" s="207">
        <f t="shared" si="168"/>
        <v>-640.65699678565318</v>
      </c>
      <c r="Y78" s="209">
        <f t="shared" si="169"/>
        <v>1491.5732719043276</v>
      </c>
      <c r="Z78" s="197"/>
      <c r="AB78" s="901">
        <v>16</v>
      </c>
      <c r="AC78" s="903" t="s">
        <v>4</v>
      </c>
      <c r="AD78" s="761">
        <f>'Arable Inputs'!$D$18</f>
        <v>7.45</v>
      </c>
      <c r="AE78" s="761">
        <f>'Arable Inputs'!$D$25+0.5*'Arable Inputs'!$D$25</f>
        <v>290.54999999999995</v>
      </c>
      <c r="AF78" s="761">
        <f>'Arable Inputs'!$D$19</f>
        <v>3.9</v>
      </c>
      <c r="AG78" s="761">
        <f>'Arable Inputs'!$D$26+0.5*'Arable Inputs'!$D$26</f>
        <v>110.17499999999998</v>
      </c>
      <c r="AH78" s="207">
        <f>AD78*AE78+AF78*AG78</f>
        <v>2594.2799999999997</v>
      </c>
      <c r="AI78" s="207">
        <f>'Arable NPV'!$E158</f>
        <v>175.95</v>
      </c>
      <c r="AJ78" s="207">
        <f t="shared" si="170"/>
        <v>2770.2299999999996</v>
      </c>
      <c r="AK78" s="207">
        <f>'Arable NPV'!$G158</f>
        <v>671.92799999999988</v>
      </c>
      <c r="AL78" s="207">
        <f>'Arable NPV'!$H158</f>
        <v>969.47373599999992</v>
      </c>
      <c r="AM78" s="207">
        <f t="shared" si="171"/>
        <v>1641.4017359999998</v>
      </c>
      <c r="AN78" s="207">
        <f t="shared" si="172"/>
        <v>952.87826399999994</v>
      </c>
      <c r="AO78" s="207">
        <f t="shared" si="173"/>
        <v>1128.8282639999998</v>
      </c>
      <c r="AP78" s="208">
        <f>AH78/(1+$B$4)^(AB78-1)</f>
        <v>1440.5115940989945</v>
      </c>
      <c r="AQ78" s="207">
        <f>AI78/(1+$B$4)^(AB78-1)</f>
        <v>97.698789252400701</v>
      </c>
      <c r="AR78" s="207">
        <f>AM78/(1+$B$4)^(AB78-1)</f>
        <v>911.41211869274582</v>
      </c>
      <c r="AS78" s="207">
        <f>AN78/(1+$B$4)^(AB78-1)</f>
        <v>529.09947540624853</v>
      </c>
      <c r="AT78" s="209">
        <f>AO78/(1+$B$4)^(AB78-1)</f>
        <v>626.79826465864915</v>
      </c>
      <c r="AU78" s="208">
        <f t="shared" si="179"/>
        <v>26066.834682317167</v>
      </c>
      <c r="AV78" s="207">
        <f t="shared" si="180"/>
        <v>2132.2302686899807</v>
      </c>
      <c r="AW78" s="207">
        <f t="shared" si="181"/>
        <v>18018.546784997099</v>
      </c>
      <c r="AX78" s="207">
        <f t="shared" si="182"/>
        <v>8048.2878973200732</v>
      </c>
      <c r="AY78" s="209">
        <f t="shared" si="183"/>
        <v>10180.518166010053</v>
      </c>
      <c r="BB78" s="901">
        <v>16</v>
      </c>
      <c r="BC78" s="903" t="s">
        <v>4</v>
      </c>
      <c r="BD78" s="761">
        <f>'Arable Inputs'!$D$18</f>
        <v>7.45</v>
      </c>
      <c r="BE78" s="761">
        <f>'Arable Inputs'!$D$25-0.5*'Arable Inputs'!$D$25</f>
        <v>96.85</v>
      </c>
      <c r="BF78" s="761">
        <f>'Arable Inputs'!$D$19</f>
        <v>3.9</v>
      </c>
      <c r="BG78" s="761">
        <f>'Arable Inputs'!$D$26-0.5*'Arable Inputs'!$D$26</f>
        <v>36.724999999999994</v>
      </c>
      <c r="BH78" s="207">
        <f>BD78*BE78+BF78*BG78</f>
        <v>864.76</v>
      </c>
      <c r="BI78" s="207">
        <f>'Arable NPV'!$E158</f>
        <v>175.95</v>
      </c>
      <c r="BJ78" s="207">
        <f t="shared" si="184"/>
        <v>1040.71</v>
      </c>
      <c r="BK78" s="207">
        <f>'Arable NPV'!$G158</f>
        <v>671.92799999999988</v>
      </c>
      <c r="BL78" s="207">
        <f>'Arable NPV'!$H158</f>
        <v>969.47373599999992</v>
      </c>
      <c r="BM78" s="207">
        <f>BK78+BL78</f>
        <v>1641.4017359999998</v>
      </c>
      <c r="BN78" s="207">
        <f t="shared" si="186"/>
        <v>-776.64173599999981</v>
      </c>
      <c r="BO78" s="207">
        <f t="shared" si="187"/>
        <v>-600.69173599999976</v>
      </c>
      <c r="BP78" s="208">
        <f>BH78/(1+$B$4)^(BB78-1)</f>
        <v>480.17053136633149</v>
      </c>
      <c r="BQ78" s="207">
        <f>BI78/(1+$B$4)^(BB78-1)</f>
        <v>97.698789252400701</v>
      </c>
      <c r="BR78" s="207">
        <f>BM78/(1+$B$4)^(BB78-1)</f>
        <v>911.41211869274582</v>
      </c>
      <c r="BS78" s="207">
        <f>BN78/(1+$B$4)^(BB78-1)</f>
        <v>-431.24158732641433</v>
      </c>
      <c r="BT78" s="209">
        <f>BO78/(1+$B$4)^(BB78-1)</f>
        <v>-333.5427980740136</v>
      </c>
      <c r="BU78" s="208">
        <f t="shared" si="193"/>
        <v>8688.9448941057235</v>
      </c>
      <c r="BV78" s="207">
        <f t="shared" si="194"/>
        <v>2132.2302686899807</v>
      </c>
      <c r="BW78" s="207">
        <f t="shared" si="195"/>
        <v>18018.546784997099</v>
      </c>
      <c r="BX78" s="207">
        <f t="shared" si="196"/>
        <v>-9329.6018908913757</v>
      </c>
      <c r="BY78" s="209">
        <f t="shared" si="197"/>
        <v>-7197.3716222013973</v>
      </c>
      <c r="CB78" s="901">
        <v>16</v>
      </c>
      <c r="CC78" s="903" t="s">
        <v>4</v>
      </c>
      <c r="CD78" s="761">
        <f>'Arable Inputs'!$D$18</f>
        <v>7.45</v>
      </c>
      <c r="CE78" s="761">
        <f>'Arable Inputs'!$D$25+'Arable Inputs'!$D$25</f>
        <v>387.4</v>
      </c>
      <c r="CF78" s="761">
        <f>'Arable Inputs'!$D$19</f>
        <v>3.9</v>
      </c>
      <c r="CG78" s="761">
        <f>'Arable Inputs'!$D$26+'Arable Inputs'!$D$26</f>
        <v>146.89999999999998</v>
      </c>
      <c r="CH78" s="207">
        <f>CD78*CE78+CF78*CG78</f>
        <v>3459.04</v>
      </c>
      <c r="CI78" s="207">
        <f>'Arable NPV'!$E158</f>
        <v>175.95</v>
      </c>
      <c r="CJ78" s="207">
        <f t="shared" si="198"/>
        <v>3634.99</v>
      </c>
      <c r="CK78" s="207">
        <f>'Arable NPV'!$G158</f>
        <v>671.92799999999988</v>
      </c>
      <c r="CL78" s="207">
        <f>'Arable NPV'!$H158</f>
        <v>969.47373599999992</v>
      </c>
      <c r="CM78" s="207">
        <f t="shared" si="199"/>
        <v>1641.4017359999998</v>
      </c>
      <c r="CN78" s="207">
        <f t="shared" si="200"/>
        <v>1817.6382640000002</v>
      </c>
      <c r="CO78" s="207">
        <f t="shared" si="201"/>
        <v>1993.588264</v>
      </c>
      <c r="CP78" s="208">
        <f>CH78/(1+$B$4)^(CB78-1)</f>
        <v>1920.682125465326</v>
      </c>
      <c r="CQ78" s="207">
        <f>CI78/(1+$B$4)^(CB78-1)</f>
        <v>97.698789252400701</v>
      </c>
      <c r="CR78" s="207">
        <f>CM78/(1+$B$4)^(CB78-1)</f>
        <v>911.41211869274582</v>
      </c>
      <c r="CS78" s="207">
        <f>CN78/(1+$B$4)^(CB78-1)</f>
        <v>1009.2700067725802</v>
      </c>
      <c r="CT78" s="209">
        <f>CO78/(1+$B$4)^(CB78-1)</f>
        <v>1106.9687960249807</v>
      </c>
      <c r="CU78" s="208">
        <f t="shared" si="207"/>
        <v>34755.779576422894</v>
      </c>
      <c r="CV78" s="207">
        <f t="shared" si="208"/>
        <v>2132.2302686899807</v>
      </c>
      <c r="CW78" s="207">
        <f t="shared" si="209"/>
        <v>18018.546784997099</v>
      </c>
      <c r="CX78" s="207">
        <f t="shared" si="210"/>
        <v>16737.232791425798</v>
      </c>
      <c r="CY78" s="209">
        <f t="shared" si="211"/>
        <v>18869.463060115773</v>
      </c>
      <c r="DB78" s="206">
        <f t="shared" si="226"/>
        <v>16</v>
      </c>
      <c r="DC78" s="903" t="s">
        <v>4</v>
      </c>
      <c r="DD78" s="761">
        <f>'Arable Inputs'!$D$18</f>
        <v>7.45</v>
      </c>
      <c r="DE78" s="761">
        <f>'Arable Inputs'!$D$25-'Arable Inputs'!$D$25</f>
        <v>0</v>
      </c>
      <c r="DF78" s="761">
        <f>'Arable Inputs'!$D$19</f>
        <v>3.9</v>
      </c>
      <c r="DG78" s="761">
        <f>'Arable Inputs'!$D$26-'Arable Inputs'!$D$26</f>
        <v>0</v>
      </c>
      <c r="DH78" s="207">
        <f>DD78*DE78+DF78*DG78</f>
        <v>0</v>
      </c>
      <c r="DI78" s="207">
        <f>'Arable NPV'!$E158</f>
        <v>175.95</v>
      </c>
      <c r="DJ78" s="207">
        <f t="shared" si="212"/>
        <v>175.95</v>
      </c>
      <c r="DK78" s="207">
        <f>'Arable NPV'!$G158</f>
        <v>671.92799999999988</v>
      </c>
      <c r="DL78" s="207">
        <f>'Arable NPV'!$H158</f>
        <v>969.47373599999992</v>
      </c>
      <c r="DM78" s="207">
        <f t="shared" si="213"/>
        <v>1641.4017359999998</v>
      </c>
      <c r="DN78" s="207">
        <f t="shared" si="214"/>
        <v>-1641.4017359999998</v>
      </c>
      <c r="DO78" s="207">
        <f t="shared" si="215"/>
        <v>-1465.4517359999998</v>
      </c>
      <c r="DP78" s="208">
        <f>DH78/(1+$B$4)^(DB78-1)</f>
        <v>0</v>
      </c>
      <c r="DQ78" s="207">
        <f>DI78/(1+$B$4)^(DB78-1)</f>
        <v>97.698789252400701</v>
      </c>
      <c r="DR78" s="207">
        <f>DM78/(1+$B$4)^(DB78-1)</f>
        <v>911.41211869274582</v>
      </c>
      <c r="DS78" s="207">
        <f>DN78/(1+$B$4)^(DB78-1)</f>
        <v>-911.41211869274582</v>
      </c>
      <c r="DT78" s="209">
        <f>DO78/(1+$B$4)^(DB78-1)</f>
        <v>-813.71332944034509</v>
      </c>
      <c r="DU78" s="208">
        <f t="shared" si="221"/>
        <v>0</v>
      </c>
      <c r="DV78" s="207">
        <f t="shared" si="222"/>
        <v>2132.2302686899807</v>
      </c>
      <c r="DW78" s="207">
        <f t="shared" si="223"/>
        <v>18018.546784997099</v>
      </c>
      <c r="DX78" s="207">
        <f t="shared" si="224"/>
        <v>-18018.546784997099</v>
      </c>
      <c r="DY78" s="209">
        <f t="shared" si="225"/>
        <v>-15886.316516307121</v>
      </c>
    </row>
    <row r="84" spans="2:119" x14ac:dyDescent="0.3">
      <c r="B84" s="211" t="s">
        <v>94</v>
      </c>
      <c r="C84" s="763" t="s">
        <v>394</v>
      </c>
      <c r="D84" s="269" t="s">
        <v>405</v>
      </c>
      <c r="E84" s="906">
        <v>1</v>
      </c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Z84" s="211" t="s">
        <v>94</v>
      </c>
      <c r="AA84" s="211" t="s">
        <v>318</v>
      </c>
      <c r="AB84" s="909">
        <v>1.5</v>
      </c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X84" s="211" t="s">
        <v>94</v>
      </c>
      <c r="AY84" s="211" t="s">
        <v>324</v>
      </c>
      <c r="AZ84" s="908">
        <v>0.5</v>
      </c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V84" s="211" t="s">
        <v>94</v>
      </c>
      <c r="BW84" s="211" t="s">
        <v>325</v>
      </c>
      <c r="BX84" s="908">
        <v>2</v>
      </c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T84" s="211" t="s">
        <v>94</v>
      </c>
      <c r="CU84" s="211" t="s">
        <v>326</v>
      </c>
      <c r="CV84" s="908">
        <v>0</v>
      </c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</row>
    <row r="85" spans="2:119" x14ac:dyDescent="0.3">
      <c r="B85" s="203"/>
      <c r="C85" s="148"/>
      <c r="D85" s="148"/>
      <c r="E85" s="1086"/>
      <c r="F85" s="1086"/>
      <c r="G85" s="1086"/>
      <c r="H85" s="148"/>
      <c r="I85" s="931"/>
      <c r="J85" s="1086"/>
      <c r="K85" s="1086"/>
      <c r="L85" s="148"/>
      <c r="M85" s="148"/>
      <c r="N85" s="1087" t="s">
        <v>275</v>
      </c>
      <c r="O85" s="1088"/>
      <c r="P85" s="1088"/>
      <c r="Q85" s="1088"/>
      <c r="R85" s="1089"/>
      <c r="S85" s="1087" t="s">
        <v>276</v>
      </c>
      <c r="T85" s="1088"/>
      <c r="U85" s="1088"/>
      <c r="V85" s="1088"/>
      <c r="W85" s="1089"/>
      <c r="X85" s="987"/>
      <c r="Z85" s="203"/>
      <c r="AA85" s="148"/>
      <c r="AB85" s="148"/>
      <c r="AC85" s="1086"/>
      <c r="AD85" s="1086"/>
      <c r="AE85" s="1086"/>
      <c r="AF85" s="148"/>
      <c r="AG85" s="931"/>
      <c r="AH85" s="1086"/>
      <c r="AI85" s="1086"/>
      <c r="AJ85" s="148"/>
      <c r="AK85" s="148"/>
      <c r="AL85" s="1087" t="s">
        <v>275</v>
      </c>
      <c r="AM85" s="1088"/>
      <c r="AN85" s="1088"/>
      <c r="AO85" s="1088"/>
      <c r="AP85" s="1089"/>
      <c r="AQ85" s="1087" t="s">
        <v>276</v>
      </c>
      <c r="AR85" s="1088"/>
      <c r="AS85" s="1088"/>
      <c r="AT85" s="1088"/>
      <c r="AU85" s="1089"/>
      <c r="AV85" s="987"/>
      <c r="AX85" s="203"/>
      <c r="AY85" s="148"/>
      <c r="AZ85" s="148"/>
      <c r="BA85" s="1086"/>
      <c r="BB85" s="1086"/>
      <c r="BC85" s="1086"/>
      <c r="BD85" s="148"/>
      <c r="BE85" s="931"/>
      <c r="BF85" s="1086"/>
      <c r="BG85" s="1086"/>
      <c r="BH85" s="148"/>
      <c r="BI85" s="148"/>
      <c r="BJ85" s="1087" t="s">
        <v>275</v>
      </c>
      <c r="BK85" s="1088"/>
      <c r="BL85" s="1088"/>
      <c r="BM85" s="1088"/>
      <c r="BN85" s="1089"/>
      <c r="BO85" s="1087" t="s">
        <v>276</v>
      </c>
      <c r="BP85" s="1088"/>
      <c r="BQ85" s="1088"/>
      <c r="BR85" s="1088"/>
      <c r="BS85" s="1089"/>
      <c r="BT85" s="987"/>
      <c r="BV85" s="203"/>
      <c r="BW85" s="148"/>
      <c r="BX85" s="148"/>
      <c r="BY85" s="1086"/>
      <c r="BZ85" s="1086"/>
      <c r="CA85" s="1086"/>
      <c r="CB85" s="148"/>
      <c r="CC85" s="931"/>
      <c r="CD85" s="1086"/>
      <c r="CE85" s="1086"/>
      <c r="CF85" s="148"/>
      <c r="CG85" s="148"/>
      <c r="CH85" s="1087" t="s">
        <v>275</v>
      </c>
      <c r="CI85" s="1088"/>
      <c r="CJ85" s="1088"/>
      <c r="CK85" s="1088"/>
      <c r="CL85" s="1089"/>
      <c r="CM85" s="1087" t="s">
        <v>276</v>
      </c>
      <c r="CN85" s="1088"/>
      <c r="CO85" s="1088"/>
      <c r="CP85" s="1088"/>
      <c r="CQ85" s="1089"/>
      <c r="CR85" s="987"/>
      <c r="CT85" s="203"/>
      <c r="CU85" s="148"/>
      <c r="CV85" s="148"/>
      <c r="CW85" s="1086"/>
      <c r="CX85" s="1086"/>
      <c r="CY85" s="1086"/>
      <c r="CZ85" s="148"/>
      <c r="DA85" s="931"/>
      <c r="DB85" s="1086"/>
      <c r="DC85" s="1086"/>
      <c r="DD85" s="148"/>
      <c r="DE85" s="148"/>
      <c r="DF85" s="1087" t="s">
        <v>275</v>
      </c>
      <c r="DG85" s="1088"/>
      <c r="DH85" s="1088"/>
      <c r="DI85" s="1088"/>
      <c r="DJ85" s="1089"/>
      <c r="DK85" s="1087" t="s">
        <v>276</v>
      </c>
      <c r="DL85" s="1088"/>
      <c r="DM85" s="1088"/>
      <c r="DN85" s="1088"/>
      <c r="DO85" s="1089"/>
    </row>
    <row r="86" spans="2:119" ht="51" x14ac:dyDescent="0.3">
      <c r="B86" s="204" t="s">
        <v>277</v>
      </c>
      <c r="C86" s="205" t="s">
        <v>303</v>
      </c>
      <c r="D86" s="205" t="s">
        <v>304</v>
      </c>
      <c r="E86" s="171" t="s">
        <v>675</v>
      </c>
      <c r="F86" s="171" t="s">
        <v>666</v>
      </c>
      <c r="G86" s="171" t="s">
        <v>676</v>
      </c>
      <c r="H86" s="205" t="s">
        <v>301</v>
      </c>
      <c r="I86" s="935" t="str">
        <f>'Energy NPV'!U11</f>
        <v>Total Recurring Costs</v>
      </c>
      <c r="J86" s="205" t="s">
        <v>305</v>
      </c>
      <c r="K86" s="171" t="s">
        <v>283</v>
      </c>
      <c r="L86" s="171" t="s">
        <v>677</v>
      </c>
      <c r="M86" s="171" t="s">
        <v>678</v>
      </c>
      <c r="N86" s="195" t="s">
        <v>286</v>
      </c>
      <c r="O86" s="171" t="s">
        <v>679</v>
      </c>
      <c r="P86" s="171" t="s">
        <v>288</v>
      </c>
      <c r="Q86" s="171" t="s">
        <v>680</v>
      </c>
      <c r="R86" s="198" t="s">
        <v>290</v>
      </c>
      <c r="S86" s="195" t="s">
        <v>291</v>
      </c>
      <c r="T86" s="171" t="s">
        <v>681</v>
      </c>
      <c r="U86" s="171" t="s">
        <v>293</v>
      </c>
      <c r="V86" s="171" t="s">
        <v>682</v>
      </c>
      <c r="W86" s="198" t="s">
        <v>295</v>
      </c>
      <c r="X86" s="171"/>
      <c r="Z86" s="204" t="s">
        <v>277</v>
      </c>
      <c r="AA86" s="205" t="s">
        <v>303</v>
      </c>
      <c r="AB86" s="205" t="s">
        <v>304</v>
      </c>
      <c r="AC86" s="171" t="s">
        <v>675</v>
      </c>
      <c r="AD86" s="171" t="s">
        <v>666</v>
      </c>
      <c r="AE86" s="171" t="s">
        <v>676</v>
      </c>
      <c r="AF86" s="205" t="s">
        <v>301</v>
      </c>
      <c r="AG86" s="935" t="str">
        <f>'Energy NPV'!U11</f>
        <v>Total Recurring Costs</v>
      </c>
      <c r="AH86" s="205" t="s">
        <v>305</v>
      </c>
      <c r="AI86" s="171" t="s">
        <v>283</v>
      </c>
      <c r="AJ86" s="171" t="s">
        <v>677</v>
      </c>
      <c r="AK86" s="171" t="s">
        <v>678</v>
      </c>
      <c r="AL86" s="195" t="s">
        <v>286</v>
      </c>
      <c r="AM86" s="171" t="s">
        <v>679</v>
      </c>
      <c r="AN86" s="171" t="s">
        <v>288</v>
      </c>
      <c r="AO86" s="171" t="s">
        <v>680</v>
      </c>
      <c r="AP86" s="198" t="s">
        <v>290</v>
      </c>
      <c r="AQ86" s="195" t="s">
        <v>291</v>
      </c>
      <c r="AR86" s="171" t="s">
        <v>681</v>
      </c>
      <c r="AS86" s="171" t="s">
        <v>293</v>
      </c>
      <c r="AT86" s="171" t="s">
        <v>682</v>
      </c>
      <c r="AU86" s="198" t="s">
        <v>295</v>
      </c>
      <c r="AV86" s="171"/>
      <c r="AX86" s="204" t="s">
        <v>277</v>
      </c>
      <c r="AY86" s="205" t="s">
        <v>303</v>
      </c>
      <c r="AZ86" s="205" t="s">
        <v>304</v>
      </c>
      <c r="BA86" s="171" t="s">
        <v>675</v>
      </c>
      <c r="BB86" s="171" t="s">
        <v>666</v>
      </c>
      <c r="BC86" s="171" t="s">
        <v>676</v>
      </c>
      <c r="BD86" s="205" t="s">
        <v>301</v>
      </c>
      <c r="BE86" s="935" t="str">
        <f>'Energy NPV'!U11</f>
        <v>Total Recurring Costs</v>
      </c>
      <c r="BF86" s="205" t="s">
        <v>305</v>
      </c>
      <c r="BG86" s="171" t="s">
        <v>283</v>
      </c>
      <c r="BH86" s="171" t="s">
        <v>677</v>
      </c>
      <c r="BI86" s="171" t="s">
        <v>678</v>
      </c>
      <c r="BJ86" s="195" t="s">
        <v>286</v>
      </c>
      <c r="BK86" s="171" t="s">
        <v>679</v>
      </c>
      <c r="BL86" s="171" t="s">
        <v>288</v>
      </c>
      <c r="BM86" s="171" t="s">
        <v>680</v>
      </c>
      <c r="BN86" s="198" t="s">
        <v>290</v>
      </c>
      <c r="BO86" s="195" t="s">
        <v>291</v>
      </c>
      <c r="BP86" s="171" t="s">
        <v>681</v>
      </c>
      <c r="BQ86" s="171" t="s">
        <v>293</v>
      </c>
      <c r="BR86" s="171" t="s">
        <v>682</v>
      </c>
      <c r="BS86" s="198" t="s">
        <v>295</v>
      </c>
      <c r="BT86" s="171"/>
      <c r="BV86" s="204" t="s">
        <v>277</v>
      </c>
      <c r="BW86" s="205" t="s">
        <v>303</v>
      </c>
      <c r="BX86" s="205" t="s">
        <v>304</v>
      </c>
      <c r="BY86" s="171" t="s">
        <v>675</v>
      </c>
      <c r="BZ86" s="171" t="s">
        <v>666</v>
      </c>
      <c r="CA86" s="171" t="s">
        <v>676</v>
      </c>
      <c r="CB86" s="205" t="s">
        <v>301</v>
      </c>
      <c r="CC86" s="935" t="str">
        <f>'Energy NPV'!U11</f>
        <v>Total Recurring Costs</v>
      </c>
      <c r="CD86" s="205" t="s">
        <v>305</v>
      </c>
      <c r="CE86" s="171" t="s">
        <v>283</v>
      </c>
      <c r="CF86" s="171" t="s">
        <v>677</v>
      </c>
      <c r="CG86" s="171" t="s">
        <v>678</v>
      </c>
      <c r="CH86" s="195" t="s">
        <v>286</v>
      </c>
      <c r="CI86" s="171" t="s">
        <v>679</v>
      </c>
      <c r="CJ86" s="171" t="s">
        <v>288</v>
      </c>
      <c r="CK86" s="171" t="s">
        <v>680</v>
      </c>
      <c r="CL86" s="198" t="s">
        <v>290</v>
      </c>
      <c r="CM86" s="195" t="s">
        <v>291</v>
      </c>
      <c r="CN86" s="171" t="s">
        <v>681</v>
      </c>
      <c r="CO86" s="171" t="s">
        <v>293</v>
      </c>
      <c r="CP86" s="171" t="s">
        <v>682</v>
      </c>
      <c r="CQ86" s="198" t="s">
        <v>295</v>
      </c>
      <c r="CR86" s="171"/>
      <c r="CT86" s="204" t="s">
        <v>277</v>
      </c>
      <c r="CU86" s="205" t="s">
        <v>303</v>
      </c>
      <c r="CV86" s="205" t="s">
        <v>304</v>
      </c>
      <c r="CW86" s="171" t="s">
        <v>675</v>
      </c>
      <c r="CX86" s="171" t="s">
        <v>666</v>
      </c>
      <c r="CY86" s="171" t="s">
        <v>676</v>
      </c>
      <c r="CZ86" s="205" t="s">
        <v>301</v>
      </c>
      <c r="DA86" s="935" t="str">
        <f>'Energy NPV'!U11</f>
        <v>Total Recurring Costs</v>
      </c>
      <c r="DB86" s="205" t="s">
        <v>305</v>
      </c>
      <c r="DC86" s="171" t="s">
        <v>283</v>
      </c>
      <c r="DD86" s="171" t="s">
        <v>677</v>
      </c>
      <c r="DE86" s="171" t="s">
        <v>678</v>
      </c>
      <c r="DF86" s="195" t="s">
        <v>286</v>
      </c>
      <c r="DG86" s="171" t="s">
        <v>679</v>
      </c>
      <c r="DH86" s="171" t="s">
        <v>288</v>
      </c>
      <c r="DI86" s="171" t="s">
        <v>680</v>
      </c>
      <c r="DJ86" s="198" t="s">
        <v>290</v>
      </c>
      <c r="DK86" s="195" t="s">
        <v>291</v>
      </c>
      <c r="DL86" s="171" t="s">
        <v>681</v>
      </c>
      <c r="DM86" s="171" t="s">
        <v>293</v>
      </c>
      <c r="DN86" s="171" t="s">
        <v>682</v>
      </c>
      <c r="DO86" s="198" t="s">
        <v>295</v>
      </c>
    </row>
    <row r="87" spans="2:119" x14ac:dyDescent="0.3">
      <c r="B87" s="173"/>
      <c r="C87" s="226" t="s">
        <v>341</v>
      </c>
      <c r="D87" s="226" t="s">
        <v>601</v>
      </c>
      <c r="E87" s="201" t="s">
        <v>599</v>
      </c>
      <c r="F87" s="201" t="s">
        <v>599</v>
      </c>
      <c r="G87" s="201" t="s">
        <v>599</v>
      </c>
      <c r="H87" s="201" t="s">
        <v>599</v>
      </c>
      <c r="I87" s="969" t="str">
        <f>'Energy NPV'!U12</f>
        <v>(€ ha-1)</v>
      </c>
      <c r="J87" s="201" t="s">
        <v>599</v>
      </c>
      <c r="K87" s="201" t="s">
        <v>599</v>
      </c>
      <c r="L87" s="201" t="s">
        <v>599</v>
      </c>
      <c r="M87" s="202" t="s">
        <v>599</v>
      </c>
      <c r="N87" s="201" t="s">
        <v>599</v>
      </c>
      <c r="O87" s="201" t="s">
        <v>599</v>
      </c>
      <c r="P87" s="201" t="s">
        <v>599</v>
      </c>
      <c r="Q87" s="201" t="s">
        <v>599</v>
      </c>
      <c r="R87" s="202" t="s">
        <v>599</v>
      </c>
      <c r="S87" s="201" t="s">
        <v>599</v>
      </c>
      <c r="T87" s="201" t="s">
        <v>599</v>
      </c>
      <c r="U87" s="201" t="s">
        <v>599</v>
      </c>
      <c r="V87" s="201" t="s">
        <v>599</v>
      </c>
      <c r="W87" s="202" t="s">
        <v>599</v>
      </c>
      <c r="X87" s="988"/>
      <c r="Z87" s="173"/>
      <c r="AA87" s="226" t="s">
        <v>341</v>
      </c>
      <c r="AB87" s="226" t="s">
        <v>601</v>
      </c>
      <c r="AC87" s="201" t="s">
        <v>599</v>
      </c>
      <c r="AD87" s="201" t="s">
        <v>599</v>
      </c>
      <c r="AE87" s="201" t="s">
        <v>599</v>
      </c>
      <c r="AF87" s="201" t="s">
        <v>599</v>
      </c>
      <c r="AG87" s="969" t="str">
        <f>'Energy NPV'!U12</f>
        <v>(€ ha-1)</v>
      </c>
      <c r="AH87" s="201" t="s">
        <v>599</v>
      </c>
      <c r="AI87" s="201" t="s">
        <v>599</v>
      </c>
      <c r="AJ87" s="201" t="s">
        <v>599</v>
      </c>
      <c r="AK87" s="202" t="s">
        <v>599</v>
      </c>
      <c r="AL87" s="201" t="s">
        <v>599</v>
      </c>
      <c r="AM87" s="201" t="s">
        <v>599</v>
      </c>
      <c r="AN87" s="201" t="s">
        <v>599</v>
      </c>
      <c r="AO87" s="201" t="s">
        <v>599</v>
      </c>
      <c r="AP87" s="202" t="s">
        <v>599</v>
      </c>
      <c r="AQ87" s="201" t="s">
        <v>599</v>
      </c>
      <c r="AR87" s="201" t="s">
        <v>599</v>
      </c>
      <c r="AS87" s="201" t="s">
        <v>599</v>
      </c>
      <c r="AT87" s="201" t="s">
        <v>599</v>
      </c>
      <c r="AU87" s="202" t="s">
        <v>599</v>
      </c>
      <c r="AV87" s="988"/>
      <c r="AX87" s="173"/>
      <c r="AY87" s="226" t="s">
        <v>341</v>
      </c>
      <c r="AZ87" s="226" t="s">
        <v>601</v>
      </c>
      <c r="BA87" s="201" t="s">
        <v>599</v>
      </c>
      <c r="BB87" s="201" t="s">
        <v>599</v>
      </c>
      <c r="BC87" s="201" t="s">
        <v>599</v>
      </c>
      <c r="BD87" s="201" t="s">
        <v>599</v>
      </c>
      <c r="BE87" s="969" t="str">
        <f>'Energy NPV'!U12</f>
        <v>(€ ha-1)</v>
      </c>
      <c r="BF87" s="201" t="s">
        <v>599</v>
      </c>
      <c r="BG87" s="201" t="s">
        <v>599</v>
      </c>
      <c r="BH87" s="201" t="s">
        <v>599</v>
      </c>
      <c r="BI87" s="202" t="s">
        <v>599</v>
      </c>
      <c r="BJ87" s="201" t="s">
        <v>599</v>
      </c>
      <c r="BK87" s="201" t="s">
        <v>599</v>
      </c>
      <c r="BL87" s="201" t="s">
        <v>599</v>
      </c>
      <c r="BM87" s="201" t="s">
        <v>599</v>
      </c>
      <c r="BN87" s="202" t="s">
        <v>599</v>
      </c>
      <c r="BO87" s="201" t="s">
        <v>599</v>
      </c>
      <c r="BP87" s="201" t="s">
        <v>599</v>
      </c>
      <c r="BQ87" s="201" t="s">
        <v>599</v>
      </c>
      <c r="BR87" s="201" t="s">
        <v>599</v>
      </c>
      <c r="BS87" s="202" t="s">
        <v>599</v>
      </c>
      <c r="BT87" s="988"/>
      <c r="BV87" s="173"/>
      <c r="BW87" s="226" t="s">
        <v>341</v>
      </c>
      <c r="BX87" s="226" t="s">
        <v>601</v>
      </c>
      <c r="BY87" s="201" t="s">
        <v>599</v>
      </c>
      <c r="BZ87" s="201" t="s">
        <v>599</v>
      </c>
      <c r="CA87" s="201" t="s">
        <v>599</v>
      </c>
      <c r="CB87" s="201" t="s">
        <v>599</v>
      </c>
      <c r="CC87" s="969" t="str">
        <f>'Energy NPV'!U12</f>
        <v>(€ ha-1)</v>
      </c>
      <c r="CD87" s="201" t="s">
        <v>599</v>
      </c>
      <c r="CE87" s="201" t="s">
        <v>599</v>
      </c>
      <c r="CF87" s="201" t="s">
        <v>599</v>
      </c>
      <c r="CG87" s="202" t="s">
        <v>599</v>
      </c>
      <c r="CH87" s="201" t="s">
        <v>599</v>
      </c>
      <c r="CI87" s="201" t="s">
        <v>599</v>
      </c>
      <c r="CJ87" s="201" t="s">
        <v>599</v>
      </c>
      <c r="CK87" s="201" t="s">
        <v>599</v>
      </c>
      <c r="CL87" s="202" t="s">
        <v>599</v>
      </c>
      <c r="CM87" s="201" t="s">
        <v>599</v>
      </c>
      <c r="CN87" s="201" t="s">
        <v>599</v>
      </c>
      <c r="CO87" s="201" t="s">
        <v>599</v>
      </c>
      <c r="CP87" s="201" t="s">
        <v>599</v>
      </c>
      <c r="CQ87" s="202" t="s">
        <v>599</v>
      </c>
      <c r="CR87" s="988"/>
      <c r="CT87" s="173"/>
      <c r="CU87" s="226" t="s">
        <v>341</v>
      </c>
      <c r="CV87" s="226" t="s">
        <v>601</v>
      </c>
      <c r="CW87" s="201" t="s">
        <v>599</v>
      </c>
      <c r="CX87" s="201" t="s">
        <v>599</v>
      </c>
      <c r="CY87" s="201" t="s">
        <v>599</v>
      </c>
      <c r="CZ87" s="201" t="s">
        <v>599</v>
      </c>
      <c r="DA87" s="969" t="str">
        <f>'Energy NPV'!U12</f>
        <v>(€ ha-1)</v>
      </c>
      <c r="DB87" s="201" t="s">
        <v>599</v>
      </c>
      <c r="DC87" s="201" t="s">
        <v>599</v>
      </c>
      <c r="DD87" s="201" t="s">
        <v>599</v>
      </c>
      <c r="DE87" s="202" t="s">
        <v>599</v>
      </c>
      <c r="DF87" s="201" t="s">
        <v>599</v>
      </c>
      <c r="DG87" s="201" t="s">
        <v>599</v>
      </c>
      <c r="DH87" s="201" t="s">
        <v>599</v>
      </c>
      <c r="DI87" s="201" t="s">
        <v>599</v>
      </c>
      <c r="DJ87" s="202" t="s">
        <v>599</v>
      </c>
      <c r="DK87" s="201" t="s">
        <v>599</v>
      </c>
      <c r="DL87" s="201" t="s">
        <v>599</v>
      </c>
      <c r="DM87" s="201" t="s">
        <v>599</v>
      </c>
      <c r="DN87" s="201" t="s">
        <v>599</v>
      </c>
      <c r="DO87" s="202" t="s">
        <v>599</v>
      </c>
    </row>
    <row r="88" spans="2:119" x14ac:dyDescent="0.3">
      <c r="B88" s="899">
        <v>1</v>
      </c>
      <c r="C88" s="760">
        <f>'Energy NPV'!$D13</f>
        <v>0</v>
      </c>
      <c r="D88" s="197">
        <f>'Energy Inputs'!$D$58*$E$84</f>
        <v>72</v>
      </c>
      <c r="E88" s="197">
        <f>C88*D88</f>
        <v>0</v>
      </c>
      <c r="F88" s="197">
        <f>'Margins summary'!$Q$14</f>
        <v>175.95</v>
      </c>
      <c r="G88" s="197">
        <f>E88+F88</f>
        <v>175.95</v>
      </c>
      <c r="H88" s="197">
        <f>'Margins summary'!$P$20</f>
        <v>2498.2967840000001</v>
      </c>
      <c r="I88" s="918">
        <f>'Energy NPV'!U13</f>
        <v>0</v>
      </c>
      <c r="J88" s="197"/>
      <c r="K88" s="197">
        <f>H88+I88+J88</f>
        <v>2498.2967840000001</v>
      </c>
      <c r="L88" s="197">
        <f t="shared" ref="L88:L103" si="227">E88-K88</f>
        <v>-2498.2967840000001</v>
      </c>
      <c r="M88" s="197">
        <f t="shared" ref="M88:M103" si="228">G88-K88</f>
        <v>-2322.3467840000003</v>
      </c>
      <c r="N88" s="1018">
        <f>E88/((1+$B$4)^(B88-1))</f>
        <v>0</v>
      </c>
      <c r="O88" s="213">
        <f>F88/((1+$B$4)^(B88-1))</f>
        <v>175.95</v>
      </c>
      <c r="P88" s="213">
        <f>K88/((1+$B$4)^(B88-1))</f>
        <v>2498.2967840000001</v>
      </c>
      <c r="Q88" s="213">
        <f>L88/((1+$B$4)^(B88-1))</f>
        <v>-2498.2967840000001</v>
      </c>
      <c r="R88" s="929">
        <f>M88/((1+$B$4)^(B88-1))</f>
        <v>-2322.3467840000003</v>
      </c>
      <c r="S88" s="196">
        <f>N88</f>
        <v>0</v>
      </c>
      <c r="T88" s="197">
        <f>O88</f>
        <v>175.95</v>
      </c>
      <c r="U88" s="197">
        <f>P88</f>
        <v>2498.2967840000001</v>
      </c>
      <c r="V88" s="197">
        <f>Q88</f>
        <v>-2498.2967840000001</v>
      </c>
      <c r="W88" s="199">
        <f>R88</f>
        <v>-2322.3467840000003</v>
      </c>
      <c r="X88" s="197"/>
      <c r="Z88" s="899">
        <v>1</v>
      </c>
      <c r="AA88" s="759">
        <f>'Energy NPV'!$D13</f>
        <v>0</v>
      </c>
      <c r="AB88" s="197">
        <f>'Energy Inputs'!$D$58*$AB$84</f>
        <v>108</v>
      </c>
      <c r="AC88" s="197">
        <f>AA88*AB88</f>
        <v>0</v>
      </c>
      <c r="AD88" s="197">
        <f>'Margins summary'!$Q$14</f>
        <v>175.95</v>
      </c>
      <c r="AE88" s="197">
        <f>AC88+AD88</f>
        <v>175.95</v>
      </c>
      <c r="AF88" s="197">
        <f>'Margins summary'!$P$20</f>
        <v>2498.2967840000001</v>
      </c>
      <c r="AG88" s="918">
        <f>'Energy NPV'!U13</f>
        <v>0</v>
      </c>
      <c r="AH88" s="197"/>
      <c r="AI88" s="197">
        <f>AF88+AG88+AH88</f>
        <v>2498.2967840000001</v>
      </c>
      <c r="AJ88" s="197">
        <f t="shared" ref="AJ88:AJ103" si="229">AC88-AI88</f>
        <v>-2498.2967840000001</v>
      </c>
      <c r="AK88" s="197">
        <f t="shared" ref="AK88:AK103" si="230">AE88-AI88</f>
        <v>-2322.3467840000003</v>
      </c>
      <c r="AL88" s="1018">
        <f>AC88/((1+$B$4)^(Z88-1))</f>
        <v>0</v>
      </c>
      <c r="AM88" s="213">
        <f>AD88/((1+$B$4)^(Z88-1))</f>
        <v>175.95</v>
      </c>
      <c r="AN88" s="213">
        <f>AI88/((1+$B$4)^(Z88-1))</f>
        <v>2498.2967840000001</v>
      </c>
      <c r="AO88" s="213">
        <f>AJ88/((1+$B$4)^(Z88-1))</f>
        <v>-2498.2967840000001</v>
      </c>
      <c r="AP88" s="929">
        <f>AK88/((1+$B$4)^(Z88-1))</f>
        <v>-2322.3467840000003</v>
      </c>
      <c r="AQ88" s="196">
        <f>AL88</f>
        <v>0</v>
      </c>
      <c r="AR88" s="197">
        <f>AM88</f>
        <v>175.95</v>
      </c>
      <c r="AS88" s="197">
        <f>AN88</f>
        <v>2498.2967840000001</v>
      </c>
      <c r="AT88" s="197">
        <f>AO88</f>
        <v>-2498.2967840000001</v>
      </c>
      <c r="AU88" s="199">
        <f>AP88</f>
        <v>-2322.3467840000003</v>
      </c>
      <c r="AV88" s="197"/>
      <c r="AX88" s="899">
        <v>1</v>
      </c>
      <c r="AY88" s="759">
        <f>'Energy NPV'!$D13</f>
        <v>0</v>
      </c>
      <c r="AZ88" s="197">
        <f>'Energy Inputs'!$D$58*$AZ$84</f>
        <v>36</v>
      </c>
      <c r="BA88" s="197">
        <f>AY88*AZ88</f>
        <v>0</v>
      </c>
      <c r="BB88" s="197">
        <f>'Margins summary'!$Q$14</f>
        <v>175.95</v>
      </c>
      <c r="BC88" s="197">
        <f>BA88+BB88</f>
        <v>175.95</v>
      </c>
      <c r="BD88" s="197">
        <f>'Margins summary'!$P$20</f>
        <v>2498.2967840000001</v>
      </c>
      <c r="BE88" s="918">
        <f>'Energy NPV'!U13</f>
        <v>0</v>
      </c>
      <c r="BF88" s="197"/>
      <c r="BG88" s="197">
        <f>BD88+BE88+BF88</f>
        <v>2498.2967840000001</v>
      </c>
      <c r="BH88" s="197">
        <f t="shared" ref="BH88:BH103" si="231">BA88-BG88</f>
        <v>-2498.2967840000001</v>
      </c>
      <c r="BI88" s="197">
        <f t="shared" ref="BI88:BI103" si="232">BC88-BG88</f>
        <v>-2322.3467840000003</v>
      </c>
      <c r="BJ88" s="1018">
        <f>BA88/((1+$B$4)^(AX88-1))</f>
        <v>0</v>
      </c>
      <c r="BK88" s="213">
        <f>BB88/((1+$B$4)^(AX88-1))</f>
        <v>175.95</v>
      </c>
      <c r="BL88" s="213">
        <f>BG88/((1+$B$4)^(AX88-1))</f>
        <v>2498.2967840000001</v>
      </c>
      <c r="BM88" s="213">
        <f>BH88/((1+$B$4)^(AX88-1))</f>
        <v>-2498.2967840000001</v>
      </c>
      <c r="BN88" s="929">
        <f>BI88/((1+$B$4)^(AX88-1))</f>
        <v>-2322.3467840000003</v>
      </c>
      <c r="BO88" s="196">
        <f>BJ88</f>
        <v>0</v>
      </c>
      <c r="BP88" s="197">
        <f>BK88</f>
        <v>175.95</v>
      </c>
      <c r="BQ88" s="197">
        <f>BL88</f>
        <v>2498.2967840000001</v>
      </c>
      <c r="BR88" s="197">
        <f>BM88</f>
        <v>-2498.2967840000001</v>
      </c>
      <c r="BS88" s="199">
        <f>BN88</f>
        <v>-2322.3467840000003</v>
      </c>
      <c r="BT88" s="197"/>
      <c r="BV88" s="728">
        <v>1</v>
      </c>
      <c r="BW88" s="759">
        <f>'Energy NPV'!$D13</f>
        <v>0</v>
      </c>
      <c r="BX88" s="197">
        <f>'Energy Inputs'!$D$58*$BX$84</f>
        <v>144</v>
      </c>
      <c r="BY88" s="197">
        <f>BW88*BX88</f>
        <v>0</v>
      </c>
      <c r="BZ88" s="197">
        <f>'Margins summary'!$Q$14</f>
        <v>175.95</v>
      </c>
      <c r="CA88" s="197">
        <f>BY88+BZ88</f>
        <v>175.95</v>
      </c>
      <c r="CB88" s="197">
        <f>'Margins summary'!$P$20</f>
        <v>2498.2967840000001</v>
      </c>
      <c r="CC88" s="918">
        <f>'Energy NPV'!U13</f>
        <v>0</v>
      </c>
      <c r="CD88" s="197"/>
      <c r="CE88" s="197">
        <f>CB88+CC88+CD88</f>
        <v>2498.2967840000001</v>
      </c>
      <c r="CF88" s="197">
        <f t="shared" ref="CF88:CF103" si="233">BY88-CE88</f>
        <v>-2498.2967840000001</v>
      </c>
      <c r="CG88" s="197">
        <f t="shared" ref="CG88:CG103" si="234">CA88-CE88</f>
        <v>-2322.3467840000003</v>
      </c>
      <c r="CH88" s="1018">
        <f>BY88/((1+$B$4)^(BV88-1))</f>
        <v>0</v>
      </c>
      <c r="CI88" s="213">
        <f>BZ88/((1+$B$4)^(BV88-1))</f>
        <v>175.95</v>
      </c>
      <c r="CJ88" s="213">
        <f>CE88/((1+$B$4)^(BV88-1))</f>
        <v>2498.2967840000001</v>
      </c>
      <c r="CK88" s="213">
        <f>CF88/((1+$B$4)^(BV88-1))</f>
        <v>-2498.2967840000001</v>
      </c>
      <c r="CL88" s="929">
        <f>CG88/((1+$B$4)^(BV88-1))</f>
        <v>-2322.3467840000003</v>
      </c>
      <c r="CM88" s="196">
        <f>CH88</f>
        <v>0</v>
      </c>
      <c r="CN88" s="197">
        <f>CI88</f>
        <v>175.95</v>
      </c>
      <c r="CO88" s="197">
        <f>CJ88</f>
        <v>2498.2967840000001</v>
      </c>
      <c r="CP88" s="197">
        <f>CK88</f>
        <v>-2498.2967840000001</v>
      </c>
      <c r="CQ88" s="199">
        <f>CL88</f>
        <v>-2322.3467840000003</v>
      </c>
      <c r="CR88" s="197"/>
      <c r="CT88" s="204">
        <v>1</v>
      </c>
      <c r="CU88" s="759">
        <f>'Energy NPV'!$D13</f>
        <v>0</v>
      </c>
      <c r="CV88" s="197">
        <f>'Energy Inputs'!$D$58*$CV$84</f>
        <v>0</v>
      </c>
      <c r="CW88" s="197">
        <f>CU88*CV88</f>
        <v>0</v>
      </c>
      <c r="CX88" s="197">
        <f>'Margins summary'!$Q$14</f>
        <v>175.95</v>
      </c>
      <c r="CY88" s="197">
        <f>CW88+CX88</f>
        <v>175.95</v>
      </c>
      <c r="CZ88" s="197">
        <f>'Margins summary'!$P$20</f>
        <v>2498.2967840000001</v>
      </c>
      <c r="DA88" s="918">
        <f>'Energy NPV'!U13</f>
        <v>0</v>
      </c>
      <c r="DB88" s="197"/>
      <c r="DC88" s="197">
        <f>CZ88+DA88+DB88</f>
        <v>2498.2967840000001</v>
      </c>
      <c r="DD88" s="197">
        <f t="shared" ref="DD88:DD103" si="235">CW88-DC88</f>
        <v>-2498.2967840000001</v>
      </c>
      <c r="DE88" s="197">
        <f t="shared" ref="DE88:DE103" si="236">CY88-DC88</f>
        <v>-2322.3467840000003</v>
      </c>
      <c r="DF88" s="1018">
        <f>CW88/((1+$B$4)^(CT88-1))</f>
        <v>0</v>
      </c>
      <c r="DG88" s="213">
        <f>CX88/((1+$B$4)^(CT88-1))</f>
        <v>175.95</v>
      </c>
      <c r="DH88" s="213">
        <f>DC88/((1+$B$4)^(CT88-1))</f>
        <v>2498.2967840000001</v>
      </c>
      <c r="DI88" s="213">
        <f>DD88/((1+$B$4)^(CT88-1))</f>
        <v>-2498.2967840000001</v>
      </c>
      <c r="DJ88" s="929">
        <f>DE88/((1+$B$4)^(CT88-1))</f>
        <v>-2322.3467840000003</v>
      </c>
      <c r="DK88" s="196">
        <f>DF88</f>
        <v>0</v>
      </c>
      <c r="DL88" s="197">
        <f>DG88</f>
        <v>175.95</v>
      </c>
      <c r="DM88" s="197">
        <f>DH88</f>
        <v>2498.2967840000001</v>
      </c>
      <c r="DN88" s="197">
        <f>DI88</f>
        <v>-2498.2967840000001</v>
      </c>
      <c r="DO88" s="199">
        <f>DJ88</f>
        <v>-2322.3467840000003</v>
      </c>
    </row>
    <row r="89" spans="2:119" x14ac:dyDescent="0.3">
      <c r="B89" s="900">
        <v>2</v>
      </c>
      <c r="C89" s="760">
        <f>'Energy NPV'!$D14</f>
        <v>0</v>
      </c>
      <c r="D89" s="197">
        <f>'Energy Inputs'!$D$58*$E$84</f>
        <v>72</v>
      </c>
      <c r="E89" s="197">
        <f>C89*D89</f>
        <v>0</v>
      </c>
      <c r="F89" s="197">
        <f>'Margins summary'!$Q$14</f>
        <v>175.95</v>
      </c>
      <c r="G89" s="197">
        <f t="shared" ref="G89:G103" si="237">E89+F89</f>
        <v>175.95</v>
      </c>
      <c r="H89" s="197"/>
      <c r="I89" s="918">
        <f>'Energy NPV'!U14</f>
        <v>158.5616</v>
      </c>
      <c r="J89" s="197"/>
      <c r="K89" s="197">
        <f t="shared" ref="K89:K103" si="238">H89+I89+J89</f>
        <v>158.5616</v>
      </c>
      <c r="L89" s="197">
        <f t="shared" si="227"/>
        <v>-158.5616</v>
      </c>
      <c r="M89" s="197">
        <f t="shared" si="228"/>
        <v>17.38839999999999</v>
      </c>
      <c r="N89" s="196">
        <f t="shared" ref="N89:N103" si="239">E89/((1+$B$4)^(B89-1))</f>
        <v>0</v>
      </c>
      <c r="O89" s="197">
        <f t="shared" ref="O89:O103" si="240">F89/((1+$B$4)^(B89-1))</f>
        <v>169.18269230769229</v>
      </c>
      <c r="P89" s="197">
        <f t="shared" ref="P89:P103" si="241">K89/((1+$B$4)^(B89-1))</f>
        <v>152.46307692307693</v>
      </c>
      <c r="Q89" s="197">
        <f t="shared" ref="Q89:Q103" si="242">L89/((1+$B$4)^(B89-1))</f>
        <v>-152.46307692307693</v>
      </c>
      <c r="R89" s="199">
        <f t="shared" ref="R89:R103" si="243">M89/((1+$B$4)^(B89-1))</f>
        <v>16.719615384615373</v>
      </c>
      <c r="S89" s="196">
        <f>S88+N89</f>
        <v>0</v>
      </c>
      <c r="T89" s="197">
        <f t="shared" ref="T89:T103" si="244">T88+O89</f>
        <v>345.13269230769231</v>
      </c>
      <c r="U89" s="197">
        <f t="shared" ref="U89:U103" si="245">U88+P89</f>
        <v>2650.7598609230772</v>
      </c>
      <c r="V89" s="197">
        <f t="shared" ref="V89:V103" si="246">V88+Q89</f>
        <v>-2650.7598609230772</v>
      </c>
      <c r="W89" s="199">
        <f t="shared" ref="W89:W103" si="247">W88+R89</f>
        <v>-2305.627168615385</v>
      </c>
      <c r="X89" s="197"/>
      <c r="Z89" s="900">
        <v>2</v>
      </c>
      <c r="AA89" s="759">
        <f>'Energy NPV'!$D14</f>
        <v>0</v>
      </c>
      <c r="AB89" s="197">
        <f>'Energy Inputs'!$D$58*$AB$84</f>
        <v>108</v>
      </c>
      <c r="AC89" s="197">
        <f>AA89*AB89</f>
        <v>0</v>
      </c>
      <c r="AD89" s="197">
        <f>'Margins summary'!$Q$14</f>
        <v>175.95</v>
      </c>
      <c r="AE89" s="197">
        <f t="shared" ref="AE89:AE103" si="248">AC89+AD89</f>
        <v>175.95</v>
      </c>
      <c r="AF89" s="197"/>
      <c r="AG89" s="918">
        <f>'Energy NPV'!U14</f>
        <v>158.5616</v>
      </c>
      <c r="AH89" s="197"/>
      <c r="AI89" s="197">
        <f t="shared" ref="AI89:AI103" si="249">AF89+AG89+AH89</f>
        <v>158.5616</v>
      </c>
      <c r="AJ89" s="197">
        <f t="shared" si="229"/>
        <v>-158.5616</v>
      </c>
      <c r="AK89" s="197">
        <f t="shared" si="230"/>
        <v>17.38839999999999</v>
      </c>
      <c r="AL89" s="196">
        <f t="shared" ref="AL89:AL103" si="250">AC89/((1+$B$4)^(Z89-1))</f>
        <v>0</v>
      </c>
      <c r="AM89" s="197">
        <f t="shared" ref="AM89:AM103" si="251">AD89/((1+$B$4)^(Z89-1))</f>
        <v>169.18269230769229</v>
      </c>
      <c r="AN89" s="197">
        <f t="shared" ref="AN89:AN103" si="252">AI89/((1+$B$4)^(Z89-1))</f>
        <v>152.46307692307693</v>
      </c>
      <c r="AO89" s="197">
        <f t="shared" ref="AO89:AO103" si="253">AJ89/((1+$B$4)^(Z89-1))</f>
        <v>-152.46307692307693</v>
      </c>
      <c r="AP89" s="199">
        <f t="shared" ref="AP89:AP103" si="254">AK89/((1+$B$4)^(Z89-1))</f>
        <v>16.719615384615373</v>
      </c>
      <c r="AQ89" s="196">
        <f>AQ88+AL89</f>
        <v>0</v>
      </c>
      <c r="AR89" s="197">
        <f t="shared" ref="AR89:AR103" si="255">AR88+AM89</f>
        <v>345.13269230769231</v>
      </c>
      <c r="AS89" s="197">
        <f t="shared" ref="AS89:AS103" si="256">AS88+AN89</f>
        <v>2650.7598609230772</v>
      </c>
      <c r="AT89" s="197">
        <f t="shared" ref="AT89:AT103" si="257">AT88+AO89</f>
        <v>-2650.7598609230772</v>
      </c>
      <c r="AU89" s="199">
        <f t="shared" ref="AU89:AU103" si="258">AU88+AP89</f>
        <v>-2305.627168615385</v>
      </c>
      <c r="AV89" s="197"/>
      <c r="AX89" s="900">
        <v>2</v>
      </c>
      <c r="AY89" s="759">
        <f>'Energy NPV'!$D14</f>
        <v>0</v>
      </c>
      <c r="AZ89" s="197">
        <f>'Energy Inputs'!$D$58*$AZ$84</f>
        <v>36</v>
      </c>
      <c r="BA89" s="197">
        <f>AY89*AZ89</f>
        <v>0</v>
      </c>
      <c r="BB89" s="197">
        <f>'Margins summary'!$Q$14</f>
        <v>175.95</v>
      </c>
      <c r="BC89" s="197">
        <f t="shared" ref="BC89:BC103" si="259">BA89+BB89</f>
        <v>175.95</v>
      </c>
      <c r="BD89" s="197"/>
      <c r="BE89" s="918">
        <f>'Energy NPV'!U14</f>
        <v>158.5616</v>
      </c>
      <c r="BF89" s="197"/>
      <c r="BG89" s="197">
        <f t="shared" ref="BG89:BG103" si="260">BD89+BE89+BF89</f>
        <v>158.5616</v>
      </c>
      <c r="BH89" s="197">
        <f t="shared" si="231"/>
        <v>-158.5616</v>
      </c>
      <c r="BI89" s="197">
        <f t="shared" si="232"/>
        <v>17.38839999999999</v>
      </c>
      <c r="BJ89" s="196">
        <f t="shared" ref="BJ89:BJ103" si="261">BA89/((1+$B$4)^(AX89-1))</f>
        <v>0</v>
      </c>
      <c r="BK89" s="197">
        <f t="shared" ref="BK89:BK103" si="262">BB89/((1+$B$4)^(AX89-1))</f>
        <v>169.18269230769229</v>
      </c>
      <c r="BL89" s="197">
        <f t="shared" ref="BL89:BL103" si="263">BG89/((1+$B$4)^(AX89-1))</f>
        <v>152.46307692307693</v>
      </c>
      <c r="BM89" s="197">
        <f t="shared" ref="BM89:BM103" si="264">BH89/((1+$B$4)^(AX89-1))</f>
        <v>-152.46307692307693</v>
      </c>
      <c r="BN89" s="199">
        <f t="shared" ref="BN89:BN103" si="265">BI89/((1+$B$4)^(AX89-1))</f>
        <v>16.719615384615373</v>
      </c>
      <c r="BO89" s="196">
        <f>BO88+BJ89</f>
        <v>0</v>
      </c>
      <c r="BP89" s="197">
        <f t="shared" ref="BP89:BP103" si="266">BP88+BK89</f>
        <v>345.13269230769231</v>
      </c>
      <c r="BQ89" s="197">
        <f t="shared" ref="BQ89:BQ103" si="267">BQ88+BL89</f>
        <v>2650.7598609230772</v>
      </c>
      <c r="BR89" s="197">
        <f t="shared" ref="BR89:BR103" si="268">BR88+BM89</f>
        <v>-2650.7598609230772</v>
      </c>
      <c r="BS89" s="199">
        <f t="shared" ref="BS89:BS103" si="269">BS88+BN89</f>
        <v>-2305.627168615385</v>
      </c>
      <c r="BT89" s="197"/>
      <c r="BV89" s="420">
        <v>2</v>
      </c>
      <c r="BW89" s="759">
        <f>'Energy NPV'!$D14</f>
        <v>0</v>
      </c>
      <c r="BX89" s="197">
        <f>'Energy Inputs'!$D$58*$BX$84</f>
        <v>144</v>
      </c>
      <c r="BY89" s="197">
        <f>BW89*BX89</f>
        <v>0</v>
      </c>
      <c r="BZ89" s="197">
        <f>'Margins summary'!$Q$14</f>
        <v>175.95</v>
      </c>
      <c r="CA89" s="197">
        <f t="shared" ref="CA89:CA103" si="270">BY89+BZ89</f>
        <v>175.95</v>
      </c>
      <c r="CB89" s="197"/>
      <c r="CC89" s="918">
        <f>'Energy NPV'!U14</f>
        <v>158.5616</v>
      </c>
      <c r="CD89" s="197"/>
      <c r="CE89" s="197">
        <f t="shared" ref="CE89:CE103" si="271">CB89+CC89+CD89</f>
        <v>158.5616</v>
      </c>
      <c r="CF89" s="197">
        <f t="shared" si="233"/>
        <v>-158.5616</v>
      </c>
      <c r="CG89" s="197">
        <f t="shared" si="234"/>
        <v>17.38839999999999</v>
      </c>
      <c r="CH89" s="196">
        <f t="shared" ref="CH89:CH103" si="272">BY89/((1+$B$4)^(BV89-1))</f>
        <v>0</v>
      </c>
      <c r="CI89" s="197">
        <f t="shared" ref="CI89:CI103" si="273">BZ89/((1+$B$4)^(BV89-1))</f>
        <v>169.18269230769229</v>
      </c>
      <c r="CJ89" s="197">
        <f t="shared" ref="CJ89:CJ103" si="274">CE89/((1+$B$4)^(BV89-1))</f>
        <v>152.46307692307693</v>
      </c>
      <c r="CK89" s="197">
        <f t="shared" ref="CK89:CK103" si="275">CF89/((1+$B$4)^(BV89-1))</f>
        <v>-152.46307692307693</v>
      </c>
      <c r="CL89" s="199">
        <f t="shared" ref="CL89:CL103" si="276">CG89/((1+$B$4)^(BV89-1))</f>
        <v>16.719615384615373</v>
      </c>
      <c r="CM89" s="196">
        <f>CM88+CH89</f>
        <v>0</v>
      </c>
      <c r="CN89" s="197">
        <f t="shared" ref="CN89:CN103" si="277">CN88+CI89</f>
        <v>345.13269230769231</v>
      </c>
      <c r="CO89" s="197">
        <f t="shared" ref="CO89:CO103" si="278">CO88+CJ89</f>
        <v>2650.7598609230772</v>
      </c>
      <c r="CP89" s="197">
        <f t="shared" ref="CP89:CP103" si="279">CP88+CK89</f>
        <v>-2650.7598609230772</v>
      </c>
      <c r="CQ89" s="199">
        <f t="shared" ref="CQ89:CQ103" si="280">CQ88+CL89</f>
        <v>-2305.627168615385</v>
      </c>
      <c r="CR89" s="197"/>
      <c r="CT89" s="204">
        <v>2</v>
      </c>
      <c r="CU89" s="759">
        <f>'Energy NPV'!$D14</f>
        <v>0</v>
      </c>
      <c r="CV89" s="197">
        <f>'Energy Inputs'!$D$58*$CV$84</f>
        <v>0</v>
      </c>
      <c r="CW89" s="197">
        <f>CU89*CV89</f>
        <v>0</v>
      </c>
      <c r="CX89" s="197">
        <f>'Margins summary'!$Q$14</f>
        <v>175.95</v>
      </c>
      <c r="CY89" s="197">
        <f t="shared" ref="CY89:CY103" si="281">CW89+CX89</f>
        <v>175.95</v>
      </c>
      <c r="CZ89" s="197"/>
      <c r="DA89" s="918">
        <f>'Energy NPV'!U14</f>
        <v>158.5616</v>
      </c>
      <c r="DB89" s="197"/>
      <c r="DC89" s="197">
        <f t="shared" ref="DC89:DC103" si="282">CZ89+DA89+DB89</f>
        <v>158.5616</v>
      </c>
      <c r="DD89" s="197">
        <f t="shared" si="235"/>
        <v>-158.5616</v>
      </c>
      <c r="DE89" s="197">
        <f t="shared" si="236"/>
        <v>17.38839999999999</v>
      </c>
      <c r="DF89" s="196">
        <f t="shared" ref="DF89:DF103" si="283">CW89/((1+$B$4)^(CT89-1))</f>
        <v>0</v>
      </c>
      <c r="DG89" s="197">
        <f t="shared" ref="DG89:DG103" si="284">CX89/((1+$B$4)^(CT89-1))</f>
        <v>169.18269230769229</v>
      </c>
      <c r="DH89" s="197">
        <f t="shared" ref="DH89:DH103" si="285">DC89/((1+$B$4)^(CT89-1))</f>
        <v>152.46307692307693</v>
      </c>
      <c r="DI89" s="197">
        <f t="shared" ref="DI89:DI103" si="286">DD89/((1+$B$4)^(CT89-1))</f>
        <v>-152.46307692307693</v>
      </c>
      <c r="DJ89" s="199">
        <f t="shared" ref="DJ89:DJ103" si="287">DE89/((1+$B$4)^(CT89-1))</f>
        <v>16.719615384615373</v>
      </c>
      <c r="DK89" s="196">
        <f>DK88+DF89</f>
        <v>0</v>
      </c>
      <c r="DL89" s="197">
        <f t="shared" ref="DL89:DL103" si="288">DL88+DG89</f>
        <v>345.13269230769231</v>
      </c>
      <c r="DM89" s="197">
        <f t="shared" ref="DM89:DM103" si="289">DM88+DH89</f>
        <v>2650.7598609230772</v>
      </c>
      <c r="DN89" s="197">
        <f t="shared" ref="DN89:DN103" si="290">DN88+DI89</f>
        <v>-2650.7598609230772</v>
      </c>
      <c r="DO89" s="199">
        <f t="shared" ref="DO89:DO103" si="291">DO88+DJ89</f>
        <v>-2305.627168615385</v>
      </c>
    </row>
    <row r="90" spans="2:119" x14ac:dyDescent="0.3">
      <c r="B90" s="900">
        <v>3</v>
      </c>
      <c r="C90" s="760">
        <f>'Energy NPV'!$D15</f>
        <v>0</v>
      </c>
      <c r="D90" s="197">
        <f>'Energy Inputs'!$D$58*$E$84</f>
        <v>72</v>
      </c>
      <c r="E90" s="197">
        <f t="shared" ref="E90:E103" si="292">C90*D90</f>
        <v>0</v>
      </c>
      <c r="F90" s="197">
        <f>'Margins summary'!$Q$14</f>
        <v>175.95</v>
      </c>
      <c r="G90" s="197">
        <f t="shared" si="237"/>
        <v>175.95</v>
      </c>
      <c r="H90" s="197"/>
      <c r="I90" s="918">
        <f>'Energy NPV'!U15</f>
        <v>158.5616</v>
      </c>
      <c r="J90" s="197"/>
      <c r="K90" s="197">
        <f t="shared" si="238"/>
        <v>158.5616</v>
      </c>
      <c r="L90" s="197">
        <f t="shared" si="227"/>
        <v>-158.5616</v>
      </c>
      <c r="M90" s="197">
        <f t="shared" si="228"/>
        <v>17.38839999999999</v>
      </c>
      <c r="N90" s="196">
        <f t="shared" si="239"/>
        <v>0</v>
      </c>
      <c r="O90" s="197">
        <f t="shared" si="240"/>
        <v>162.67566568047334</v>
      </c>
      <c r="P90" s="197">
        <f t="shared" si="241"/>
        <v>146.59911242603548</v>
      </c>
      <c r="Q90" s="197">
        <f t="shared" si="242"/>
        <v>-146.59911242603548</v>
      </c>
      <c r="R90" s="199">
        <f t="shared" si="243"/>
        <v>16.076553254437858</v>
      </c>
      <c r="S90" s="196">
        <f t="shared" ref="S90:S103" si="293">S89+N90</f>
        <v>0</v>
      </c>
      <c r="T90" s="197">
        <f t="shared" si="244"/>
        <v>507.80835798816565</v>
      </c>
      <c r="U90" s="197">
        <f t="shared" si="245"/>
        <v>2797.3589733491126</v>
      </c>
      <c r="V90" s="197">
        <f t="shared" si="246"/>
        <v>-2797.3589733491126</v>
      </c>
      <c r="W90" s="199">
        <f t="shared" si="247"/>
        <v>-2289.5506153609472</v>
      </c>
      <c r="X90" s="197"/>
      <c r="Z90" s="900">
        <v>3</v>
      </c>
      <c r="AA90" s="759">
        <f>'Energy NPV'!$D15</f>
        <v>0</v>
      </c>
      <c r="AB90" s="197">
        <f>'Energy Inputs'!$D$58*$AB$84</f>
        <v>108</v>
      </c>
      <c r="AC90" s="197">
        <f t="shared" ref="AC90:AC103" si="294">AA90*AB90</f>
        <v>0</v>
      </c>
      <c r="AD90" s="197">
        <f>'Margins summary'!$Q$14</f>
        <v>175.95</v>
      </c>
      <c r="AE90" s="197">
        <f t="shared" si="248"/>
        <v>175.95</v>
      </c>
      <c r="AF90" s="197"/>
      <c r="AG90" s="918">
        <f>'Energy NPV'!U15</f>
        <v>158.5616</v>
      </c>
      <c r="AH90" s="197"/>
      <c r="AI90" s="197">
        <f t="shared" si="249"/>
        <v>158.5616</v>
      </c>
      <c r="AJ90" s="197">
        <f t="shared" si="229"/>
        <v>-158.5616</v>
      </c>
      <c r="AK90" s="197">
        <f t="shared" si="230"/>
        <v>17.38839999999999</v>
      </c>
      <c r="AL90" s="196">
        <f t="shared" si="250"/>
        <v>0</v>
      </c>
      <c r="AM90" s="197">
        <f t="shared" si="251"/>
        <v>162.67566568047334</v>
      </c>
      <c r="AN90" s="197">
        <f t="shared" si="252"/>
        <v>146.59911242603548</v>
      </c>
      <c r="AO90" s="197">
        <f t="shared" si="253"/>
        <v>-146.59911242603548</v>
      </c>
      <c r="AP90" s="199">
        <f t="shared" si="254"/>
        <v>16.076553254437858</v>
      </c>
      <c r="AQ90" s="196">
        <f t="shared" ref="AQ90:AQ102" si="295">AQ89+AL90</f>
        <v>0</v>
      </c>
      <c r="AR90" s="197">
        <f t="shared" si="255"/>
        <v>507.80835798816565</v>
      </c>
      <c r="AS90" s="197">
        <f t="shared" si="256"/>
        <v>2797.3589733491126</v>
      </c>
      <c r="AT90" s="197">
        <f t="shared" si="257"/>
        <v>-2797.3589733491126</v>
      </c>
      <c r="AU90" s="199">
        <f t="shared" si="258"/>
        <v>-2289.5506153609472</v>
      </c>
      <c r="AV90" s="197"/>
      <c r="AX90" s="900">
        <v>3</v>
      </c>
      <c r="AY90" s="759">
        <f>'Energy NPV'!$D15</f>
        <v>0</v>
      </c>
      <c r="AZ90" s="197">
        <f>'Energy Inputs'!$D$58*$AZ$84</f>
        <v>36</v>
      </c>
      <c r="BA90" s="197">
        <f t="shared" ref="BA90:BA103" si="296">AY90*AZ90</f>
        <v>0</v>
      </c>
      <c r="BB90" s="197">
        <f>'Margins summary'!$Q$14</f>
        <v>175.95</v>
      </c>
      <c r="BC90" s="197">
        <f t="shared" si="259"/>
        <v>175.95</v>
      </c>
      <c r="BD90" s="197"/>
      <c r="BE90" s="918">
        <f>'Energy NPV'!U15</f>
        <v>158.5616</v>
      </c>
      <c r="BF90" s="197"/>
      <c r="BG90" s="197">
        <f t="shared" si="260"/>
        <v>158.5616</v>
      </c>
      <c r="BH90" s="197">
        <f t="shared" si="231"/>
        <v>-158.5616</v>
      </c>
      <c r="BI90" s="197">
        <f t="shared" si="232"/>
        <v>17.38839999999999</v>
      </c>
      <c r="BJ90" s="196">
        <f t="shared" si="261"/>
        <v>0</v>
      </c>
      <c r="BK90" s="197">
        <f t="shared" si="262"/>
        <v>162.67566568047334</v>
      </c>
      <c r="BL90" s="197">
        <f t="shared" si="263"/>
        <v>146.59911242603548</v>
      </c>
      <c r="BM90" s="197">
        <f t="shared" si="264"/>
        <v>-146.59911242603548</v>
      </c>
      <c r="BN90" s="199">
        <f t="shared" si="265"/>
        <v>16.076553254437858</v>
      </c>
      <c r="BO90" s="196">
        <f t="shared" ref="BO90:BO103" si="297">BO89+BJ90</f>
        <v>0</v>
      </c>
      <c r="BP90" s="197">
        <f t="shared" si="266"/>
        <v>507.80835798816565</v>
      </c>
      <c r="BQ90" s="197">
        <f t="shared" si="267"/>
        <v>2797.3589733491126</v>
      </c>
      <c r="BR90" s="197">
        <f t="shared" si="268"/>
        <v>-2797.3589733491126</v>
      </c>
      <c r="BS90" s="199">
        <f t="shared" si="269"/>
        <v>-2289.5506153609472</v>
      </c>
      <c r="BT90" s="197"/>
      <c r="BV90" s="420">
        <v>3</v>
      </c>
      <c r="BW90" s="759">
        <f>'Energy NPV'!$D15</f>
        <v>0</v>
      </c>
      <c r="BX90" s="197">
        <f>'Energy Inputs'!$D$58*$BX$84</f>
        <v>144</v>
      </c>
      <c r="BY90" s="197">
        <f t="shared" ref="BY90:BY103" si="298">BW90*BX90</f>
        <v>0</v>
      </c>
      <c r="BZ90" s="197">
        <f>'Margins summary'!$Q$14</f>
        <v>175.95</v>
      </c>
      <c r="CA90" s="197">
        <f t="shared" si="270"/>
        <v>175.95</v>
      </c>
      <c r="CB90" s="197"/>
      <c r="CC90" s="918">
        <f>'Energy NPV'!U15</f>
        <v>158.5616</v>
      </c>
      <c r="CD90" s="197"/>
      <c r="CE90" s="197">
        <f t="shared" si="271"/>
        <v>158.5616</v>
      </c>
      <c r="CF90" s="197">
        <f t="shared" si="233"/>
        <v>-158.5616</v>
      </c>
      <c r="CG90" s="197">
        <f t="shared" si="234"/>
        <v>17.38839999999999</v>
      </c>
      <c r="CH90" s="196">
        <f t="shared" si="272"/>
        <v>0</v>
      </c>
      <c r="CI90" s="197">
        <f t="shared" si="273"/>
        <v>162.67566568047334</v>
      </c>
      <c r="CJ90" s="197">
        <f t="shared" si="274"/>
        <v>146.59911242603548</v>
      </c>
      <c r="CK90" s="197">
        <f t="shared" si="275"/>
        <v>-146.59911242603548</v>
      </c>
      <c r="CL90" s="199">
        <f t="shared" si="276"/>
        <v>16.076553254437858</v>
      </c>
      <c r="CM90" s="196">
        <f t="shared" ref="CM90:CM103" si="299">CM89+CH90</f>
        <v>0</v>
      </c>
      <c r="CN90" s="197">
        <f t="shared" si="277"/>
        <v>507.80835798816565</v>
      </c>
      <c r="CO90" s="197">
        <f t="shared" si="278"/>
        <v>2797.3589733491126</v>
      </c>
      <c r="CP90" s="197">
        <f t="shared" si="279"/>
        <v>-2797.3589733491126</v>
      </c>
      <c r="CQ90" s="199">
        <f t="shared" si="280"/>
        <v>-2289.5506153609472</v>
      </c>
      <c r="CR90" s="197"/>
      <c r="CT90" s="204">
        <f t="shared" ref="CT90:CT103" si="300">CT89+1</f>
        <v>3</v>
      </c>
      <c r="CU90" s="759">
        <f>'Energy NPV'!$D15</f>
        <v>0</v>
      </c>
      <c r="CV90" s="197">
        <f>'Energy Inputs'!$D$58*$CV$84</f>
        <v>0</v>
      </c>
      <c r="CW90" s="197">
        <f t="shared" ref="CW90:CW103" si="301">CU90*CV90</f>
        <v>0</v>
      </c>
      <c r="CX90" s="197">
        <f>'Margins summary'!$Q$14</f>
        <v>175.95</v>
      </c>
      <c r="CY90" s="197">
        <f t="shared" si="281"/>
        <v>175.95</v>
      </c>
      <c r="CZ90" s="197"/>
      <c r="DA90" s="918">
        <f>'Energy NPV'!U15</f>
        <v>158.5616</v>
      </c>
      <c r="DB90" s="197"/>
      <c r="DC90" s="197">
        <f t="shared" si="282"/>
        <v>158.5616</v>
      </c>
      <c r="DD90" s="197">
        <f t="shared" si="235"/>
        <v>-158.5616</v>
      </c>
      <c r="DE90" s="197">
        <f t="shared" si="236"/>
        <v>17.38839999999999</v>
      </c>
      <c r="DF90" s="196">
        <f t="shared" si="283"/>
        <v>0</v>
      </c>
      <c r="DG90" s="197">
        <f t="shared" si="284"/>
        <v>162.67566568047334</v>
      </c>
      <c r="DH90" s="197">
        <f t="shared" si="285"/>
        <v>146.59911242603548</v>
      </c>
      <c r="DI90" s="197">
        <f t="shared" si="286"/>
        <v>-146.59911242603548</v>
      </c>
      <c r="DJ90" s="199">
        <f t="shared" si="287"/>
        <v>16.076553254437858</v>
      </c>
      <c r="DK90" s="196">
        <f t="shared" ref="DK90:DK103" si="302">DK89+DF90</f>
        <v>0</v>
      </c>
      <c r="DL90" s="197">
        <f t="shared" si="288"/>
        <v>507.80835798816565</v>
      </c>
      <c r="DM90" s="197">
        <f t="shared" si="289"/>
        <v>2797.3589733491126</v>
      </c>
      <c r="DN90" s="197">
        <f t="shared" si="290"/>
        <v>-2797.3589733491126</v>
      </c>
      <c r="DO90" s="199">
        <f t="shared" si="291"/>
        <v>-2289.5506153609472</v>
      </c>
    </row>
    <row r="91" spans="2:119" x14ac:dyDescent="0.3">
      <c r="B91" s="900">
        <v>4</v>
      </c>
      <c r="C91" s="760">
        <f>'Energy NPV'!$D16</f>
        <v>30</v>
      </c>
      <c r="D91" s="197">
        <f>'Energy Inputs'!$D$58*$E$84</f>
        <v>72</v>
      </c>
      <c r="E91" s="197">
        <f t="shared" si="292"/>
        <v>2160</v>
      </c>
      <c r="F91" s="197">
        <f>'Margins summary'!$Q$14</f>
        <v>175.95</v>
      </c>
      <c r="G91" s="197">
        <f t="shared" si="237"/>
        <v>2335.9499999999998</v>
      </c>
      <c r="H91" s="197"/>
      <c r="I91" s="918">
        <f>'Energy NPV'!U16</f>
        <v>704.85838399999989</v>
      </c>
      <c r="J91" s="197"/>
      <c r="K91" s="197">
        <f t="shared" si="238"/>
        <v>704.85838399999989</v>
      </c>
      <c r="L91" s="197">
        <f t="shared" si="227"/>
        <v>1455.1416160000001</v>
      </c>
      <c r="M91" s="197">
        <f t="shared" si="228"/>
        <v>1631.0916159999999</v>
      </c>
      <c r="N91" s="196">
        <f t="shared" si="239"/>
        <v>1920.2321347291761</v>
      </c>
      <c r="O91" s="197">
        <f t="shared" si="240"/>
        <v>156.41890930814745</v>
      </c>
      <c r="P91" s="197">
        <f t="shared" si="241"/>
        <v>626.61653675466528</v>
      </c>
      <c r="Q91" s="197">
        <f t="shared" si="242"/>
        <v>1293.6155979745106</v>
      </c>
      <c r="R91" s="199">
        <f t="shared" si="243"/>
        <v>1450.0345072826581</v>
      </c>
      <c r="S91" s="196">
        <f t="shared" si="293"/>
        <v>1920.2321347291761</v>
      </c>
      <c r="T91" s="197">
        <f t="shared" si="244"/>
        <v>664.22726729631313</v>
      </c>
      <c r="U91" s="197">
        <f t="shared" si="245"/>
        <v>3423.9755101037781</v>
      </c>
      <c r="V91" s="197">
        <f t="shared" si="246"/>
        <v>-1503.743375374602</v>
      </c>
      <c r="W91" s="199">
        <f t="shared" si="247"/>
        <v>-839.51610807828911</v>
      </c>
      <c r="X91" s="197"/>
      <c r="Z91" s="900">
        <v>4</v>
      </c>
      <c r="AA91" s="759">
        <f>'Energy NPV'!$D16</f>
        <v>30</v>
      </c>
      <c r="AB91" s="197">
        <f>'Energy Inputs'!$D$58*$AB$84</f>
        <v>108</v>
      </c>
      <c r="AC91" s="197">
        <f t="shared" si="294"/>
        <v>3240</v>
      </c>
      <c r="AD91" s="197">
        <f>'Margins summary'!$Q$14</f>
        <v>175.95</v>
      </c>
      <c r="AE91" s="197">
        <f t="shared" si="248"/>
        <v>3415.95</v>
      </c>
      <c r="AF91" s="197"/>
      <c r="AG91" s="918">
        <f>'Energy NPV'!U16</f>
        <v>704.85838399999989</v>
      </c>
      <c r="AH91" s="197"/>
      <c r="AI91" s="197">
        <f t="shared" si="249"/>
        <v>704.85838399999989</v>
      </c>
      <c r="AJ91" s="197">
        <f t="shared" si="229"/>
        <v>2535.1416159999999</v>
      </c>
      <c r="AK91" s="197">
        <f t="shared" si="230"/>
        <v>2711.0916159999997</v>
      </c>
      <c r="AL91" s="196">
        <f t="shared" si="250"/>
        <v>2880.348202093764</v>
      </c>
      <c r="AM91" s="197">
        <f t="shared" si="251"/>
        <v>156.41890930814745</v>
      </c>
      <c r="AN91" s="197">
        <f t="shared" si="252"/>
        <v>626.61653675466528</v>
      </c>
      <c r="AO91" s="197">
        <f t="shared" si="253"/>
        <v>2253.7316653390985</v>
      </c>
      <c r="AP91" s="199">
        <f t="shared" si="254"/>
        <v>2410.1505746472458</v>
      </c>
      <c r="AQ91" s="196">
        <f t="shared" si="295"/>
        <v>2880.348202093764</v>
      </c>
      <c r="AR91" s="197">
        <f t="shared" si="255"/>
        <v>664.22726729631313</v>
      </c>
      <c r="AS91" s="197">
        <f t="shared" si="256"/>
        <v>3423.9755101037781</v>
      </c>
      <c r="AT91" s="197">
        <f t="shared" si="257"/>
        <v>-543.62730801001408</v>
      </c>
      <c r="AU91" s="199">
        <f t="shared" si="258"/>
        <v>120.5999592862986</v>
      </c>
      <c r="AV91" s="197"/>
      <c r="AX91" s="900">
        <v>4</v>
      </c>
      <c r="AY91" s="759">
        <f>'Energy NPV'!$D16</f>
        <v>30</v>
      </c>
      <c r="AZ91" s="197">
        <f>'Energy Inputs'!$D$58*$AZ$84</f>
        <v>36</v>
      </c>
      <c r="BA91" s="197">
        <f t="shared" si="296"/>
        <v>1080</v>
      </c>
      <c r="BB91" s="197">
        <f>'Margins summary'!$Q$14</f>
        <v>175.95</v>
      </c>
      <c r="BC91" s="197">
        <f t="shared" si="259"/>
        <v>1255.95</v>
      </c>
      <c r="BD91" s="197"/>
      <c r="BE91" s="918">
        <f>'Energy NPV'!U16</f>
        <v>704.85838399999989</v>
      </c>
      <c r="BF91" s="197"/>
      <c r="BG91" s="197">
        <f t="shared" si="260"/>
        <v>704.85838399999989</v>
      </c>
      <c r="BH91" s="197">
        <f t="shared" si="231"/>
        <v>375.14161600000011</v>
      </c>
      <c r="BI91" s="197">
        <f t="shared" si="232"/>
        <v>551.09161600000016</v>
      </c>
      <c r="BJ91" s="196">
        <f t="shared" si="261"/>
        <v>960.11606736458805</v>
      </c>
      <c r="BK91" s="197">
        <f t="shared" si="262"/>
        <v>156.41890930814745</v>
      </c>
      <c r="BL91" s="197">
        <f t="shared" si="263"/>
        <v>626.61653675466528</v>
      </c>
      <c r="BM91" s="197">
        <f t="shared" si="264"/>
        <v>333.49953060992272</v>
      </c>
      <c r="BN91" s="199">
        <f t="shared" si="265"/>
        <v>489.91843991807019</v>
      </c>
      <c r="BO91" s="196">
        <f t="shared" si="297"/>
        <v>960.11606736458805</v>
      </c>
      <c r="BP91" s="197">
        <f t="shared" si="266"/>
        <v>664.22726729631313</v>
      </c>
      <c r="BQ91" s="197">
        <f t="shared" si="267"/>
        <v>3423.9755101037781</v>
      </c>
      <c r="BR91" s="197">
        <f t="shared" si="268"/>
        <v>-2463.8594427391899</v>
      </c>
      <c r="BS91" s="199">
        <f t="shared" si="269"/>
        <v>-1799.632175442877</v>
      </c>
      <c r="BT91" s="197"/>
      <c r="BV91" s="420">
        <v>4</v>
      </c>
      <c r="BW91" s="759">
        <f>'Energy NPV'!$D16</f>
        <v>30</v>
      </c>
      <c r="BX91" s="197">
        <f>'Energy Inputs'!$D$58*$BX$84</f>
        <v>144</v>
      </c>
      <c r="BY91" s="197">
        <f t="shared" si="298"/>
        <v>4320</v>
      </c>
      <c r="BZ91" s="197">
        <f>'Margins summary'!$Q$14</f>
        <v>175.95</v>
      </c>
      <c r="CA91" s="197">
        <f t="shared" si="270"/>
        <v>4495.95</v>
      </c>
      <c r="CB91" s="197"/>
      <c r="CC91" s="918">
        <f>'Energy NPV'!U16</f>
        <v>704.85838399999989</v>
      </c>
      <c r="CD91" s="197"/>
      <c r="CE91" s="197">
        <f t="shared" si="271"/>
        <v>704.85838399999989</v>
      </c>
      <c r="CF91" s="197">
        <f t="shared" si="233"/>
        <v>3615.1416159999999</v>
      </c>
      <c r="CG91" s="197">
        <f t="shared" si="234"/>
        <v>3791.0916159999997</v>
      </c>
      <c r="CH91" s="196">
        <f t="shared" si="272"/>
        <v>3840.4642694583522</v>
      </c>
      <c r="CI91" s="197">
        <f t="shared" si="273"/>
        <v>156.41890930814745</v>
      </c>
      <c r="CJ91" s="197">
        <f t="shared" si="274"/>
        <v>626.61653675466528</v>
      </c>
      <c r="CK91" s="197">
        <f t="shared" si="275"/>
        <v>3213.8477327036867</v>
      </c>
      <c r="CL91" s="199">
        <f t="shared" si="276"/>
        <v>3370.2666420118339</v>
      </c>
      <c r="CM91" s="196">
        <f t="shared" si="299"/>
        <v>3840.4642694583522</v>
      </c>
      <c r="CN91" s="197">
        <f t="shared" si="277"/>
        <v>664.22726729631313</v>
      </c>
      <c r="CO91" s="197">
        <f t="shared" si="278"/>
        <v>3423.9755101037781</v>
      </c>
      <c r="CP91" s="197">
        <f t="shared" si="279"/>
        <v>416.48875935457409</v>
      </c>
      <c r="CQ91" s="199">
        <f t="shared" si="280"/>
        <v>1080.7160266508868</v>
      </c>
      <c r="CR91" s="197"/>
      <c r="CT91" s="204">
        <f t="shared" si="300"/>
        <v>4</v>
      </c>
      <c r="CU91" s="759">
        <f>'Energy NPV'!$D16</f>
        <v>30</v>
      </c>
      <c r="CV91" s="197">
        <f>'Energy Inputs'!$D$58*$CV$84</f>
        <v>0</v>
      </c>
      <c r="CW91" s="197">
        <f t="shared" si="301"/>
        <v>0</v>
      </c>
      <c r="CX91" s="197">
        <f>'Margins summary'!$Q$14</f>
        <v>175.95</v>
      </c>
      <c r="CY91" s="197">
        <f t="shared" si="281"/>
        <v>175.95</v>
      </c>
      <c r="CZ91" s="197"/>
      <c r="DA91" s="918">
        <f>'Energy NPV'!U16</f>
        <v>704.85838399999989</v>
      </c>
      <c r="DB91" s="197"/>
      <c r="DC91" s="197">
        <f t="shared" si="282"/>
        <v>704.85838399999989</v>
      </c>
      <c r="DD91" s="197">
        <f t="shared" si="235"/>
        <v>-704.85838399999989</v>
      </c>
      <c r="DE91" s="197">
        <f t="shared" si="236"/>
        <v>-528.90838399999984</v>
      </c>
      <c r="DF91" s="196">
        <f t="shared" si="283"/>
        <v>0</v>
      </c>
      <c r="DG91" s="197">
        <f t="shared" si="284"/>
        <v>156.41890930814745</v>
      </c>
      <c r="DH91" s="197">
        <f t="shared" si="285"/>
        <v>626.61653675466528</v>
      </c>
      <c r="DI91" s="197">
        <f t="shared" si="286"/>
        <v>-626.61653675466528</v>
      </c>
      <c r="DJ91" s="199">
        <f t="shared" si="287"/>
        <v>-470.1976274465178</v>
      </c>
      <c r="DK91" s="196">
        <f t="shared" si="302"/>
        <v>0</v>
      </c>
      <c r="DL91" s="197">
        <f t="shared" si="288"/>
        <v>664.22726729631313</v>
      </c>
      <c r="DM91" s="197">
        <f t="shared" si="289"/>
        <v>3423.9755101037781</v>
      </c>
      <c r="DN91" s="197">
        <f t="shared" si="290"/>
        <v>-3423.9755101037781</v>
      </c>
      <c r="DO91" s="199">
        <f t="shared" si="291"/>
        <v>-2759.748242807465</v>
      </c>
    </row>
    <row r="92" spans="2:119" x14ac:dyDescent="0.3">
      <c r="B92" s="900">
        <v>5</v>
      </c>
      <c r="C92" s="760">
        <f>'Energy NPV'!$D17</f>
        <v>0</v>
      </c>
      <c r="D92" s="197">
        <f>'Energy Inputs'!$D$58*$E$84</f>
        <v>72</v>
      </c>
      <c r="E92" s="197">
        <f t="shared" si="292"/>
        <v>0</v>
      </c>
      <c r="F92" s="197">
        <f>'Margins summary'!$Q$14</f>
        <v>175.95</v>
      </c>
      <c r="G92" s="197">
        <f t="shared" si="237"/>
        <v>175.95</v>
      </c>
      <c r="H92" s="197"/>
      <c r="I92" s="918">
        <f>'Energy NPV'!U17</f>
        <v>45.561599999999999</v>
      </c>
      <c r="J92" s="197"/>
      <c r="K92" s="197">
        <f t="shared" si="238"/>
        <v>45.561599999999999</v>
      </c>
      <c r="L92" s="197">
        <f t="shared" si="227"/>
        <v>-45.561599999999999</v>
      </c>
      <c r="M92" s="197">
        <f t="shared" si="228"/>
        <v>130.38839999999999</v>
      </c>
      <c r="N92" s="196">
        <f t="shared" si="239"/>
        <v>0</v>
      </c>
      <c r="O92" s="197">
        <f t="shared" si="240"/>
        <v>150.40279741168024</v>
      </c>
      <c r="P92" s="197">
        <f t="shared" si="241"/>
        <v>38.946246630019949</v>
      </c>
      <c r="Q92" s="197">
        <f t="shared" si="242"/>
        <v>-38.946246630019949</v>
      </c>
      <c r="R92" s="199">
        <f t="shared" si="243"/>
        <v>111.45655078166028</v>
      </c>
      <c r="S92" s="196">
        <f t="shared" si="293"/>
        <v>1920.2321347291761</v>
      </c>
      <c r="T92" s="197">
        <f t="shared" si="244"/>
        <v>814.63006470799337</v>
      </c>
      <c r="U92" s="197">
        <f t="shared" si="245"/>
        <v>3462.9217567337982</v>
      </c>
      <c r="V92" s="197">
        <f t="shared" si="246"/>
        <v>-1542.6896220046219</v>
      </c>
      <c r="W92" s="199">
        <f t="shared" si="247"/>
        <v>-728.05955729662878</v>
      </c>
      <c r="X92" s="197"/>
      <c r="Z92" s="900">
        <v>5</v>
      </c>
      <c r="AA92" s="759">
        <f>'Energy NPV'!$D17</f>
        <v>0</v>
      </c>
      <c r="AB92" s="197">
        <f>'Energy Inputs'!$D$58*$AB$84</f>
        <v>108</v>
      </c>
      <c r="AC92" s="197">
        <f t="shared" si="294"/>
        <v>0</v>
      </c>
      <c r="AD92" s="197">
        <f>'Margins summary'!$Q$14</f>
        <v>175.95</v>
      </c>
      <c r="AE92" s="197">
        <f t="shared" si="248"/>
        <v>175.95</v>
      </c>
      <c r="AF92" s="197"/>
      <c r="AG92" s="918">
        <f>'Energy NPV'!U17</f>
        <v>45.561599999999999</v>
      </c>
      <c r="AH92" s="197"/>
      <c r="AI92" s="197">
        <f t="shared" si="249"/>
        <v>45.561599999999999</v>
      </c>
      <c r="AJ92" s="197">
        <f t="shared" si="229"/>
        <v>-45.561599999999999</v>
      </c>
      <c r="AK92" s="197">
        <f t="shared" si="230"/>
        <v>130.38839999999999</v>
      </c>
      <c r="AL92" s="196">
        <f t="shared" si="250"/>
        <v>0</v>
      </c>
      <c r="AM92" s="197">
        <f t="shared" si="251"/>
        <v>150.40279741168024</v>
      </c>
      <c r="AN92" s="197">
        <f t="shared" si="252"/>
        <v>38.946246630019949</v>
      </c>
      <c r="AO92" s="197">
        <f t="shared" si="253"/>
        <v>-38.946246630019949</v>
      </c>
      <c r="AP92" s="199">
        <f t="shared" si="254"/>
        <v>111.45655078166028</v>
      </c>
      <c r="AQ92" s="196">
        <f t="shared" si="295"/>
        <v>2880.348202093764</v>
      </c>
      <c r="AR92" s="197">
        <f t="shared" si="255"/>
        <v>814.63006470799337</v>
      </c>
      <c r="AS92" s="197">
        <f t="shared" si="256"/>
        <v>3462.9217567337982</v>
      </c>
      <c r="AT92" s="197">
        <f t="shared" si="257"/>
        <v>-582.57355464003399</v>
      </c>
      <c r="AU92" s="199">
        <f t="shared" si="258"/>
        <v>232.05651006795887</v>
      </c>
      <c r="AV92" s="197"/>
      <c r="AX92" s="900">
        <v>5</v>
      </c>
      <c r="AY92" s="759">
        <f>'Energy NPV'!$D17</f>
        <v>0</v>
      </c>
      <c r="AZ92" s="197">
        <f>'Energy Inputs'!$D$58*$AZ$84</f>
        <v>36</v>
      </c>
      <c r="BA92" s="197">
        <f t="shared" si="296"/>
        <v>0</v>
      </c>
      <c r="BB92" s="197">
        <f>'Margins summary'!$Q$14</f>
        <v>175.95</v>
      </c>
      <c r="BC92" s="197">
        <f t="shared" si="259"/>
        <v>175.95</v>
      </c>
      <c r="BD92" s="197"/>
      <c r="BE92" s="918">
        <f>'Energy NPV'!U17</f>
        <v>45.561599999999999</v>
      </c>
      <c r="BF92" s="197"/>
      <c r="BG92" s="197">
        <f t="shared" si="260"/>
        <v>45.561599999999999</v>
      </c>
      <c r="BH92" s="197">
        <f t="shared" si="231"/>
        <v>-45.561599999999999</v>
      </c>
      <c r="BI92" s="197">
        <f t="shared" si="232"/>
        <v>130.38839999999999</v>
      </c>
      <c r="BJ92" s="196">
        <f t="shared" si="261"/>
        <v>0</v>
      </c>
      <c r="BK92" s="197">
        <f t="shared" si="262"/>
        <v>150.40279741168024</v>
      </c>
      <c r="BL92" s="197">
        <f t="shared" si="263"/>
        <v>38.946246630019949</v>
      </c>
      <c r="BM92" s="197">
        <f t="shared" si="264"/>
        <v>-38.946246630019949</v>
      </c>
      <c r="BN92" s="199">
        <f t="shared" si="265"/>
        <v>111.45655078166028</v>
      </c>
      <c r="BO92" s="196">
        <f t="shared" si="297"/>
        <v>960.11606736458805</v>
      </c>
      <c r="BP92" s="197">
        <f t="shared" si="266"/>
        <v>814.63006470799337</v>
      </c>
      <c r="BQ92" s="197">
        <f t="shared" si="267"/>
        <v>3462.9217567337982</v>
      </c>
      <c r="BR92" s="197">
        <f t="shared" si="268"/>
        <v>-2502.8056893692101</v>
      </c>
      <c r="BS92" s="199">
        <f t="shared" si="269"/>
        <v>-1688.1756246612167</v>
      </c>
      <c r="BT92" s="197"/>
      <c r="BV92" s="420">
        <v>5</v>
      </c>
      <c r="BW92" s="759">
        <f>'Energy NPV'!$D17</f>
        <v>0</v>
      </c>
      <c r="BX92" s="197">
        <f>'Energy Inputs'!$D$58*$BX$84</f>
        <v>144</v>
      </c>
      <c r="BY92" s="197">
        <f t="shared" si="298"/>
        <v>0</v>
      </c>
      <c r="BZ92" s="197">
        <f>'Margins summary'!$Q$14</f>
        <v>175.95</v>
      </c>
      <c r="CA92" s="197">
        <f t="shared" si="270"/>
        <v>175.95</v>
      </c>
      <c r="CB92" s="197"/>
      <c r="CC92" s="918">
        <f>'Energy NPV'!U17</f>
        <v>45.561599999999999</v>
      </c>
      <c r="CD92" s="197"/>
      <c r="CE92" s="197">
        <f t="shared" si="271"/>
        <v>45.561599999999999</v>
      </c>
      <c r="CF92" s="197">
        <f t="shared" si="233"/>
        <v>-45.561599999999999</v>
      </c>
      <c r="CG92" s="197">
        <f t="shared" si="234"/>
        <v>130.38839999999999</v>
      </c>
      <c r="CH92" s="196">
        <f t="shared" si="272"/>
        <v>0</v>
      </c>
      <c r="CI92" s="197">
        <f t="shared" si="273"/>
        <v>150.40279741168024</v>
      </c>
      <c r="CJ92" s="197">
        <f t="shared" si="274"/>
        <v>38.946246630019949</v>
      </c>
      <c r="CK92" s="197">
        <f t="shared" si="275"/>
        <v>-38.946246630019949</v>
      </c>
      <c r="CL92" s="199">
        <f t="shared" si="276"/>
        <v>111.45655078166028</v>
      </c>
      <c r="CM92" s="196">
        <f t="shared" si="299"/>
        <v>3840.4642694583522</v>
      </c>
      <c r="CN92" s="197">
        <f t="shared" si="277"/>
        <v>814.63006470799337</v>
      </c>
      <c r="CO92" s="197">
        <f t="shared" si="278"/>
        <v>3462.9217567337982</v>
      </c>
      <c r="CP92" s="197">
        <f t="shared" si="279"/>
        <v>377.54251272455411</v>
      </c>
      <c r="CQ92" s="199">
        <f t="shared" si="280"/>
        <v>1192.1725774325471</v>
      </c>
      <c r="CR92" s="197"/>
      <c r="CT92" s="204">
        <f t="shared" si="300"/>
        <v>5</v>
      </c>
      <c r="CU92" s="759">
        <f>'Energy NPV'!$D17</f>
        <v>0</v>
      </c>
      <c r="CV92" s="197">
        <f>'Energy Inputs'!$D$58*$CV$84</f>
        <v>0</v>
      </c>
      <c r="CW92" s="197">
        <f t="shared" si="301"/>
        <v>0</v>
      </c>
      <c r="CX92" s="197">
        <f>'Margins summary'!$Q$14</f>
        <v>175.95</v>
      </c>
      <c r="CY92" s="197">
        <f t="shared" si="281"/>
        <v>175.95</v>
      </c>
      <c r="CZ92" s="197"/>
      <c r="DA92" s="918">
        <f>'Energy NPV'!U17</f>
        <v>45.561599999999999</v>
      </c>
      <c r="DB92" s="197"/>
      <c r="DC92" s="197">
        <f t="shared" si="282"/>
        <v>45.561599999999999</v>
      </c>
      <c r="DD92" s="197">
        <f t="shared" si="235"/>
        <v>-45.561599999999999</v>
      </c>
      <c r="DE92" s="197">
        <f t="shared" si="236"/>
        <v>130.38839999999999</v>
      </c>
      <c r="DF92" s="196">
        <f t="shared" si="283"/>
        <v>0</v>
      </c>
      <c r="DG92" s="197">
        <f t="shared" si="284"/>
        <v>150.40279741168024</v>
      </c>
      <c r="DH92" s="197">
        <f t="shared" si="285"/>
        <v>38.946246630019949</v>
      </c>
      <c r="DI92" s="197">
        <f t="shared" si="286"/>
        <v>-38.946246630019949</v>
      </c>
      <c r="DJ92" s="199">
        <f t="shared" si="287"/>
        <v>111.45655078166028</v>
      </c>
      <c r="DK92" s="196">
        <f t="shared" si="302"/>
        <v>0</v>
      </c>
      <c r="DL92" s="197">
        <f t="shared" si="288"/>
        <v>814.63006470799337</v>
      </c>
      <c r="DM92" s="197">
        <f t="shared" si="289"/>
        <v>3462.9217567337982</v>
      </c>
      <c r="DN92" s="197">
        <f t="shared" si="290"/>
        <v>-3462.9217567337982</v>
      </c>
      <c r="DO92" s="199">
        <f t="shared" si="291"/>
        <v>-2648.2916920258049</v>
      </c>
    </row>
    <row r="93" spans="2:119" x14ac:dyDescent="0.3">
      <c r="B93" s="900">
        <v>6</v>
      </c>
      <c r="C93" s="760">
        <f>'Energy NPV'!$D18</f>
        <v>0</v>
      </c>
      <c r="D93" s="197">
        <f>'Energy Inputs'!$D$58*$E$84</f>
        <v>72</v>
      </c>
      <c r="E93" s="197">
        <f t="shared" si="292"/>
        <v>0</v>
      </c>
      <c r="F93" s="197">
        <f>'Margins summary'!$Q$14</f>
        <v>175.95</v>
      </c>
      <c r="G93" s="197">
        <f t="shared" si="237"/>
        <v>175.95</v>
      </c>
      <c r="H93" s="197"/>
      <c r="I93" s="918">
        <f>'Energy NPV'!U18</f>
        <v>45.561599999999999</v>
      </c>
      <c r="J93" s="197"/>
      <c r="K93" s="197">
        <f t="shared" si="238"/>
        <v>45.561599999999999</v>
      </c>
      <c r="L93" s="197">
        <f t="shared" si="227"/>
        <v>-45.561599999999999</v>
      </c>
      <c r="M93" s="197">
        <f t="shared" si="228"/>
        <v>130.38839999999999</v>
      </c>
      <c r="N93" s="196">
        <f t="shared" si="239"/>
        <v>0</v>
      </c>
      <c r="O93" s="197">
        <f t="shared" si="240"/>
        <v>144.61807443430789</v>
      </c>
      <c r="P93" s="197">
        <f t="shared" si="241"/>
        <v>37.448314067326869</v>
      </c>
      <c r="Q93" s="197">
        <f t="shared" si="242"/>
        <v>-37.448314067326869</v>
      </c>
      <c r="R93" s="199">
        <f t="shared" si="243"/>
        <v>107.16976036698102</v>
      </c>
      <c r="S93" s="196">
        <f t="shared" si="293"/>
        <v>1920.2321347291761</v>
      </c>
      <c r="T93" s="197">
        <f t="shared" si="244"/>
        <v>959.24813914230128</v>
      </c>
      <c r="U93" s="197">
        <f t="shared" si="245"/>
        <v>3500.3700708011252</v>
      </c>
      <c r="V93" s="197">
        <f t="shared" si="246"/>
        <v>-1580.1379360719488</v>
      </c>
      <c r="W93" s="199">
        <f t="shared" si="247"/>
        <v>-620.88979692964779</v>
      </c>
      <c r="X93" s="197"/>
      <c r="Z93" s="900">
        <v>6</v>
      </c>
      <c r="AA93" s="759">
        <f>'Energy NPV'!$D18</f>
        <v>0</v>
      </c>
      <c r="AB93" s="197">
        <f>'Energy Inputs'!$D$58*$AB$84</f>
        <v>108</v>
      </c>
      <c r="AC93" s="197">
        <f t="shared" si="294"/>
        <v>0</v>
      </c>
      <c r="AD93" s="197">
        <f>'Margins summary'!$Q$14</f>
        <v>175.95</v>
      </c>
      <c r="AE93" s="197">
        <f t="shared" si="248"/>
        <v>175.95</v>
      </c>
      <c r="AF93" s="197"/>
      <c r="AG93" s="918">
        <f>'Energy NPV'!U18</f>
        <v>45.561599999999999</v>
      </c>
      <c r="AH93" s="197"/>
      <c r="AI93" s="197">
        <f t="shared" si="249"/>
        <v>45.561599999999999</v>
      </c>
      <c r="AJ93" s="197">
        <f t="shared" si="229"/>
        <v>-45.561599999999999</v>
      </c>
      <c r="AK93" s="197">
        <f t="shared" si="230"/>
        <v>130.38839999999999</v>
      </c>
      <c r="AL93" s="196">
        <f t="shared" si="250"/>
        <v>0</v>
      </c>
      <c r="AM93" s="197">
        <f t="shared" si="251"/>
        <v>144.61807443430789</v>
      </c>
      <c r="AN93" s="197">
        <f t="shared" si="252"/>
        <v>37.448314067326869</v>
      </c>
      <c r="AO93" s="197">
        <f t="shared" si="253"/>
        <v>-37.448314067326869</v>
      </c>
      <c r="AP93" s="199">
        <f t="shared" si="254"/>
        <v>107.16976036698102</v>
      </c>
      <c r="AQ93" s="196">
        <f t="shared" si="295"/>
        <v>2880.348202093764</v>
      </c>
      <c r="AR93" s="197">
        <f t="shared" si="255"/>
        <v>959.24813914230128</v>
      </c>
      <c r="AS93" s="197">
        <f t="shared" si="256"/>
        <v>3500.3700708011252</v>
      </c>
      <c r="AT93" s="197">
        <f t="shared" si="257"/>
        <v>-620.02186870736091</v>
      </c>
      <c r="AU93" s="199">
        <f t="shared" si="258"/>
        <v>339.22627043493992</v>
      </c>
      <c r="AV93" s="197"/>
      <c r="AX93" s="900">
        <v>6</v>
      </c>
      <c r="AY93" s="759">
        <f>'Energy NPV'!$D18</f>
        <v>0</v>
      </c>
      <c r="AZ93" s="197">
        <f>'Energy Inputs'!$D$58*$AZ$84</f>
        <v>36</v>
      </c>
      <c r="BA93" s="197">
        <f t="shared" si="296"/>
        <v>0</v>
      </c>
      <c r="BB93" s="197">
        <f>'Margins summary'!$Q$14</f>
        <v>175.95</v>
      </c>
      <c r="BC93" s="197">
        <f t="shared" si="259"/>
        <v>175.95</v>
      </c>
      <c r="BD93" s="197"/>
      <c r="BE93" s="918">
        <f>'Energy NPV'!U18</f>
        <v>45.561599999999999</v>
      </c>
      <c r="BF93" s="197"/>
      <c r="BG93" s="197">
        <f t="shared" si="260"/>
        <v>45.561599999999999</v>
      </c>
      <c r="BH93" s="197">
        <f t="shared" si="231"/>
        <v>-45.561599999999999</v>
      </c>
      <c r="BI93" s="197">
        <f t="shared" si="232"/>
        <v>130.38839999999999</v>
      </c>
      <c r="BJ93" s="196">
        <f t="shared" si="261"/>
        <v>0</v>
      </c>
      <c r="BK93" s="197">
        <f t="shared" si="262"/>
        <v>144.61807443430789</v>
      </c>
      <c r="BL93" s="197">
        <f t="shared" si="263"/>
        <v>37.448314067326869</v>
      </c>
      <c r="BM93" s="197">
        <f t="shared" si="264"/>
        <v>-37.448314067326869</v>
      </c>
      <c r="BN93" s="199">
        <f t="shared" si="265"/>
        <v>107.16976036698102</v>
      </c>
      <c r="BO93" s="196">
        <f t="shared" si="297"/>
        <v>960.11606736458805</v>
      </c>
      <c r="BP93" s="197">
        <f t="shared" si="266"/>
        <v>959.24813914230128</v>
      </c>
      <c r="BQ93" s="197">
        <f t="shared" si="267"/>
        <v>3500.3700708011252</v>
      </c>
      <c r="BR93" s="197">
        <f t="shared" si="268"/>
        <v>-2540.254003436537</v>
      </c>
      <c r="BS93" s="199">
        <f t="shared" si="269"/>
        <v>-1581.0058642942356</v>
      </c>
      <c r="BT93" s="197"/>
      <c r="BV93" s="420">
        <v>6</v>
      </c>
      <c r="BW93" s="759">
        <f>'Energy NPV'!$D18</f>
        <v>0</v>
      </c>
      <c r="BX93" s="197">
        <f>'Energy Inputs'!$D$58*$BX$84</f>
        <v>144</v>
      </c>
      <c r="BY93" s="197">
        <f t="shared" si="298"/>
        <v>0</v>
      </c>
      <c r="BZ93" s="197">
        <f>'Margins summary'!$Q$14</f>
        <v>175.95</v>
      </c>
      <c r="CA93" s="197">
        <f t="shared" si="270"/>
        <v>175.95</v>
      </c>
      <c r="CB93" s="197"/>
      <c r="CC93" s="918">
        <f>'Energy NPV'!U18</f>
        <v>45.561599999999999</v>
      </c>
      <c r="CD93" s="197"/>
      <c r="CE93" s="197">
        <f t="shared" si="271"/>
        <v>45.561599999999999</v>
      </c>
      <c r="CF93" s="197">
        <f t="shared" si="233"/>
        <v>-45.561599999999999</v>
      </c>
      <c r="CG93" s="197">
        <f t="shared" si="234"/>
        <v>130.38839999999999</v>
      </c>
      <c r="CH93" s="196">
        <f t="shared" si="272"/>
        <v>0</v>
      </c>
      <c r="CI93" s="197">
        <f t="shared" si="273"/>
        <v>144.61807443430789</v>
      </c>
      <c r="CJ93" s="197">
        <f t="shared" si="274"/>
        <v>37.448314067326869</v>
      </c>
      <c r="CK93" s="197">
        <f t="shared" si="275"/>
        <v>-37.448314067326869</v>
      </c>
      <c r="CL93" s="199">
        <f t="shared" si="276"/>
        <v>107.16976036698102</v>
      </c>
      <c r="CM93" s="196">
        <f t="shared" si="299"/>
        <v>3840.4642694583522</v>
      </c>
      <c r="CN93" s="197">
        <f t="shared" si="277"/>
        <v>959.24813914230128</v>
      </c>
      <c r="CO93" s="197">
        <f t="shared" si="278"/>
        <v>3500.3700708011252</v>
      </c>
      <c r="CP93" s="197">
        <f t="shared" si="279"/>
        <v>340.09419865722725</v>
      </c>
      <c r="CQ93" s="199">
        <f t="shared" si="280"/>
        <v>1299.3423377995282</v>
      </c>
      <c r="CR93" s="197"/>
      <c r="CT93" s="204">
        <f t="shared" si="300"/>
        <v>6</v>
      </c>
      <c r="CU93" s="759">
        <f>'Energy NPV'!$D18</f>
        <v>0</v>
      </c>
      <c r="CV93" s="197">
        <f>'Energy Inputs'!$D$58*$CV$84</f>
        <v>0</v>
      </c>
      <c r="CW93" s="197">
        <f t="shared" si="301"/>
        <v>0</v>
      </c>
      <c r="CX93" s="197">
        <f>'Margins summary'!$Q$14</f>
        <v>175.95</v>
      </c>
      <c r="CY93" s="197">
        <f t="shared" si="281"/>
        <v>175.95</v>
      </c>
      <c r="CZ93" s="197"/>
      <c r="DA93" s="918">
        <f>'Energy NPV'!U18</f>
        <v>45.561599999999999</v>
      </c>
      <c r="DB93" s="197"/>
      <c r="DC93" s="197">
        <f t="shared" si="282"/>
        <v>45.561599999999999</v>
      </c>
      <c r="DD93" s="197">
        <f t="shared" si="235"/>
        <v>-45.561599999999999</v>
      </c>
      <c r="DE93" s="197">
        <f t="shared" si="236"/>
        <v>130.38839999999999</v>
      </c>
      <c r="DF93" s="196">
        <f t="shared" si="283"/>
        <v>0</v>
      </c>
      <c r="DG93" s="197">
        <f t="shared" si="284"/>
        <v>144.61807443430789</v>
      </c>
      <c r="DH93" s="197">
        <f t="shared" si="285"/>
        <v>37.448314067326869</v>
      </c>
      <c r="DI93" s="197">
        <f t="shared" si="286"/>
        <v>-37.448314067326869</v>
      </c>
      <c r="DJ93" s="199">
        <f t="shared" si="287"/>
        <v>107.16976036698102</v>
      </c>
      <c r="DK93" s="196">
        <f t="shared" si="302"/>
        <v>0</v>
      </c>
      <c r="DL93" s="197">
        <f t="shared" si="288"/>
        <v>959.24813914230128</v>
      </c>
      <c r="DM93" s="197">
        <f t="shared" si="289"/>
        <v>3500.3700708011252</v>
      </c>
      <c r="DN93" s="197">
        <f t="shared" si="290"/>
        <v>-3500.3700708011252</v>
      </c>
      <c r="DO93" s="199">
        <f t="shared" si="291"/>
        <v>-2541.121931658824</v>
      </c>
    </row>
    <row r="94" spans="2:119" x14ac:dyDescent="0.3">
      <c r="B94" s="900">
        <v>7</v>
      </c>
      <c r="C94" s="760">
        <f>'Energy NPV'!$D19</f>
        <v>30</v>
      </c>
      <c r="D94" s="197">
        <f>'Energy Inputs'!$D$58*$E$84</f>
        <v>72</v>
      </c>
      <c r="E94" s="197">
        <f t="shared" si="292"/>
        <v>2160</v>
      </c>
      <c r="F94" s="197">
        <f>'Margins summary'!$Q$14</f>
        <v>175.95</v>
      </c>
      <c r="G94" s="197">
        <f t="shared" si="237"/>
        <v>2335.9499999999998</v>
      </c>
      <c r="H94" s="197"/>
      <c r="I94" s="918">
        <f>'Energy NPV'!U19</f>
        <v>704.85838399999989</v>
      </c>
      <c r="J94" s="197"/>
      <c r="K94" s="197">
        <f t="shared" si="238"/>
        <v>704.85838399999989</v>
      </c>
      <c r="L94" s="197">
        <f t="shared" si="227"/>
        <v>1455.1416160000001</v>
      </c>
      <c r="M94" s="197">
        <f t="shared" si="228"/>
        <v>1631.0916159999999</v>
      </c>
      <c r="N94" s="196">
        <f t="shared" si="239"/>
        <v>1707.0793755771147</v>
      </c>
      <c r="O94" s="197">
        <f t="shared" si="240"/>
        <v>139.05584080221914</v>
      </c>
      <c r="P94" s="197">
        <f t="shared" si="241"/>
        <v>557.05981945787687</v>
      </c>
      <c r="Q94" s="197">
        <f t="shared" si="242"/>
        <v>1150.0195561192379</v>
      </c>
      <c r="R94" s="199">
        <f t="shared" si="243"/>
        <v>1289.0753969214568</v>
      </c>
      <c r="S94" s="196">
        <f t="shared" si="293"/>
        <v>3627.311510306291</v>
      </c>
      <c r="T94" s="197">
        <f t="shared" si="244"/>
        <v>1098.3039799445205</v>
      </c>
      <c r="U94" s="197">
        <f t="shared" si="245"/>
        <v>4057.4298902590021</v>
      </c>
      <c r="V94" s="197">
        <f t="shared" si="246"/>
        <v>-430.11837995271094</v>
      </c>
      <c r="W94" s="199">
        <f t="shared" si="247"/>
        <v>668.185599991809</v>
      </c>
      <c r="X94" s="197"/>
      <c r="Z94" s="900">
        <v>7</v>
      </c>
      <c r="AA94" s="759">
        <f>'Energy NPV'!$D19</f>
        <v>30</v>
      </c>
      <c r="AB94" s="197">
        <f>'Energy Inputs'!$D$58*$AB$84</f>
        <v>108</v>
      </c>
      <c r="AC94" s="197">
        <f t="shared" si="294"/>
        <v>3240</v>
      </c>
      <c r="AD94" s="197">
        <f>'Margins summary'!$Q$14</f>
        <v>175.95</v>
      </c>
      <c r="AE94" s="197">
        <f t="shared" si="248"/>
        <v>3415.95</v>
      </c>
      <c r="AF94" s="197"/>
      <c r="AG94" s="918">
        <f>'Energy NPV'!U19</f>
        <v>704.85838399999989</v>
      </c>
      <c r="AH94" s="197"/>
      <c r="AI94" s="197">
        <f t="shared" si="249"/>
        <v>704.85838399999989</v>
      </c>
      <c r="AJ94" s="197">
        <f t="shared" si="229"/>
        <v>2535.1416159999999</v>
      </c>
      <c r="AK94" s="197">
        <f t="shared" si="230"/>
        <v>2711.0916159999997</v>
      </c>
      <c r="AL94" s="196">
        <f t="shared" si="250"/>
        <v>2560.619063365672</v>
      </c>
      <c r="AM94" s="197">
        <f t="shared" si="251"/>
        <v>139.05584080221914</v>
      </c>
      <c r="AN94" s="197">
        <f t="shared" si="252"/>
        <v>557.05981945787687</v>
      </c>
      <c r="AO94" s="197">
        <f t="shared" si="253"/>
        <v>2003.559243907795</v>
      </c>
      <c r="AP94" s="199">
        <f t="shared" si="254"/>
        <v>2142.6150847100139</v>
      </c>
      <c r="AQ94" s="196">
        <f t="shared" si="295"/>
        <v>5440.967265459436</v>
      </c>
      <c r="AR94" s="197">
        <f t="shared" si="255"/>
        <v>1098.3039799445205</v>
      </c>
      <c r="AS94" s="197">
        <f t="shared" si="256"/>
        <v>4057.4298902590021</v>
      </c>
      <c r="AT94" s="197">
        <f t="shared" si="257"/>
        <v>1383.5373752004341</v>
      </c>
      <c r="AU94" s="199">
        <f t="shared" si="258"/>
        <v>2481.8413551449539</v>
      </c>
      <c r="AV94" s="197"/>
      <c r="AX94" s="900">
        <v>7</v>
      </c>
      <c r="AY94" s="759">
        <f>'Energy NPV'!$D19</f>
        <v>30</v>
      </c>
      <c r="AZ94" s="197">
        <f>'Energy Inputs'!$D$58*$AZ$84</f>
        <v>36</v>
      </c>
      <c r="BA94" s="197">
        <f t="shared" si="296"/>
        <v>1080</v>
      </c>
      <c r="BB94" s="197">
        <f>'Margins summary'!$Q$14</f>
        <v>175.95</v>
      </c>
      <c r="BC94" s="197">
        <f t="shared" si="259"/>
        <v>1255.95</v>
      </c>
      <c r="BD94" s="197"/>
      <c r="BE94" s="918">
        <f>'Energy NPV'!U19</f>
        <v>704.85838399999989</v>
      </c>
      <c r="BF94" s="197"/>
      <c r="BG94" s="197">
        <f t="shared" si="260"/>
        <v>704.85838399999989</v>
      </c>
      <c r="BH94" s="197">
        <f t="shared" si="231"/>
        <v>375.14161600000011</v>
      </c>
      <c r="BI94" s="197">
        <f t="shared" si="232"/>
        <v>551.09161600000016</v>
      </c>
      <c r="BJ94" s="196">
        <f t="shared" si="261"/>
        <v>853.53968778855733</v>
      </c>
      <c r="BK94" s="197">
        <f t="shared" si="262"/>
        <v>139.05584080221914</v>
      </c>
      <c r="BL94" s="197">
        <f t="shared" si="263"/>
        <v>557.05981945787687</v>
      </c>
      <c r="BM94" s="197">
        <f t="shared" si="264"/>
        <v>296.47986833068052</v>
      </c>
      <c r="BN94" s="199">
        <f t="shared" si="265"/>
        <v>435.53570913289968</v>
      </c>
      <c r="BO94" s="196">
        <f t="shared" si="297"/>
        <v>1813.6557551531455</v>
      </c>
      <c r="BP94" s="197">
        <f t="shared" si="266"/>
        <v>1098.3039799445205</v>
      </c>
      <c r="BQ94" s="197">
        <f t="shared" si="267"/>
        <v>4057.4298902590021</v>
      </c>
      <c r="BR94" s="197">
        <f t="shared" si="268"/>
        <v>-2243.7741351058567</v>
      </c>
      <c r="BS94" s="199">
        <f t="shared" si="269"/>
        <v>-1145.4701551613359</v>
      </c>
      <c r="BT94" s="197"/>
      <c r="BV94" s="420">
        <v>7</v>
      </c>
      <c r="BW94" s="759">
        <f>'Energy NPV'!$D19</f>
        <v>30</v>
      </c>
      <c r="BX94" s="197">
        <f>'Energy Inputs'!$D$58*$BX$84</f>
        <v>144</v>
      </c>
      <c r="BY94" s="197">
        <f t="shared" si="298"/>
        <v>4320</v>
      </c>
      <c r="BZ94" s="197">
        <f>'Margins summary'!$Q$14</f>
        <v>175.95</v>
      </c>
      <c r="CA94" s="197">
        <f t="shared" si="270"/>
        <v>4495.95</v>
      </c>
      <c r="CB94" s="197"/>
      <c r="CC94" s="918">
        <f>'Energy NPV'!U19</f>
        <v>704.85838399999989</v>
      </c>
      <c r="CD94" s="197"/>
      <c r="CE94" s="197">
        <f t="shared" si="271"/>
        <v>704.85838399999989</v>
      </c>
      <c r="CF94" s="197">
        <f t="shared" si="233"/>
        <v>3615.1416159999999</v>
      </c>
      <c r="CG94" s="197">
        <f t="shared" si="234"/>
        <v>3791.0916159999997</v>
      </c>
      <c r="CH94" s="196">
        <f t="shared" si="272"/>
        <v>3414.1587511542293</v>
      </c>
      <c r="CI94" s="197">
        <f t="shared" si="273"/>
        <v>139.05584080221914</v>
      </c>
      <c r="CJ94" s="197">
        <f t="shared" si="274"/>
        <v>557.05981945787687</v>
      </c>
      <c r="CK94" s="197">
        <f t="shared" si="275"/>
        <v>2857.0989316963523</v>
      </c>
      <c r="CL94" s="199">
        <f t="shared" si="276"/>
        <v>2996.1547724985717</v>
      </c>
      <c r="CM94" s="196">
        <f t="shared" si="299"/>
        <v>7254.623020612582</v>
      </c>
      <c r="CN94" s="197">
        <f t="shared" si="277"/>
        <v>1098.3039799445205</v>
      </c>
      <c r="CO94" s="197">
        <f t="shared" si="278"/>
        <v>4057.4298902590021</v>
      </c>
      <c r="CP94" s="197">
        <f t="shared" si="279"/>
        <v>3197.1931303535794</v>
      </c>
      <c r="CQ94" s="199">
        <f t="shared" si="280"/>
        <v>4295.4971102980999</v>
      </c>
      <c r="CR94" s="197"/>
      <c r="CT94" s="204">
        <f t="shared" si="300"/>
        <v>7</v>
      </c>
      <c r="CU94" s="759">
        <f>'Energy NPV'!$D19</f>
        <v>30</v>
      </c>
      <c r="CV94" s="197">
        <f>'Energy Inputs'!$D$58*$CV$84</f>
        <v>0</v>
      </c>
      <c r="CW94" s="197">
        <f t="shared" si="301"/>
        <v>0</v>
      </c>
      <c r="CX94" s="197">
        <f>'Margins summary'!$Q$14</f>
        <v>175.95</v>
      </c>
      <c r="CY94" s="197">
        <f t="shared" si="281"/>
        <v>175.95</v>
      </c>
      <c r="CZ94" s="197"/>
      <c r="DA94" s="918">
        <f>'Energy NPV'!U19</f>
        <v>704.85838399999989</v>
      </c>
      <c r="DB94" s="197"/>
      <c r="DC94" s="197">
        <f t="shared" si="282"/>
        <v>704.85838399999989</v>
      </c>
      <c r="DD94" s="197">
        <f t="shared" si="235"/>
        <v>-704.85838399999989</v>
      </c>
      <c r="DE94" s="197">
        <f t="shared" si="236"/>
        <v>-528.90838399999984</v>
      </c>
      <c r="DF94" s="196">
        <f t="shared" si="283"/>
        <v>0</v>
      </c>
      <c r="DG94" s="197">
        <f t="shared" si="284"/>
        <v>139.05584080221914</v>
      </c>
      <c r="DH94" s="197">
        <f t="shared" si="285"/>
        <v>557.05981945787687</v>
      </c>
      <c r="DI94" s="197">
        <f t="shared" si="286"/>
        <v>-557.05981945787687</v>
      </c>
      <c r="DJ94" s="199">
        <f t="shared" si="287"/>
        <v>-418.00397865565765</v>
      </c>
      <c r="DK94" s="196">
        <f t="shared" si="302"/>
        <v>0</v>
      </c>
      <c r="DL94" s="197">
        <f t="shared" si="288"/>
        <v>1098.3039799445205</v>
      </c>
      <c r="DM94" s="197">
        <f t="shared" si="289"/>
        <v>4057.4298902590021</v>
      </c>
      <c r="DN94" s="197">
        <f t="shared" si="290"/>
        <v>-4057.4298902590021</v>
      </c>
      <c r="DO94" s="199">
        <f t="shared" si="291"/>
        <v>-2959.1259103144816</v>
      </c>
    </row>
    <row r="95" spans="2:119" x14ac:dyDescent="0.3">
      <c r="B95" s="900">
        <v>8</v>
      </c>
      <c r="C95" s="760">
        <f>'Energy NPV'!$D20</f>
        <v>0</v>
      </c>
      <c r="D95" s="197">
        <f>'Energy Inputs'!$D$58*$E$84</f>
        <v>72</v>
      </c>
      <c r="E95" s="197">
        <f t="shared" si="292"/>
        <v>0</v>
      </c>
      <c r="F95" s="197">
        <f>'Margins summary'!$Q$14</f>
        <v>175.95</v>
      </c>
      <c r="G95" s="197">
        <f t="shared" si="237"/>
        <v>175.95</v>
      </c>
      <c r="H95" s="197"/>
      <c r="I95" s="918">
        <f>'Energy NPV'!U20</f>
        <v>45.561599999999999</v>
      </c>
      <c r="J95" s="197"/>
      <c r="K95" s="197">
        <f t="shared" si="238"/>
        <v>45.561599999999999</v>
      </c>
      <c r="L95" s="197">
        <f t="shared" si="227"/>
        <v>-45.561599999999999</v>
      </c>
      <c r="M95" s="197">
        <f t="shared" si="228"/>
        <v>130.38839999999999</v>
      </c>
      <c r="N95" s="196">
        <f t="shared" si="239"/>
        <v>0</v>
      </c>
      <c r="O95" s="197">
        <f t="shared" si="240"/>
        <v>133.70753923290303</v>
      </c>
      <c r="P95" s="197">
        <f t="shared" si="241"/>
        <v>34.623071437987122</v>
      </c>
      <c r="Q95" s="197">
        <f t="shared" si="242"/>
        <v>-34.623071437987122</v>
      </c>
      <c r="R95" s="199">
        <f t="shared" si="243"/>
        <v>99.084467794915895</v>
      </c>
      <c r="S95" s="196">
        <f t="shared" si="293"/>
        <v>3627.311510306291</v>
      </c>
      <c r="T95" s="197">
        <f t="shared" si="244"/>
        <v>1232.0115191774235</v>
      </c>
      <c r="U95" s="197">
        <f t="shared" si="245"/>
        <v>4092.0529616969893</v>
      </c>
      <c r="V95" s="197">
        <f t="shared" si="246"/>
        <v>-464.74145139069805</v>
      </c>
      <c r="W95" s="199">
        <f t="shared" si="247"/>
        <v>767.27006778672489</v>
      </c>
      <c r="X95" s="197"/>
      <c r="Z95" s="900">
        <v>8</v>
      </c>
      <c r="AA95" s="759">
        <f>'Energy NPV'!$D20</f>
        <v>0</v>
      </c>
      <c r="AB95" s="197">
        <f>'Energy Inputs'!$D$58*$AB$84</f>
        <v>108</v>
      </c>
      <c r="AC95" s="197">
        <f t="shared" si="294"/>
        <v>0</v>
      </c>
      <c r="AD95" s="197">
        <f>'Margins summary'!$Q$14</f>
        <v>175.95</v>
      </c>
      <c r="AE95" s="197">
        <f t="shared" si="248"/>
        <v>175.95</v>
      </c>
      <c r="AF95" s="197"/>
      <c r="AG95" s="918">
        <f>'Energy NPV'!U20</f>
        <v>45.561599999999999</v>
      </c>
      <c r="AH95" s="197"/>
      <c r="AI95" s="197">
        <f t="shared" si="249"/>
        <v>45.561599999999999</v>
      </c>
      <c r="AJ95" s="197">
        <f t="shared" si="229"/>
        <v>-45.561599999999999</v>
      </c>
      <c r="AK95" s="197">
        <f t="shared" si="230"/>
        <v>130.38839999999999</v>
      </c>
      <c r="AL95" s="196">
        <f t="shared" si="250"/>
        <v>0</v>
      </c>
      <c r="AM95" s="197">
        <f t="shared" si="251"/>
        <v>133.70753923290303</v>
      </c>
      <c r="AN95" s="197">
        <f t="shared" si="252"/>
        <v>34.623071437987122</v>
      </c>
      <c r="AO95" s="197">
        <f t="shared" si="253"/>
        <v>-34.623071437987122</v>
      </c>
      <c r="AP95" s="199">
        <f t="shared" si="254"/>
        <v>99.084467794915895</v>
      </c>
      <c r="AQ95" s="196">
        <f t="shared" si="295"/>
        <v>5440.967265459436</v>
      </c>
      <c r="AR95" s="197">
        <f t="shared" si="255"/>
        <v>1232.0115191774235</v>
      </c>
      <c r="AS95" s="197">
        <f t="shared" si="256"/>
        <v>4092.0529616969893</v>
      </c>
      <c r="AT95" s="197">
        <f t="shared" si="257"/>
        <v>1348.9143037624469</v>
      </c>
      <c r="AU95" s="199">
        <f t="shared" si="258"/>
        <v>2580.9258229398697</v>
      </c>
      <c r="AV95" s="197"/>
      <c r="AX95" s="900">
        <v>8</v>
      </c>
      <c r="AY95" s="759">
        <f>'Energy NPV'!$D20</f>
        <v>0</v>
      </c>
      <c r="AZ95" s="197">
        <f>'Energy Inputs'!$D$58*$AZ$84</f>
        <v>36</v>
      </c>
      <c r="BA95" s="197">
        <f t="shared" si="296"/>
        <v>0</v>
      </c>
      <c r="BB95" s="197">
        <f>'Margins summary'!$Q$14</f>
        <v>175.95</v>
      </c>
      <c r="BC95" s="197">
        <f t="shared" si="259"/>
        <v>175.95</v>
      </c>
      <c r="BD95" s="197"/>
      <c r="BE95" s="918">
        <f>'Energy NPV'!U20</f>
        <v>45.561599999999999</v>
      </c>
      <c r="BF95" s="197"/>
      <c r="BG95" s="197">
        <f t="shared" si="260"/>
        <v>45.561599999999999</v>
      </c>
      <c r="BH95" s="197">
        <f t="shared" si="231"/>
        <v>-45.561599999999999</v>
      </c>
      <c r="BI95" s="197">
        <f t="shared" si="232"/>
        <v>130.38839999999999</v>
      </c>
      <c r="BJ95" s="196">
        <f t="shared" si="261"/>
        <v>0</v>
      </c>
      <c r="BK95" s="197">
        <f t="shared" si="262"/>
        <v>133.70753923290303</v>
      </c>
      <c r="BL95" s="197">
        <f t="shared" si="263"/>
        <v>34.623071437987122</v>
      </c>
      <c r="BM95" s="197">
        <f t="shared" si="264"/>
        <v>-34.623071437987122</v>
      </c>
      <c r="BN95" s="199">
        <f t="shared" si="265"/>
        <v>99.084467794915895</v>
      </c>
      <c r="BO95" s="196">
        <f t="shared" si="297"/>
        <v>1813.6557551531455</v>
      </c>
      <c r="BP95" s="197">
        <f t="shared" si="266"/>
        <v>1232.0115191774235</v>
      </c>
      <c r="BQ95" s="197">
        <f t="shared" si="267"/>
        <v>4092.0529616969893</v>
      </c>
      <c r="BR95" s="197">
        <f t="shared" si="268"/>
        <v>-2278.3972065438438</v>
      </c>
      <c r="BS95" s="199">
        <f t="shared" si="269"/>
        <v>-1046.3856873664199</v>
      </c>
      <c r="BT95" s="197"/>
      <c r="BV95" s="420">
        <v>8</v>
      </c>
      <c r="BW95" s="759">
        <f>'Energy NPV'!$D20</f>
        <v>0</v>
      </c>
      <c r="BX95" s="197">
        <f>'Energy Inputs'!$D$58*$BX$84</f>
        <v>144</v>
      </c>
      <c r="BY95" s="197">
        <f t="shared" si="298"/>
        <v>0</v>
      </c>
      <c r="BZ95" s="197">
        <f>'Margins summary'!$Q$14</f>
        <v>175.95</v>
      </c>
      <c r="CA95" s="197">
        <f t="shared" si="270"/>
        <v>175.95</v>
      </c>
      <c r="CB95" s="197"/>
      <c r="CC95" s="918">
        <f>'Energy NPV'!U20</f>
        <v>45.561599999999999</v>
      </c>
      <c r="CD95" s="197"/>
      <c r="CE95" s="197">
        <f t="shared" si="271"/>
        <v>45.561599999999999</v>
      </c>
      <c r="CF95" s="197">
        <f t="shared" si="233"/>
        <v>-45.561599999999999</v>
      </c>
      <c r="CG95" s="197">
        <f t="shared" si="234"/>
        <v>130.38839999999999</v>
      </c>
      <c r="CH95" s="196">
        <f t="shared" si="272"/>
        <v>0</v>
      </c>
      <c r="CI95" s="197">
        <f t="shared" si="273"/>
        <v>133.70753923290303</v>
      </c>
      <c r="CJ95" s="197">
        <f t="shared" si="274"/>
        <v>34.623071437987122</v>
      </c>
      <c r="CK95" s="197">
        <f t="shared" si="275"/>
        <v>-34.623071437987122</v>
      </c>
      <c r="CL95" s="199">
        <f t="shared" si="276"/>
        <v>99.084467794915895</v>
      </c>
      <c r="CM95" s="196">
        <f t="shared" si="299"/>
        <v>7254.623020612582</v>
      </c>
      <c r="CN95" s="197">
        <f t="shared" si="277"/>
        <v>1232.0115191774235</v>
      </c>
      <c r="CO95" s="197">
        <f t="shared" si="278"/>
        <v>4092.0529616969893</v>
      </c>
      <c r="CP95" s="197">
        <f t="shared" si="279"/>
        <v>3162.5700589155922</v>
      </c>
      <c r="CQ95" s="199">
        <f t="shared" si="280"/>
        <v>4394.5815780930161</v>
      </c>
      <c r="CR95" s="197"/>
      <c r="CT95" s="204">
        <f t="shared" si="300"/>
        <v>8</v>
      </c>
      <c r="CU95" s="759">
        <f>'Energy NPV'!$D20</f>
        <v>0</v>
      </c>
      <c r="CV95" s="197">
        <f>'Energy Inputs'!$D$58*$CV$84</f>
        <v>0</v>
      </c>
      <c r="CW95" s="197">
        <f t="shared" si="301"/>
        <v>0</v>
      </c>
      <c r="CX95" s="197">
        <f>'Margins summary'!$Q$14</f>
        <v>175.95</v>
      </c>
      <c r="CY95" s="197">
        <f t="shared" si="281"/>
        <v>175.95</v>
      </c>
      <c r="CZ95" s="197"/>
      <c r="DA95" s="918">
        <f>'Energy NPV'!U20</f>
        <v>45.561599999999999</v>
      </c>
      <c r="DB95" s="197"/>
      <c r="DC95" s="197">
        <f t="shared" si="282"/>
        <v>45.561599999999999</v>
      </c>
      <c r="DD95" s="197">
        <f t="shared" si="235"/>
        <v>-45.561599999999999</v>
      </c>
      <c r="DE95" s="197">
        <f t="shared" si="236"/>
        <v>130.38839999999999</v>
      </c>
      <c r="DF95" s="196">
        <f t="shared" si="283"/>
        <v>0</v>
      </c>
      <c r="DG95" s="197">
        <f t="shared" si="284"/>
        <v>133.70753923290303</v>
      </c>
      <c r="DH95" s="197">
        <f t="shared" si="285"/>
        <v>34.623071437987122</v>
      </c>
      <c r="DI95" s="197">
        <f t="shared" si="286"/>
        <v>-34.623071437987122</v>
      </c>
      <c r="DJ95" s="199">
        <f t="shared" si="287"/>
        <v>99.084467794915895</v>
      </c>
      <c r="DK95" s="196">
        <f t="shared" si="302"/>
        <v>0</v>
      </c>
      <c r="DL95" s="197">
        <f t="shared" si="288"/>
        <v>1232.0115191774235</v>
      </c>
      <c r="DM95" s="197">
        <f t="shared" si="289"/>
        <v>4092.0529616969893</v>
      </c>
      <c r="DN95" s="197">
        <f t="shared" si="290"/>
        <v>-4092.0529616969893</v>
      </c>
      <c r="DO95" s="199">
        <f t="shared" si="291"/>
        <v>-2860.0414425195659</v>
      </c>
    </row>
    <row r="96" spans="2:119" x14ac:dyDescent="0.3">
      <c r="B96" s="900">
        <v>9</v>
      </c>
      <c r="C96" s="760">
        <f>'Energy NPV'!$D21</f>
        <v>0</v>
      </c>
      <c r="D96" s="197">
        <f>'Energy Inputs'!$D$58*$E$84</f>
        <v>72</v>
      </c>
      <c r="E96" s="197">
        <f t="shared" si="292"/>
        <v>0</v>
      </c>
      <c r="F96" s="197">
        <f>'Margins summary'!$Q$14</f>
        <v>175.95</v>
      </c>
      <c r="G96" s="197">
        <f t="shared" si="237"/>
        <v>175.95</v>
      </c>
      <c r="H96" s="197"/>
      <c r="I96" s="918">
        <f>'Energy NPV'!U21</f>
        <v>45.561599999999999</v>
      </c>
      <c r="J96" s="197"/>
      <c r="K96" s="197">
        <f t="shared" si="238"/>
        <v>45.561599999999999</v>
      </c>
      <c r="L96" s="197">
        <f t="shared" si="227"/>
        <v>-45.561599999999999</v>
      </c>
      <c r="M96" s="197">
        <f t="shared" si="228"/>
        <v>130.38839999999999</v>
      </c>
      <c r="N96" s="196">
        <f t="shared" si="239"/>
        <v>0</v>
      </c>
      <c r="O96" s="197">
        <f t="shared" si="240"/>
        <v>128.56494157009902</v>
      </c>
      <c r="P96" s="197">
        <f t="shared" si="241"/>
        <v>33.29141484421838</v>
      </c>
      <c r="Q96" s="197">
        <f t="shared" si="242"/>
        <v>-33.29141484421838</v>
      </c>
      <c r="R96" s="199">
        <f t="shared" si="243"/>
        <v>95.273526725880657</v>
      </c>
      <c r="S96" s="196">
        <f t="shared" si="293"/>
        <v>3627.311510306291</v>
      </c>
      <c r="T96" s="197">
        <f t="shared" si="244"/>
        <v>1360.5764607475226</v>
      </c>
      <c r="U96" s="197">
        <f t="shared" si="245"/>
        <v>4125.3443765412076</v>
      </c>
      <c r="V96" s="197">
        <f t="shared" si="246"/>
        <v>-498.03286623491641</v>
      </c>
      <c r="W96" s="199">
        <f t="shared" si="247"/>
        <v>862.54359451260552</v>
      </c>
      <c r="X96" s="197"/>
      <c r="Z96" s="900">
        <v>9</v>
      </c>
      <c r="AA96" s="759">
        <f>'Energy NPV'!$D21</f>
        <v>0</v>
      </c>
      <c r="AB96" s="197">
        <f>'Energy Inputs'!$D$58*$AB$84</f>
        <v>108</v>
      </c>
      <c r="AC96" s="197">
        <f t="shared" si="294"/>
        <v>0</v>
      </c>
      <c r="AD96" s="197">
        <f>'Margins summary'!$Q$14</f>
        <v>175.95</v>
      </c>
      <c r="AE96" s="197">
        <f t="shared" si="248"/>
        <v>175.95</v>
      </c>
      <c r="AF96" s="197"/>
      <c r="AG96" s="918">
        <f>'Energy NPV'!U21</f>
        <v>45.561599999999999</v>
      </c>
      <c r="AH96" s="197"/>
      <c r="AI96" s="197">
        <f t="shared" si="249"/>
        <v>45.561599999999999</v>
      </c>
      <c r="AJ96" s="197">
        <f t="shared" si="229"/>
        <v>-45.561599999999999</v>
      </c>
      <c r="AK96" s="197">
        <f t="shared" si="230"/>
        <v>130.38839999999999</v>
      </c>
      <c r="AL96" s="196">
        <f t="shared" si="250"/>
        <v>0</v>
      </c>
      <c r="AM96" s="197">
        <f t="shared" si="251"/>
        <v>128.56494157009902</v>
      </c>
      <c r="AN96" s="197">
        <f t="shared" si="252"/>
        <v>33.29141484421838</v>
      </c>
      <c r="AO96" s="197">
        <f t="shared" si="253"/>
        <v>-33.29141484421838</v>
      </c>
      <c r="AP96" s="199">
        <f t="shared" si="254"/>
        <v>95.273526725880657</v>
      </c>
      <c r="AQ96" s="196">
        <f t="shared" si="295"/>
        <v>5440.967265459436</v>
      </c>
      <c r="AR96" s="197">
        <f t="shared" si="255"/>
        <v>1360.5764607475226</v>
      </c>
      <c r="AS96" s="197">
        <f t="shared" si="256"/>
        <v>4125.3443765412076</v>
      </c>
      <c r="AT96" s="197">
        <f t="shared" si="257"/>
        <v>1315.6228889182285</v>
      </c>
      <c r="AU96" s="199">
        <f t="shared" si="258"/>
        <v>2676.1993496657506</v>
      </c>
      <c r="AV96" s="197"/>
      <c r="AX96" s="900">
        <v>9</v>
      </c>
      <c r="AY96" s="759">
        <f>'Energy NPV'!$D21</f>
        <v>0</v>
      </c>
      <c r="AZ96" s="197">
        <f>'Energy Inputs'!$D$58*$AZ$84</f>
        <v>36</v>
      </c>
      <c r="BA96" s="197">
        <f t="shared" si="296"/>
        <v>0</v>
      </c>
      <c r="BB96" s="197">
        <f>'Margins summary'!$Q$14</f>
        <v>175.95</v>
      </c>
      <c r="BC96" s="197">
        <f t="shared" si="259"/>
        <v>175.95</v>
      </c>
      <c r="BD96" s="197"/>
      <c r="BE96" s="918">
        <f>'Energy NPV'!U21</f>
        <v>45.561599999999999</v>
      </c>
      <c r="BF96" s="197"/>
      <c r="BG96" s="197">
        <f t="shared" si="260"/>
        <v>45.561599999999999</v>
      </c>
      <c r="BH96" s="197">
        <f t="shared" si="231"/>
        <v>-45.561599999999999</v>
      </c>
      <c r="BI96" s="197">
        <f t="shared" si="232"/>
        <v>130.38839999999999</v>
      </c>
      <c r="BJ96" s="196">
        <f t="shared" si="261"/>
        <v>0</v>
      </c>
      <c r="BK96" s="197">
        <f t="shared" si="262"/>
        <v>128.56494157009902</v>
      </c>
      <c r="BL96" s="197">
        <f t="shared" si="263"/>
        <v>33.29141484421838</v>
      </c>
      <c r="BM96" s="197">
        <f t="shared" si="264"/>
        <v>-33.29141484421838</v>
      </c>
      <c r="BN96" s="199">
        <f t="shared" si="265"/>
        <v>95.273526725880657</v>
      </c>
      <c r="BO96" s="196">
        <f t="shared" si="297"/>
        <v>1813.6557551531455</v>
      </c>
      <c r="BP96" s="197">
        <f t="shared" si="266"/>
        <v>1360.5764607475226</v>
      </c>
      <c r="BQ96" s="197">
        <f t="shared" si="267"/>
        <v>4125.3443765412076</v>
      </c>
      <c r="BR96" s="197">
        <f t="shared" si="268"/>
        <v>-2311.6886213880621</v>
      </c>
      <c r="BS96" s="199">
        <f t="shared" si="269"/>
        <v>-951.11216064053929</v>
      </c>
      <c r="BT96" s="197"/>
      <c r="BV96" s="420">
        <v>9</v>
      </c>
      <c r="BW96" s="759">
        <f>'Energy NPV'!$D21</f>
        <v>0</v>
      </c>
      <c r="BX96" s="197">
        <f>'Energy Inputs'!$D$58*$BX$84</f>
        <v>144</v>
      </c>
      <c r="BY96" s="197">
        <f t="shared" si="298"/>
        <v>0</v>
      </c>
      <c r="BZ96" s="197">
        <f>'Margins summary'!$Q$14</f>
        <v>175.95</v>
      </c>
      <c r="CA96" s="197">
        <f t="shared" si="270"/>
        <v>175.95</v>
      </c>
      <c r="CB96" s="197"/>
      <c r="CC96" s="918">
        <f>'Energy NPV'!U21</f>
        <v>45.561599999999999</v>
      </c>
      <c r="CD96" s="197"/>
      <c r="CE96" s="197">
        <f t="shared" si="271"/>
        <v>45.561599999999999</v>
      </c>
      <c r="CF96" s="197">
        <f t="shared" si="233"/>
        <v>-45.561599999999999</v>
      </c>
      <c r="CG96" s="197">
        <f t="shared" si="234"/>
        <v>130.38839999999999</v>
      </c>
      <c r="CH96" s="196">
        <f t="shared" si="272"/>
        <v>0</v>
      </c>
      <c r="CI96" s="197">
        <f t="shared" si="273"/>
        <v>128.56494157009902</v>
      </c>
      <c r="CJ96" s="197">
        <f t="shared" si="274"/>
        <v>33.29141484421838</v>
      </c>
      <c r="CK96" s="197">
        <f t="shared" si="275"/>
        <v>-33.29141484421838</v>
      </c>
      <c r="CL96" s="199">
        <f t="shared" si="276"/>
        <v>95.273526725880657</v>
      </c>
      <c r="CM96" s="196">
        <f t="shared" si="299"/>
        <v>7254.623020612582</v>
      </c>
      <c r="CN96" s="197">
        <f t="shared" si="277"/>
        <v>1360.5764607475226</v>
      </c>
      <c r="CO96" s="197">
        <f t="shared" si="278"/>
        <v>4125.3443765412076</v>
      </c>
      <c r="CP96" s="197">
        <f t="shared" si="279"/>
        <v>3129.2786440713739</v>
      </c>
      <c r="CQ96" s="199">
        <f t="shared" si="280"/>
        <v>4489.8551048188965</v>
      </c>
      <c r="CR96" s="197"/>
      <c r="CT96" s="204">
        <f t="shared" si="300"/>
        <v>9</v>
      </c>
      <c r="CU96" s="759">
        <f>'Energy NPV'!$D21</f>
        <v>0</v>
      </c>
      <c r="CV96" s="197">
        <f>'Energy Inputs'!$D$58*$CV$84</f>
        <v>0</v>
      </c>
      <c r="CW96" s="197">
        <f t="shared" si="301"/>
        <v>0</v>
      </c>
      <c r="CX96" s="197">
        <f>'Margins summary'!$Q$14</f>
        <v>175.95</v>
      </c>
      <c r="CY96" s="197">
        <f t="shared" si="281"/>
        <v>175.95</v>
      </c>
      <c r="CZ96" s="197"/>
      <c r="DA96" s="918">
        <f>'Energy NPV'!U21</f>
        <v>45.561599999999999</v>
      </c>
      <c r="DB96" s="197"/>
      <c r="DC96" s="197">
        <f t="shared" si="282"/>
        <v>45.561599999999999</v>
      </c>
      <c r="DD96" s="197">
        <f t="shared" si="235"/>
        <v>-45.561599999999999</v>
      </c>
      <c r="DE96" s="197">
        <f t="shared" si="236"/>
        <v>130.38839999999999</v>
      </c>
      <c r="DF96" s="196">
        <f t="shared" si="283"/>
        <v>0</v>
      </c>
      <c r="DG96" s="197">
        <f t="shared" si="284"/>
        <v>128.56494157009902</v>
      </c>
      <c r="DH96" s="197">
        <f t="shared" si="285"/>
        <v>33.29141484421838</v>
      </c>
      <c r="DI96" s="197">
        <f t="shared" si="286"/>
        <v>-33.29141484421838</v>
      </c>
      <c r="DJ96" s="199">
        <f t="shared" si="287"/>
        <v>95.273526725880657</v>
      </c>
      <c r="DK96" s="196">
        <f t="shared" si="302"/>
        <v>0</v>
      </c>
      <c r="DL96" s="197">
        <f t="shared" si="288"/>
        <v>1360.5764607475226</v>
      </c>
      <c r="DM96" s="197">
        <f t="shared" si="289"/>
        <v>4125.3443765412076</v>
      </c>
      <c r="DN96" s="197">
        <f t="shared" si="290"/>
        <v>-4125.3443765412076</v>
      </c>
      <c r="DO96" s="199">
        <f t="shared" si="291"/>
        <v>-2764.767915793685</v>
      </c>
    </row>
    <row r="97" spans="2:119" x14ac:dyDescent="0.3">
      <c r="B97" s="900">
        <v>10</v>
      </c>
      <c r="C97" s="760">
        <f>'Energy NPV'!$D22</f>
        <v>30</v>
      </c>
      <c r="D97" s="197">
        <f>'Energy Inputs'!$D$58*$E$84</f>
        <v>72</v>
      </c>
      <c r="E97" s="197">
        <f t="shared" si="292"/>
        <v>2160</v>
      </c>
      <c r="F97" s="197">
        <f>'Margins summary'!$Q$14</f>
        <v>175.95</v>
      </c>
      <c r="G97" s="197">
        <f t="shared" si="237"/>
        <v>2335.9499999999998</v>
      </c>
      <c r="H97" s="197"/>
      <c r="I97" s="918">
        <f>'Energy NPV'!U22</f>
        <v>704.85838399999989</v>
      </c>
      <c r="J97" s="197"/>
      <c r="K97" s="197">
        <f t="shared" si="238"/>
        <v>704.85838399999989</v>
      </c>
      <c r="L97" s="197">
        <f t="shared" si="227"/>
        <v>1455.1416160000001</v>
      </c>
      <c r="M97" s="197">
        <f t="shared" si="228"/>
        <v>1631.0916159999999</v>
      </c>
      <c r="N97" s="196">
        <f t="shared" si="239"/>
        <v>1517.5873488502739</v>
      </c>
      <c r="O97" s="197">
        <f t="shared" si="240"/>
        <v>123.62013612509521</v>
      </c>
      <c r="P97" s="197">
        <f t="shared" si="241"/>
        <v>495.22415105992968</v>
      </c>
      <c r="Q97" s="197">
        <f t="shared" si="242"/>
        <v>1022.3631977903442</v>
      </c>
      <c r="R97" s="199">
        <f t="shared" si="243"/>
        <v>1145.9833339154393</v>
      </c>
      <c r="S97" s="196">
        <f t="shared" si="293"/>
        <v>5144.8988591565649</v>
      </c>
      <c r="T97" s="197">
        <f t="shared" si="244"/>
        <v>1484.1965968726179</v>
      </c>
      <c r="U97" s="197">
        <f t="shared" si="245"/>
        <v>4620.5685276011372</v>
      </c>
      <c r="V97" s="197">
        <f t="shared" si="246"/>
        <v>524.33033155542785</v>
      </c>
      <c r="W97" s="199">
        <f t="shared" si="247"/>
        <v>2008.5269284280448</v>
      </c>
      <c r="X97" s="197"/>
      <c r="Z97" s="900">
        <v>10</v>
      </c>
      <c r="AA97" s="759">
        <f>'Energy NPV'!$D22</f>
        <v>30</v>
      </c>
      <c r="AB97" s="197">
        <f>'Energy Inputs'!$D$58*$AB$84</f>
        <v>108</v>
      </c>
      <c r="AC97" s="197">
        <f t="shared" si="294"/>
        <v>3240</v>
      </c>
      <c r="AD97" s="197">
        <f>'Margins summary'!$Q$14</f>
        <v>175.95</v>
      </c>
      <c r="AE97" s="197">
        <f t="shared" si="248"/>
        <v>3415.95</v>
      </c>
      <c r="AF97" s="197"/>
      <c r="AG97" s="918">
        <f>'Energy NPV'!U22</f>
        <v>704.85838399999989</v>
      </c>
      <c r="AH97" s="197"/>
      <c r="AI97" s="197">
        <f t="shared" si="249"/>
        <v>704.85838399999989</v>
      </c>
      <c r="AJ97" s="197">
        <f t="shared" si="229"/>
        <v>2535.1416159999999</v>
      </c>
      <c r="AK97" s="197">
        <f t="shared" si="230"/>
        <v>2711.0916159999997</v>
      </c>
      <c r="AL97" s="196">
        <f t="shared" si="250"/>
        <v>2276.3810232754108</v>
      </c>
      <c r="AM97" s="197">
        <f t="shared" si="251"/>
        <v>123.62013612509521</v>
      </c>
      <c r="AN97" s="197">
        <f t="shared" si="252"/>
        <v>495.22415105992968</v>
      </c>
      <c r="AO97" s="197">
        <f t="shared" si="253"/>
        <v>1781.1568722154809</v>
      </c>
      <c r="AP97" s="199">
        <f t="shared" si="254"/>
        <v>1904.777008340576</v>
      </c>
      <c r="AQ97" s="196">
        <f t="shared" si="295"/>
        <v>7717.3482887348473</v>
      </c>
      <c r="AR97" s="197">
        <f t="shared" si="255"/>
        <v>1484.1965968726179</v>
      </c>
      <c r="AS97" s="197">
        <f t="shared" si="256"/>
        <v>4620.5685276011372</v>
      </c>
      <c r="AT97" s="197">
        <f t="shared" si="257"/>
        <v>3096.7797611337091</v>
      </c>
      <c r="AU97" s="199">
        <f t="shared" si="258"/>
        <v>4580.9763580063263</v>
      </c>
      <c r="AV97" s="197"/>
      <c r="AX97" s="900">
        <v>10</v>
      </c>
      <c r="AY97" s="759">
        <f>'Energy NPV'!$D22</f>
        <v>30</v>
      </c>
      <c r="AZ97" s="197">
        <f>'Energy Inputs'!$D$58*$AZ$84</f>
        <v>36</v>
      </c>
      <c r="BA97" s="197">
        <f t="shared" si="296"/>
        <v>1080</v>
      </c>
      <c r="BB97" s="197">
        <f>'Margins summary'!$Q$14</f>
        <v>175.95</v>
      </c>
      <c r="BC97" s="197">
        <f t="shared" si="259"/>
        <v>1255.95</v>
      </c>
      <c r="BD97" s="197"/>
      <c r="BE97" s="918">
        <f>'Energy NPV'!U22</f>
        <v>704.85838399999989</v>
      </c>
      <c r="BF97" s="197"/>
      <c r="BG97" s="197">
        <f t="shared" si="260"/>
        <v>704.85838399999989</v>
      </c>
      <c r="BH97" s="197">
        <f t="shared" si="231"/>
        <v>375.14161600000011</v>
      </c>
      <c r="BI97" s="197">
        <f t="shared" si="232"/>
        <v>551.09161600000016</v>
      </c>
      <c r="BJ97" s="196">
        <f t="shared" si="261"/>
        <v>758.79367442513694</v>
      </c>
      <c r="BK97" s="197">
        <f t="shared" si="262"/>
        <v>123.62013612509521</v>
      </c>
      <c r="BL97" s="197">
        <f t="shared" si="263"/>
        <v>495.22415105992968</v>
      </c>
      <c r="BM97" s="197">
        <f t="shared" si="264"/>
        <v>263.56952336520726</v>
      </c>
      <c r="BN97" s="199">
        <f t="shared" si="265"/>
        <v>387.18965949030252</v>
      </c>
      <c r="BO97" s="196">
        <f t="shared" si="297"/>
        <v>2572.4494295782824</v>
      </c>
      <c r="BP97" s="197">
        <f t="shared" si="266"/>
        <v>1484.1965968726179</v>
      </c>
      <c r="BQ97" s="197">
        <f t="shared" si="267"/>
        <v>4620.5685276011372</v>
      </c>
      <c r="BR97" s="197">
        <f t="shared" si="268"/>
        <v>-2048.1190980228548</v>
      </c>
      <c r="BS97" s="199">
        <f t="shared" si="269"/>
        <v>-563.92250115023671</v>
      </c>
      <c r="BT97" s="197"/>
      <c r="BV97" s="420">
        <v>10</v>
      </c>
      <c r="BW97" s="759">
        <f>'Energy NPV'!$D22</f>
        <v>30</v>
      </c>
      <c r="BX97" s="197">
        <f>'Energy Inputs'!$D$58*$BX$84</f>
        <v>144</v>
      </c>
      <c r="BY97" s="197">
        <f t="shared" si="298"/>
        <v>4320</v>
      </c>
      <c r="BZ97" s="197">
        <f>'Margins summary'!$Q$14</f>
        <v>175.95</v>
      </c>
      <c r="CA97" s="197">
        <f t="shared" si="270"/>
        <v>4495.95</v>
      </c>
      <c r="CB97" s="197"/>
      <c r="CC97" s="918">
        <f>'Energy NPV'!U22</f>
        <v>704.85838399999989</v>
      </c>
      <c r="CD97" s="197"/>
      <c r="CE97" s="197">
        <f t="shared" si="271"/>
        <v>704.85838399999989</v>
      </c>
      <c r="CF97" s="197">
        <f t="shared" si="233"/>
        <v>3615.1416159999999</v>
      </c>
      <c r="CG97" s="197">
        <f t="shared" si="234"/>
        <v>3791.0916159999997</v>
      </c>
      <c r="CH97" s="196">
        <f t="shared" si="272"/>
        <v>3035.1746977005478</v>
      </c>
      <c r="CI97" s="197">
        <f t="shared" si="273"/>
        <v>123.62013612509521</v>
      </c>
      <c r="CJ97" s="197">
        <f t="shared" si="274"/>
        <v>495.22415105992968</v>
      </c>
      <c r="CK97" s="197">
        <f t="shared" si="275"/>
        <v>2539.9505466406181</v>
      </c>
      <c r="CL97" s="199">
        <f t="shared" si="276"/>
        <v>2663.5706827657132</v>
      </c>
      <c r="CM97" s="196">
        <f t="shared" si="299"/>
        <v>10289.79771831313</v>
      </c>
      <c r="CN97" s="197">
        <f t="shared" si="277"/>
        <v>1484.1965968726179</v>
      </c>
      <c r="CO97" s="197">
        <f t="shared" si="278"/>
        <v>4620.5685276011372</v>
      </c>
      <c r="CP97" s="197">
        <f t="shared" si="279"/>
        <v>5669.2291907119925</v>
      </c>
      <c r="CQ97" s="199">
        <f t="shared" si="280"/>
        <v>7153.4257875846097</v>
      </c>
      <c r="CR97" s="197"/>
      <c r="CT97" s="204">
        <f t="shared" si="300"/>
        <v>10</v>
      </c>
      <c r="CU97" s="759">
        <f>'Energy NPV'!$D22</f>
        <v>30</v>
      </c>
      <c r="CV97" s="197">
        <f>'Energy Inputs'!$D$58*$CV$84</f>
        <v>0</v>
      </c>
      <c r="CW97" s="197">
        <f t="shared" si="301"/>
        <v>0</v>
      </c>
      <c r="CX97" s="197">
        <f>'Margins summary'!$Q$14</f>
        <v>175.95</v>
      </c>
      <c r="CY97" s="197">
        <f t="shared" si="281"/>
        <v>175.95</v>
      </c>
      <c r="CZ97" s="197"/>
      <c r="DA97" s="918">
        <f>'Energy NPV'!U22</f>
        <v>704.85838399999989</v>
      </c>
      <c r="DB97" s="197"/>
      <c r="DC97" s="197">
        <f t="shared" si="282"/>
        <v>704.85838399999989</v>
      </c>
      <c r="DD97" s="197">
        <f t="shared" si="235"/>
        <v>-704.85838399999989</v>
      </c>
      <c r="DE97" s="197">
        <f t="shared" si="236"/>
        <v>-528.90838399999984</v>
      </c>
      <c r="DF97" s="196">
        <f t="shared" si="283"/>
        <v>0</v>
      </c>
      <c r="DG97" s="197">
        <f t="shared" si="284"/>
        <v>123.62013612509521</v>
      </c>
      <c r="DH97" s="197">
        <f t="shared" si="285"/>
        <v>495.22415105992968</v>
      </c>
      <c r="DI97" s="197">
        <f t="shared" si="286"/>
        <v>-495.22415105992968</v>
      </c>
      <c r="DJ97" s="199">
        <f t="shared" si="287"/>
        <v>-371.60401493483442</v>
      </c>
      <c r="DK97" s="196">
        <f t="shared" si="302"/>
        <v>0</v>
      </c>
      <c r="DL97" s="197">
        <f t="shared" si="288"/>
        <v>1484.1965968726179</v>
      </c>
      <c r="DM97" s="197">
        <f t="shared" si="289"/>
        <v>4620.5685276011372</v>
      </c>
      <c r="DN97" s="197">
        <f t="shared" si="290"/>
        <v>-4620.5685276011372</v>
      </c>
      <c r="DO97" s="199">
        <f t="shared" si="291"/>
        <v>-3136.3719307285196</v>
      </c>
    </row>
    <row r="98" spans="2:119" x14ac:dyDescent="0.3">
      <c r="B98" s="900">
        <v>11</v>
      </c>
      <c r="C98" s="760">
        <f>'Energy NPV'!$D23</f>
        <v>0</v>
      </c>
      <c r="D98" s="197">
        <f>'Energy Inputs'!$D$58*$E$84</f>
        <v>72</v>
      </c>
      <c r="E98" s="197">
        <f t="shared" si="292"/>
        <v>0</v>
      </c>
      <c r="F98" s="197">
        <f>'Margins summary'!$Q$14</f>
        <v>175.95</v>
      </c>
      <c r="G98" s="197">
        <f t="shared" si="237"/>
        <v>175.95</v>
      </c>
      <c r="H98" s="197"/>
      <c r="I98" s="918">
        <f>'Energy NPV'!U23</f>
        <v>0</v>
      </c>
      <c r="J98" s="197"/>
      <c r="K98" s="197">
        <f t="shared" si="238"/>
        <v>0</v>
      </c>
      <c r="L98" s="197">
        <f t="shared" si="227"/>
        <v>0</v>
      </c>
      <c r="M98" s="197">
        <f t="shared" si="228"/>
        <v>175.95</v>
      </c>
      <c r="N98" s="196">
        <f t="shared" si="239"/>
        <v>0</v>
      </c>
      <c r="O98" s="197">
        <f t="shared" si="240"/>
        <v>118.86551550489925</v>
      </c>
      <c r="P98" s="197">
        <f t="shared" si="241"/>
        <v>0</v>
      </c>
      <c r="Q98" s="197">
        <f t="shared" si="242"/>
        <v>0</v>
      </c>
      <c r="R98" s="199">
        <f t="shared" si="243"/>
        <v>118.86551550489925</v>
      </c>
      <c r="S98" s="196">
        <f t="shared" si="293"/>
        <v>5144.8988591565649</v>
      </c>
      <c r="T98" s="197">
        <f t="shared" si="244"/>
        <v>1603.0621123775172</v>
      </c>
      <c r="U98" s="197">
        <f t="shared" si="245"/>
        <v>4620.5685276011372</v>
      </c>
      <c r="V98" s="197">
        <f t="shared" si="246"/>
        <v>524.33033155542785</v>
      </c>
      <c r="W98" s="199">
        <f t="shared" si="247"/>
        <v>2127.3924439329439</v>
      </c>
      <c r="X98" s="197"/>
      <c r="Z98" s="900">
        <v>11</v>
      </c>
      <c r="AA98" s="759">
        <f>'Energy NPV'!$D23</f>
        <v>0</v>
      </c>
      <c r="AB98" s="197">
        <f>'Energy Inputs'!$D$58*$AB$84</f>
        <v>108</v>
      </c>
      <c r="AC98" s="197">
        <f t="shared" si="294"/>
        <v>0</v>
      </c>
      <c r="AD98" s="197">
        <f>'Margins summary'!$Q$14</f>
        <v>175.95</v>
      </c>
      <c r="AE98" s="197">
        <f t="shared" si="248"/>
        <v>175.95</v>
      </c>
      <c r="AF98" s="197"/>
      <c r="AG98" s="918">
        <f>'Energy NPV'!U23</f>
        <v>0</v>
      </c>
      <c r="AH98" s="197"/>
      <c r="AI98" s="197">
        <f t="shared" si="249"/>
        <v>0</v>
      </c>
      <c r="AJ98" s="197">
        <f t="shared" si="229"/>
        <v>0</v>
      </c>
      <c r="AK98" s="197">
        <f t="shared" si="230"/>
        <v>175.95</v>
      </c>
      <c r="AL98" s="196">
        <f t="shared" si="250"/>
        <v>0</v>
      </c>
      <c r="AM98" s="197">
        <f t="shared" si="251"/>
        <v>118.86551550489925</v>
      </c>
      <c r="AN98" s="197">
        <f t="shared" si="252"/>
        <v>0</v>
      </c>
      <c r="AO98" s="197">
        <f t="shared" si="253"/>
        <v>0</v>
      </c>
      <c r="AP98" s="199">
        <f t="shared" si="254"/>
        <v>118.86551550489925</v>
      </c>
      <c r="AQ98" s="196">
        <f t="shared" si="295"/>
        <v>7717.3482887348473</v>
      </c>
      <c r="AR98" s="197">
        <f t="shared" si="255"/>
        <v>1603.0621123775172</v>
      </c>
      <c r="AS98" s="197">
        <f t="shared" si="256"/>
        <v>4620.5685276011372</v>
      </c>
      <c r="AT98" s="197">
        <f t="shared" si="257"/>
        <v>3096.7797611337091</v>
      </c>
      <c r="AU98" s="199">
        <f t="shared" si="258"/>
        <v>4699.8418735112255</v>
      </c>
      <c r="AV98" s="197"/>
      <c r="AX98" s="900">
        <v>11</v>
      </c>
      <c r="AY98" s="759">
        <f>'Energy NPV'!$D23</f>
        <v>0</v>
      </c>
      <c r="AZ98" s="197">
        <f>'Energy Inputs'!$D$58*$AZ$84</f>
        <v>36</v>
      </c>
      <c r="BA98" s="197">
        <f t="shared" si="296"/>
        <v>0</v>
      </c>
      <c r="BB98" s="197">
        <f>'Margins summary'!$Q$14</f>
        <v>175.95</v>
      </c>
      <c r="BC98" s="197">
        <f t="shared" si="259"/>
        <v>175.95</v>
      </c>
      <c r="BD98" s="197"/>
      <c r="BE98" s="918">
        <f>'Energy NPV'!U23</f>
        <v>0</v>
      </c>
      <c r="BF98" s="197"/>
      <c r="BG98" s="197">
        <f t="shared" si="260"/>
        <v>0</v>
      </c>
      <c r="BH98" s="197">
        <f t="shared" si="231"/>
        <v>0</v>
      </c>
      <c r="BI98" s="197">
        <f t="shared" si="232"/>
        <v>175.95</v>
      </c>
      <c r="BJ98" s="196">
        <f t="shared" si="261"/>
        <v>0</v>
      </c>
      <c r="BK98" s="197">
        <f t="shared" si="262"/>
        <v>118.86551550489925</v>
      </c>
      <c r="BL98" s="197">
        <f t="shared" si="263"/>
        <v>0</v>
      </c>
      <c r="BM98" s="197">
        <f t="shared" si="264"/>
        <v>0</v>
      </c>
      <c r="BN98" s="199">
        <f t="shared" si="265"/>
        <v>118.86551550489925</v>
      </c>
      <c r="BO98" s="196">
        <f t="shared" si="297"/>
        <v>2572.4494295782824</v>
      </c>
      <c r="BP98" s="197">
        <f t="shared" si="266"/>
        <v>1603.0621123775172</v>
      </c>
      <c r="BQ98" s="197">
        <f t="shared" si="267"/>
        <v>4620.5685276011372</v>
      </c>
      <c r="BR98" s="197">
        <f t="shared" si="268"/>
        <v>-2048.1190980228548</v>
      </c>
      <c r="BS98" s="199">
        <f t="shared" si="269"/>
        <v>-445.05698564533748</v>
      </c>
      <c r="BT98" s="197"/>
      <c r="BV98" s="420">
        <v>11</v>
      </c>
      <c r="BW98" s="759">
        <f>'Energy NPV'!$D23</f>
        <v>0</v>
      </c>
      <c r="BX98" s="197">
        <f>'Energy Inputs'!$D$58*$BX$84</f>
        <v>144</v>
      </c>
      <c r="BY98" s="197">
        <f t="shared" si="298"/>
        <v>0</v>
      </c>
      <c r="BZ98" s="197">
        <f>'Margins summary'!$Q$14</f>
        <v>175.95</v>
      </c>
      <c r="CA98" s="197">
        <f t="shared" si="270"/>
        <v>175.95</v>
      </c>
      <c r="CB98" s="197"/>
      <c r="CC98" s="918">
        <f>'Energy NPV'!U23</f>
        <v>0</v>
      </c>
      <c r="CD98" s="197"/>
      <c r="CE98" s="197">
        <f t="shared" si="271"/>
        <v>0</v>
      </c>
      <c r="CF98" s="197">
        <f t="shared" si="233"/>
        <v>0</v>
      </c>
      <c r="CG98" s="197">
        <f t="shared" si="234"/>
        <v>175.95</v>
      </c>
      <c r="CH98" s="196">
        <f t="shared" si="272"/>
        <v>0</v>
      </c>
      <c r="CI98" s="197">
        <f t="shared" si="273"/>
        <v>118.86551550489925</v>
      </c>
      <c r="CJ98" s="197">
        <f t="shared" si="274"/>
        <v>0</v>
      </c>
      <c r="CK98" s="197">
        <f t="shared" si="275"/>
        <v>0</v>
      </c>
      <c r="CL98" s="199">
        <f t="shared" si="276"/>
        <v>118.86551550489925</v>
      </c>
      <c r="CM98" s="196">
        <f t="shared" si="299"/>
        <v>10289.79771831313</v>
      </c>
      <c r="CN98" s="197">
        <f t="shared" si="277"/>
        <v>1603.0621123775172</v>
      </c>
      <c r="CO98" s="197">
        <f t="shared" si="278"/>
        <v>4620.5685276011372</v>
      </c>
      <c r="CP98" s="197">
        <f t="shared" si="279"/>
        <v>5669.2291907119925</v>
      </c>
      <c r="CQ98" s="199">
        <f t="shared" si="280"/>
        <v>7272.2913030895088</v>
      </c>
      <c r="CR98" s="197"/>
      <c r="CT98" s="204">
        <f t="shared" si="300"/>
        <v>11</v>
      </c>
      <c r="CU98" s="759">
        <f>'Energy NPV'!$D23</f>
        <v>0</v>
      </c>
      <c r="CV98" s="197">
        <f>'Energy Inputs'!$D$58*$CV$84</f>
        <v>0</v>
      </c>
      <c r="CW98" s="197">
        <f t="shared" si="301"/>
        <v>0</v>
      </c>
      <c r="CX98" s="197">
        <f>'Margins summary'!$Q$14</f>
        <v>175.95</v>
      </c>
      <c r="CY98" s="197">
        <f t="shared" si="281"/>
        <v>175.95</v>
      </c>
      <c r="CZ98" s="197"/>
      <c r="DA98" s="918">
        <f>'Energy NPV'!U23</f>
        <v>0</v>
      </c>
      <c r="DB98" s="197"/>
      <c r="DC98" s="197">
        <f t="shared" si="282"/>
        <v>0</v>
      </c>
      <c r="DD98" s="197">
        <f t="shared" si="235"/>
        <v>0</v>
      </c>
      <c r="DE98" s="197">
        <f t="shared" si="236"/>
        <v>175.95</v>
      </c>
      <c r="DF98" s="196">
        <f t="shared" si="283"/>
        <v>0</v>
      </c>
      <c r="DG98" s="197">
        <f t="shared" si="284"/>
        <v>118.86551550489925</v>
      </c>
      <c r="DH98" s="197">
        <f t="shared" si="285"/>
        <v>0</v>
      </c>
      <c r="DI98" s="197">
        <f t="shared" si="286"/>
        <v>0</v>
      </c>
      <c r="DJ98" s="199">
        <f t="shared" si="287"/>
        <v>118.86551550489925</v>
      </c>
      <c r="DK98" s="196">
        <f t="shared" si="302"/>
        <v>0</v>
      </c>
      <c r="DL98" s="197">
        <f t="shared" si="288"/>
        <v>1603.0621123775172</v>
      </c>
      <c r="DM98" s="197">
        <f t="shared" si="289"/>
        <v>4620.5685276011372</v>
      </c>
      <c r="DN98" s="197">
        <f t="shared" si="290"/>
        <v>-4620.5685276011372</v>
      </c>
      <c r="DO98" s="199">
        <f t="shared" si="291"/>
        <v>-3017.5064152236205</v>
      </c>
    </row>
    <row r="99" spans="2:119" x14ac:dyDescent="0.3">
      <c r="B99" s="900">
        <v>12</v>
      </c>
      <c r="C99" s="760">
        <f>'Energy NPV'!$D24</f>
        <v>0</v>
      </c>
      <c r="D99" s="197">
        <f>'Energy Inputs'!$D$58*$E$84</f>
        <v>72</v>
      </c>
      <c r="E99" s="197">
        <f t="shared" si="292"/>
        <v>0</v>
      </c>
      <c r="F99" s="197">
        <f>'Margins summary'!$Q$14</f>
        <v>175.95</v>
      </c>
      <c r="G99" s="197">
        <f t="shared" si="237"/>
        <v>175.95</v>
      </c>
      <c r="H99" s="197"/>
      <c r="I99" s="918">
        <f>'Energy NPV'!U24</f>
        <v>0</v>
      </c>
      <c r="J99" s="197"/>
      <c r="K99" s="197">
        <f t="shared" si="238"/>
        <v>0</v>
      </c>
      <c r="L99" s="197">
        <f t="shared" si="227"/>
        <v>0</v>
      </c>
      <c r="M99" s="197">
        <f t="shared" si="228"/>
        <v>175.95</v>
      </c>
      <c r="N99" s="196">
        <f t="shared" si="239"/>
        <v>0</v>
      </c>
      <c r="O99" s="197">
        <f t="shared" si="240"/>
        <v>114.29376490855698</v>
      </c>
      <c r="P99" s="197">
        <f t="shared" si="241"/>
        <v>0</v>
      </c>
      <c r="Q99" s="197">
        <f t="shared" si="242"/>
        <v>0</v>
      </c>
      <c r="R99" s="199">
        <f t="shared" si="243"/>
        <v>114.29376490855698</v>
      </c>
      <c r="S99" s="196">
        <f t="shared" si="293"/>
        <v>5144.8988591565649</v>
      </c>
      <c r="T99" s="197">
        <f t="shared" si="244"/>
        <v>1717.3558772860742</v>
      </c>
      <c r="U99" s="197">
        <f t="shared" si="245"/>
        <v>4620.5685276011372</v>
      </c>
      <c r="V99" s="197">
        <f t="shared" si="246"/>
        <v>524.33033155542785</v>
      </c>
      <c r="W99" s="199">
        <f t="shared" si="247"/>
        <v>2241.686208841501</v>
      </c>
      <c r="X99" s="197"/>
      <c r="Z99" s="900">
        <v>12</v>
      </c>
      <c r="AA99" s="759">
        <f>'Energy NPV'!$D24</f>
        <v>0</v>
      </c>
      <c r="AB99" s="197">
        <f>'Energy Inputs'!$D$58*$AB$84</f>
        <v>108</v>
      </c>
      <c r="AC99" s="197">
        <f t="shared" si="294"/>
        <v>0</v>
      </c>
      <c r="AD99" s="197">
        <f>'Margins summary'!$Q$14</f>
        <v>175.95</v>
      </c>
      <c r="AE99" s="197">
        <f t="shared" si="248"/>
        <v>175.95</v>
      </c>
      <c r="AF99" s="197"/>
      <c r="AG99" s="918">
        <f>'Energy NPV'!U24</f>
        <v>0</v>
      </c>
      <c r="AH99" s="197"/>
      <c r="AI99" s="197">
        <f t="shared" si="249"/>
        <v>0</v>
      </c>
      <c r="AJ99" s="197">
        <f t="shared" si="229"/>
        <v>0</v>
      </c>
      <c r="AK99" s="197">
        <f t="shared" si="230"/>
        <v>175.95</v>
      </c>
      <c r="AL99" s="196">
        <f t="shared" si="250"/>
        <v>0</v>
      </c>
      <c r="AM99" s="197">
        <f t="shared" si="251"/>
        <v>114.29376490855698</v>
      </c>
      <c r="AN99" s="197">
        <f t="shared" si="252"/>
        <v>0</v>
      </c>
      <c r="AO99" s="197">
        <f t="shared" si="253"/>
        <v>0</v>
      </c>
      <c r="AP99" s="199">
        <f t="shared" si="254"/>
        <v>114.29376490855698</v>
      </c>
      <c r="AQ99" s="196">
        <f t="shared" si="295"/>
        <v>7717.3482887348473</v>
      </c>
      <c r="AR99" s="197">
        <f t="shared" si="255"/>
        <v>1717.3558772860742</v>
      </c>
      <c r="AS99" s="197">
        <f t="shared" si="256"/>
        <v>4620.5685276011372</v>
      </c>
      <c r="AT99" s="197">
        <f t="shared" si="257"/>
        <v>3096.7797611337091</v>
      </c>
      <c r="AU99" s="199">
        <f t="shared" si="258"/>
        <v>4814.1356384197825</v>
      </c>
      <c r="AV99" s="197"/>
      <c r="AX99" s="900">
        <v>12</v>
      </c>
      <c r="AY99" s="759">
        <f>'Energy NPV'!$D24</f>
        <v>0</v>
      </c>
      <c r="AZ99" s="197">
        <f>'Energy Inputs'!$D$58*$AZ$84</f>
        <v>36</v>
      </c>
      <c r="BA99" s="197">
        <f t="shared" si="296"/>
        <v>0</v>
      </c>
      <c r="BB99" s="197">
        <f>'Margins summary'!$Q$14</f>
        <v>175.95</v>
      </c>
      <c r="BC99" s="197">
        <f t="shared" si="259"/>
        <v>175.95</v>
      </c>
      <c r="BD99" s="197"/>
      <c r="BE99" s="918">
        <f>'Energy NPV'!U24</f>
        <v>0</v>
      </c>
      <c r="BF99" s="197"/>
      <c r="BG99" s="197">
        <f t="shared" si="260"/>
        <v>0</v>
      </c>
      <c r="BH99" s="197">
        <f t="shared" si="231"/>
        <v>0</v>
      </c>
      <c r="BI99" s="197">
        <f t="shared" si="232"/>
        <v>175.95</v>
      </c>
      <c r="BJ99" s="196">
        <f t="shared" si="261"/>
        <v>0</v>
      </c>
      <c r="BK99" s="197">
        <f t="shared" si="262"/>
        <v>114.29376490855698</v>
      </c>
      <c r="BL99" s="197">
        <f t="shared" si="263"/>
        <v>0</v>
      </c>
      <c r="BM99" s="197">
        <f t="shared" si="264"/>
        <v>0</v>
      </c>
      <c r="BN99" s="199">
        <f t="shared" si="265"/>
        <v>114.29376490855698</v>
      </c>
      <c r="BO99" s="196">
        <f t="shared" si="297"/>
        <v>2572.4494295782824</v>
      </c>
      <c r="BP99" s="197">
        <f t="shared" si="266"/>
        <v>1717.3558772860742</v>
      </c>
      <c r="BQ99" s="197">
        <f t="shared" si="267"/>
        <v>4620.5685276011372</v>
      </c>
      <c r="BR99" s="197">
        <f t="shared" si="268"/>
        <v>-2048.1190980228548</v>
      </c>
      <c r="BS99" s="199">
        <f t="shared" si="269"/>
        <v>-330.76322073678051</v>
      </c>
      <c r="BT99" s="197"/>
      <c r="BV99" s="420">
        <v>12</v>
      </c>
      <c r="BW99" s="759">
        <f>'Energy NPV'!$D24</f>
        <v>0</v>
      </c>
      <c r="BX99" s="197">
        <f>'Energy Inputs'!$D$58*$BX$84</f>
        <v>144</v>
      </c>
      <c r="BY99" s="197">
        <f t="shared" si="298"/>
        <v>0</v>
      </c>
      <c r="BZ99" s="197">
        <f>'Margins summary'!$Q$14</f>
        <v>175.95</v>
      </c>
      <c r="CA99" s="197">
        <f t="shared" si="270"/>
        <v>175.95</v>
      </c>
      <c r="CB99" s="197"/>
      <c r="CC99" s="918">
        <f>'Energy NPV'!U24</f>
        <v>0</v>
      </c>
      <c r="CD99" s="197"/>
      <c r="CE99" s="197">
        <f t="shared" si="271"/>
        <v>0</v>
      </c>
      <c r="CF99" s="197">
        <f t="shared" si="233"/>
        <v>0</v>
      </c>
      <c r="CG99" s="197">
        <f t="shared" si="234"/>
        <v>175.95</v>
      </c>
      <c r="CH99" s="196">
        <f t="shared" si="272"/>
        <v>0</v>
      </c>
      <c r="CI99" s="197">
        <f t="shared" si="273"/>
        <v>114.29376490855698</v>
      </c>
      <c r="CJ99" s="197">
        <f t="shared" si="274"/>
        <v>0</v>
      </c>
      <c r="CK99" s="197">
        <f t="shared" si="275"/>
        <v>0</v>
      </c>
      <c r="CL99" s="199">
        <f t="shared" si="276"/>
        <v>114.29376490855698</v>
      </c>
      <c r="CM99" s="196">
        <f t="shared" si="299"/>
        <v>10289.79771831313</v>
      </c>
      <c r="CN99" s="197">
        <f t="shared" si="277"/>
        <v>1717.3558772860742</v>
      </c>
      <c r="CO99" s="197">
        <f t="shared" si="278"/>
        <v>4620.5685276011372</v>
      </c>
      <c r="CP99" s="197">
        <f t="shared" si="279"/>
        <v>5669.2291907119925</v>
      </c>
      <c r="CQ99" s="199">
        <f t="shared" si="280"/>
        <v>7386.5850679980658</v>
      </c>
      <c r="CR99" s="197"/>
      <c r="CT99" s="204">
        <f t="shared" si="300"/>
        <v>12</v>
      </c>
      <c r="CU99" s="759">
        <f>'Energy NPV'!$D24</f>
        <v>0</v>
      </c>
      <c r="CV99" s="197">
        <f>'Energy Inputs'!$D$58*$CV$84</f>
        <v>0</v>
      </c>
      <c r="CW99" s="197">
        <f t="shared" si="301"/>
        <v>0</v>
      </c>
      <c r="CX99" s="197">
        <f>'Margins summary'!$Q$14</f>
        <v>175.95</v>
      </c>
      <c r="CY99" s="197">
        <f t="shared" si="281"/>
        <v>175.95</v>
      </c>
      <c r="CZ99" s="197"/>
      <c r="DA99" s="918">
        <f>'Energy NPV'!U24</f>
        <v>0</v>
      </c>
      <c r="DB99" s="197"/>
      <c r="DC99" s="197">
        <f t="shared" si="282"/>
        <v>0</v>
      </c>
      <c r="DD99" s="197">
        <f t="shared" si="235"/>
        <v>0</v>
      </c>
      <c r="DE99" s="197">
        <f t="shared" si="236"/>
        <v>175.95</v>
      </c>
      <c r="DF99" s="196">
        <f t="shared" si="283"/>
        <v>0</v>
      </c>
      <c r="DG99" s="197">
        <f t="shared" si="284"/>
        <v>114.29376490855698</v>
      </c>
      <c r="DH99" s="197">
        <f t="shared" si="285"/>
        <v>0</v>
      </c>
      <c r="DI99" s="197">
        <f t="shared" si="286"/>
        <v>0</v>
      </c>
      <c r="DJ99" s="199">
        <f t="shared" si="287"/>
        <v>114.29376490855698</v>
      </c>
      <c r="DK99" s="196">
        <f t="shared" si="302"/>
        <v>0</v>
      </c>
      <c r="DL99" s="197">
        <f t="shared" si="288"/>
        <v>1717.3558772860742</v>
      </c>
      <c r="DM99" s="197">
        <f t="shared" si="289"/>
        <v>4620.5685276011372</v>
      </c>
      <c r="DN99" s="197">
        <f t="shared" si="290"/>
        <v>-4620.5685276011372</v>
      </c>
      <c r="DO99" s="199">
        <f t="shared" si="291"/>
        <v>-2903.2126503150635</v>
      </c>
    </row>
    <row r="100" spans="2:119" x14ac:dyDescent="0.3">
      <c r="B100" s="900">
        <v>13</v>
      </c>
      <c r="C100" s="760">
        <f>'Energy NPV'!$D25</f>
        <v>30</v>
      </c>
      <c r="D100" s="197">
        <f>'Energy Inputs'!$D$58*$E$84</f>
        <v>72</v>
      </c>
      <c r="E100" s="197">
        <f t="shared" si="292"/>
        <v>2160</v>
      </c>
      <c r="F100" s="197">
        <f>'Margins summary'!$Q$14</f>
        <v>175.95</v>
      </c>
      <c r="G100" s="197">
        <f t="shared" si="237"/>
        <v>2335.9499999999998</v>
      </c>
      <c r="H100" s="197"/>
      <c r="I100" s="918">
        <f>'Energy NPV'!U25</f>
        <v>659.29678399999989</v>
      </c>
      <c r="J100" s="197"/>
      <c r="K100" s="197">
        <f t="shared" si="238"/>
        <v>659.29678399999989</v>
      </c>
      <c r="L100" s="197">
        <f t="shared" si="227"/>
        <v>1500.7032160000001</v>
      </c>
      <c r="M100" s="197">
        <f t="shared" si="228"/>
        <v>1676.6532159999999</v>
      </c>
      <c r="N100" s="196">
        <f t="shared" si="239"/>
        <v>1349.1296270929406</v>
      </c>
      <c r="O100" s="197">
        <f t="shared" si="240"/>
        <v>109.89785087361246</v>
      </c>
      <c r="P100" s="197">
        <f t="shared" si="241"/>
        <v>411.79482608402543</v>
      </c>
      <c r="Q100" s="197">
        <f t="shared" si="242"/>
        <v>937.33480100891529</v>
      </c>
      <c r="R100" s="199">
        <f t="shared" si="243"/>
        <v>1047.2326518825275</v>
      </c>
      <c r="S100" s="196">
        <f t="shared" si="293"/>
        <v>6494.0284862495055</v>
      </c>
      <c r="T100" s="197">
        <f t="shared" si="244"/>
        <v>1827.2537281596867</v>
      </c>
      <c r="U100" s="197">
        <f t="shared" si="245"/>
        <v>5032.363353685163</v>
      </c>
      <c r="V100" s="197">
        <f t="shared" si="246"/>
        <v>1461.6651325643431</v>
      </c>
      <c r="W100" s="199">
        <f t="shared" si="247"/>
        <v>3288.9188607240285</v>
      </c>
      <c r="X100" s="197"/>
      <c r="Z100" s="900">
        <v>13</v>
      </c>
      <c r="AA100" s="759">
        <f>'Energy NPV'!$D25</f>
        <v>30</v>
      </c>
      <c r="AB100" s="197">
        <f>'Energy Inputs'!$D$58*$AB$84</f>
        <v>108</v>
      </c>
      <c r="AC100" s="197">
        <f t="shared" si="294"/>
        <v>3240</v>
      </c>
      <c r="AD100" s="197">
        <f>'Margins summary'!$Q$14</f>
        <v>175.95</v>
      </c>
      <c r="AE100" s="197">
        <f t="shared" si="248"/>
        <v>3415.95</v>
      </c>
      <c r="AF100" s="197"/>
      <c r="AG100" s="918">
        <f>'Energy NPV'!U25</f>
        <v>659.29678399999989</v>
      </c>
      <c r="AH100" s="197"/>
      <c r="AI100" s="197">
        <f t="shared" si="249"/>
        <v>659.29678399999989</v>
      </c>
      <c r="AJ100" s="197">
        <f t="shared" si="229"/>
        <v>2580.7032159999999</v>
      </c>
      <c r="AK100" s="197">
        <f t="shared" si="230"/>
        <v>2756.6532159999997</v>
      </c>
      <c r="AL100" s="196">
        <f t="shared" si="250"/>
        <v>2023.6944406394111</v>
      </c>
      <c r="AM100" s="197">
        <f t="shared" si="251"/>
        <v>109.89785087361246</v>
      </c>
      <c r="AN100" s="197">
        <f t="shared" si="252"/>
        <v>411.79482608402543</v>
      </c>
      <c r="AO100" s="197">
        <f t="shared" si="253"/>
        <v>1611.8996145553854</v>
      </c>
      <c r="AP100" s="199">
        <f t="shared" si="254"/>
        <v>1721.7974654289978</v>
      </c>
      <c r="AQ100" s="196">
        <f t="shared" si="295"/>
        <v>9741.0427293742578</v>
      </c>
      <c r="AR100" s="197">
        <f t="shared" si="255"/>
        <v>1827.2537281596867</v>
      </c>
      <c r="AS100" s="197">
        <f t="shared" si="256"/>
        <v>5032.363353685163</v>
      </c>
      <c r="AT100" s="197">
        <f t="shared" si="257"/>
        <v>4708.6793756890947</v>
      </c>
      <c r="AU100" s="199">
        <f t="shared" si="258"/>
        <v>6535.9331038487799</v>
      </c>
      <c r="AV100" s="197"/>
      <c r="AX100" s="900">
        <v>13</v>
      </c>
      <c r="AY100" s="759">
        <f>'Energy NPV'!$D25</f>
        <v>30</v>
      </c>
      <c r="AZ100" s="197">
        <f>'Energy Inputs'!$D$58*$AZ$84</f>
        <v>36</v>
      </c>
      <c r="BA100" s="197">
        <f t="shared" si="296"/>
        <v>1080</v>
      </c>
      <c r="BB100" s="197">
        <f>'Margins summary'!$Q$14</f>
        <v>175.95</v>
      </c>
      <c r="BC100" s="197">
        <f t="shared" si="259"/>
        <v>1255.95</v>
      </c>
      <c r="BD100" s="197"/>
      <c r="BE100" s="918">
        <f>'Energy NPV'!U25</f>
        <v>659.29678399999989</v>
      </c>
      <c r="BF100" s="197"/>
      <c r="BG100" s="197">
        <f t="shared" si="260"/>
        <v>659.29678399999989</v>
      </c>
      <c r="BH100" s="197">
        <f t="shared" si="231"/>
        <v>420.70321600000011</v>
      </c>
      <c r="BI100" s="197">
        <f t="shared" si="232"/>
        <v>596.65321600000016</v>
      </c>
      <c r="BJ100" s="196">
        <f t="shared" si="261"/>
        <v>674.5648135464703</v>
      </c>
      <c r="BK100" s="197">
        <f t="shared" si="262"/>
        <v>109.89785087361246</v>
      </c>
      <c r="BL100" s="197">
        <f t="shared" si="263"/>
        <v>411.79482608402543</v>
      </c>
      <c r="BM100" s="197">
        <f t="shared" si="264"/>
        <v>262.76998746244493</v>
      </c>
      <c r="BN100" s="199">
        <f t="shared" si="265"/>
        <v>372.6678383360574</v>
      </c>
      <c r="BO100" s="196">
        <f t="shared" si="297"/>
        <v>3247.0142431247527</v>
      </c>
      <c r="BP100" s="197">
        <f t="shared" si="266"/>
        <v>1827.2537281596867</v>
      </c>
      <c r="BQ100" s="197">
        <f t="shared" si="267"/>
        <v>5032.363353685163</v>
      </c>
      <c r="BR100" s="197">
        <f t="shared" si="268"/>
        <v>-1785.3491105604098</v>
      </c>
      <c r="BS100" s="199">
        <f t="shared" si="269"/>
        <v>41.904617599276889</v>
      </c>
      <c r="BT100" s="197"/>
      <c r="BV100" s="420">
        <v>13</v>
      </c>
      <c r="BW100" s="759">
        <f>'Energy NPV'!$D25</f>
        <v>30</v>
      </c>
      <c r="BX100" s="197">
        <f>'Energy Inputs'!$D$58*$BX$84</f>
        <v>144</v>
      </c>
      <c r="BY100" s="197">
        <f t="shared" si="298"/>
        <v>4320</v>
      </c>
      <c r="BZ100" s="197">
        <f>'Margins summary'!$Q$14</f>
        <v>175.95</v>
      </c>
      <c r="CA100" s="197">
        <f t="shared" si="270"/>
        <v>4495.95</v>
      </c>
      <c r="CB100" s="197"/>
      <c r="CC100" s="918">
        <f>'Energy NPV'!U25</f>
        <v>659.29678399999989</v>
      </c>
      <c r="CD100" s="197"/>
      <c r="CE100" s="197">
        <f t="shared" si="271"/>
        <v>659.29678399999989</v>
      </c>
      <c r="CF100" s="197">
        <f t="shared" si="233"/>
        <v>3660.7032159999999</v>
      </c>
      <c r="CG100" s="197">
        <f t="shared" si="234"/>
        <v>3836.6532159999997</v>
      </c>
      <c r="CH100" s="196">
        <f t="shared" si="272"/>
        <v>2698.2592541858812</v>
      </c>
      <c r="CI100" s="197">
        <f t="shared" si="273"/>
        <v>109.89785087361246</v>
      </c>
      <c r="CJ100" s="197">
        <f t="shared" si="274"/>
        <v>411.79482608402543</v>
      </c>
      <c r="CK100" s="197">
        <f t="shared" si="275"/>
        <v>2286.4644281018559</v>
      </c>
      <c r="CL100" s="199">
        <f t="shared" si="276"/>
        <v>2396.3622789754681</v>
      </c>
      <c r="CM100" s="196">
        <f t="shared" si="299"/>
        <v>12988.056972499011</v>
      </c>
      <c r="CN100" s="197">
        <f t="shared" si="277"/>
        <v>1827.2537281596867</v>
      </c>
      <c r="CO100" s="197">
        <f t="shared" si="278"/>
        <v>5032.363353685163</v>
      </c>
      <c r="CP100" s="197">
        <f t="shared" si="279"/>
        <v>7955.6936188138479</v>
      </c>
      <c r="CQ100" s="199">
        <f t="shared" si="280"/>
        <v>9782.9473469735349</v>
      </c>
      <c r="CR100" s="197"/>
      <c r="CT100" s="204">
        <f t="shared" si="300"/>
        <v>13</v>
      </c>
      <c r="CU100" s="759">
        <f>'Energy NPV'!$D25</f>
        <v>30</v>
      </c>
      <c r="CV100" s="197">
        <f>'Energy Inputs'!$D$58*$CV$84</f>
        <v>0</v>
      </c>
      <c r="CW100" s="197">
        <f t="shared" si="301"/>
        <v>0</v>
      </c>
      <c r="CX100" s="197">
        <f>'Margins summary'!$Q$14</f>
        <v>175.95</v>
      </c>
      <c r="CY100" s="197">
        <f t="shared" si="281"/>
        <v>175.95</v>
      </c>
      <c r="CZ100" s="197"/>
      <c r="DA100" s="918">
        <f>'Energy NPV'!U25</f>
        <v>659.29678399999989</v>
      </c>
      <c r="DB100" s="197"/>
      <c r="DC100" s="197">
        <f t="shared" si="282"/>
        <v>659.29678399999989</v>
      </c>
      <c r="DD100" s="197">
        <f t="shared" si="235"/>
        <v>-659.29678399999989</v>
      </c>
      <c r="DE100" s="197">
        <f t="shared" si="236"/>
        <v>-483.3467839999999</v>
      </c>
      <c r="DF100" s="196">
        <f t="shared" si="283"/>
        <v>0</v>
      </c>
      <c r="DG100" s="197">
        <f t="shared" si="284"/>
        <v>109.89785087361246</v>
      </c>
      <c r="DH100" s="197">
        <f t="shared" si="285"/>
        <v>411.79482608402543</v>
      </c>
      <c r="DI100" s="197">
        <f t="shared" si="286"/>
        <v>-411.79482608402543</v>
      </c>
      <c r="DJ100" s="199">
        <f t="shared" si="287"/>
        <v>-301.89697521041296</v>
      </c>
      <c r="DK100" s="196">
        <f t="shared" si="302"/>
        <v>0</v>
      </c>
      <c r="DL100" s="197">
        <f t="shared" si="288"/>
        <v>1827.2537281596867</v>
      </c>
      <c r="DM100" s="197">
        <f t="shared" si="289"/>
        <v>5032.363353685163</v>
      </c>
      <c r="DN100" s="197">
        <f t="shared" si="290"/>
        <v>-5032.363353685163</v>
      </c>
      <c r="DO100" s="199">
        <f t="shared" si="291"/>
        <v>-3205.1096255254765</v>
      </c>
    </row>
    <row r="101" spans="2:119" x14ac:dyDescent="0.3">
      <c r="B101" s="900">
        <v>14</v>
      </c>
      <c r="C101" s="760">
        <f>'Energy NPV'!$D26</f>
        <v>0</v>
      </c>
      <c r="D101" s="197">
        <f>'Energy Inputs'!$D$58*$E$84</f>
        <v>72</v>
      </c>
      <c r="E101" s="197">
        <f t="shared" si="292"/>
        <v>0</v>
      </c>
      <c r="F101" s="197">
        <f>'Margins summary'!$Q$14</f>
        <v>175.95</v>
      </c>
      <c r="G101" s="197">
        <f t="shared" si="237"/>
        <v>175.95</v>
      </c>
      <c r="H101" s="197"/>
      <c r="I101" s="918">
        <f>'Energy NPV'!U26</f>
        <v>0</v>
      </c>
      <c r="J101" s="197"/>
      <c r="K101" s="197">
        <f t="shared" si="238"/>
        <v>0</v>
      </c>
      <c r="L101" s="197">
        <f t="shared" si="227"/>
        <v>0</v>
      </c>
      <c r="M101" s="197">
        <f t="shared" si="228"/>
        <v>175.95</v>
      </c>
      <c r="N101" s="196">
        <f t="shared" si="239"/>
        <v>0</v>
      </c>
      <c r="O101" s="197">
        <f t="shared" si="240"/>
        <v>105.67101045539658</v>
      </c>
      <c r="P101" s="197">
        <f t="shared" si="241"/>
        <v>0</v>
      </c>
      <c r="Q101" s="197">
        <f t="shared" si="242"/>
        <v>0</v>
      </c>
      <c r="R101" s="199">
        <f t="shared" si="243"/>
        <v>105.67101045539658</v>
      </c>
      <c r="S101" s="196">
        <f t="shared" si="293"/>
        <v>6494.0284862495055</v>
      </c>
      <c r="T101" s="197">
        <f t="shared" si="244"/>
        <v>1932.9247386150832</v>
      </c>
      <c r="U101" s="197">
        <f t="shared" si="245"/>
        <v>5032.363353685163</v>
      </c>
      <c r="V101" s="197">
        <f t="shared" si="246"/>
        <v>1461.6651325643431</v>
      </c>
      <c r="W101" s="199">
        <f t="shared" si="247"/>
        <v>3394.5898711794252</v>
      </c>
      <c r="X101" s="197"/>
      <c r="Z101" s="900">
        <v>14</v>
      </c>
      <c r="AA101" s="759">
        <f>'Energy NPV'!$D26</f>
        <v>0</v>
      </c>
      <c r="AB101" s="197">
        <f>'Energy Inputs'!$D$58*$AB$84</f>
        <v>108</v>
      </c>
      <c r="AC101" s="197">
        <f t="shared" si="294"/>
        <v>0</v>
      </c>
      <c r="AD101" s="197">
        <f>'Margins summary'!$Q$14</f>
        <v>175.95</v>
      </c>
      <c r="AE101" s="197">
        <f t="shared" si="248"/>
        <v>175.95</v>
      </c>
      <c r="AF101" s="197"/>
      <c r="AG101" s="918">
        <f>'Energy NPV'!U26</f>
        <v>0</v>
      </c>
      <c r="AH101" s="197"/>
      <c r="AI101" s="197">
        <f t="shared" si="249"/>
        <v>0</v>
      </c>
      <c r="AJ101" s="197">
        <f t="shared" si="229"/>
        <v>0</v>
      </c>
      <c r="AK101" s="197">
        <f t="shared" si="230"/>
        <v>175.95</v>
      </c>
      <c r="AL101" s="196">
        <f t="shared" si="250"/>
        <v>0</v>
      </c>
      <c r="AM101" s="197">
        <f t="shared" si="251"/>
        <v>105.67101045539658</v>
      </c>
      <c r="AN101" s="197">
        <f t="shared" si="252"/>
        <v>0</v>
      </c>
      <c r="AO101" s="197">
        <f t="shared" si="253"/>
        <v>0</v>
      </c>
      <c r="AP101" s="199">
        <f t="shared" si="254"/>
        <v>105.67101045539658</v>
      </c>
      <c r="AQ101" s="196">
        <f t="shared" si="295"/>
        <v>9741.0427293742578</v>
      </c>
      <c r="AR101" s="197">
        <f t="shared" si="255"/>
        <v>1932.9247386150832</v>
      </c>
      <c r="AS101" s="197">
        <f t="shared" si="256"/>
        <v>5032.363353685163</v>
      </c>
      <c r="AT101" s="197">
        <f t="shared" si="257"/>
        <v>4708.6793756890947</v>
      </c>
      <c r="AU101" s="199">
        <f t="shared" si="258"/>
        <v>6641.6041143041766</v>
      </c>
      <c r="AV101" s="197"/>
      <c r="AX101" s="900">
        <v>14</v>
      </c>
      <c r="AY101" s="759">
        <f>'Energy NPV'!$D26</f>
        <v>0</v>
      </c>
      <c r="AZ101" s="197">
        <f>'Energy Inputs'!$D$58*$AZ$84</f>
        <v>36</v>
      </c>
      <c r="BA101" s="197">
        <f t="shared" si="296"/>
        <v>0</v>
      </c>
      <c r="BB101" s="197">
        <f>'Margins summary'!$Q$14</f>
        <v>175.95</v>
      </c>
      <c r="BC101" s="197">
        <f t="shared" si="259"/>
        <v>175.95</v>
      </c>
      <c r="BD101" s="197"/>
      <c r="BE101" s="918">
        <f>'Energy NPV'!U26</f>
        <v>0</v>
      </c>
      <c r="BF101" s="197"/>
      <c r="BG101" s="197">
        <f t="shared" si="260"/>
        <v>0</v>
      </c>
      <c r="BH101" s="197">
        <f t="shared" si="231"/>
        <v>0</v>
      </c>
      <c r="BI101" s="197">
        <f t="shared" si="232"/>
        <v>175.95</v>
      </c>
      <c r="BJ101" s="196">
        <f t="shared" si="261"/>
        <v>0</v>
      </c>
      <c r="BK101" s="197">
        <f t="shared" si="262"/>
        <v>105.67101045539658</v>
      </c>
      <c r="BL101" s="197">
        <f t="shared" si="263"/>
        <v>0</v>
      </c>
      <c r="BM101" s="197">
        <f t="shared" si="264"/>
        <v>0</v>
      </c>
      <c r="BN101" s="199">
        <f t="shared" si="265"/>
        <v>105.67101045539658</v>
      </c>
      <c r="BO101" s="196">
        <f t="shared" si="297"/>
        <v>3247.0142431247527</v>
      </c>
      <c r="BP101" s="197">
        <f t="shared" si="266"/>
        <v>1932.9247386150832</v>
      </c>
      <c r="BQ101" s="197">
        <f t="shared" si="267"/>
        <v>5032.363353685163</v>
      </c>
      <c r="BR101" s="197">
        <f t="shared" si="268"/>
        <v>-1785.3491105604098</v>
      </c>
      <c r="BS101" s="199">
        <f t="shared" si="269"/>
        <v>147.57562805467347</v>
      </c>
      <c r="BT101" s="197"/>
      <c r="BV101" s="420">
        <v>14</v>
      </c>
      <c r="BW101" s="759">
        <f>'Energy NPV'!$D26</f>
        <v>0</v>
      </c>
      <c r="BX101" s="197">
        <f>'Energy Inputs'!$D$58*$BX$84</f>
        <v>144</v>
      </c>
      <c r="BY101" s="197">
        <f t="shared" si="298"/>
        <v>0</v>
      </c>
      <c r="BZ101" s="197">
        <f>'Margins summary'!$Q$14</f>
        <v>175.95</v>
      </c>
      <c r="CA101" s="197">
        <f t="shared" si="270"/>
        <v>175.95</v>
      </c>
      <c r="CB101" s="197"/>
      <c r="CC101" s="918">
        <f>'Energy NPV'!U26</f>
        <v>0</v>
      </c>
      <c r="CD101" s="197"/>
      <c r="CE101" s="197">
        <f t="shared" si="271"/>
        <v>0</v>
      </c>
      <c r="CF101" s="197">
        <f t="shared" si="233"/>
        <v>0</v>
      </c>
      <c r="CG101" s="197">
        <f t="shared" si="234"/>
        <v>175.95</v>
      </c>
      <c r="CH101" s="196">
        <f t="shared" si="272"/>
        <v>0</v>
      </c>
      <c r="CI101" s="197">
        <f t="shared" si="273"/>
        <v>105.67101045539658</v>
      </c>
      <c r="CJ101" s="197">
        <f t="shared" si="274"/>
        <v>0</v>
      </c>
      <c r="CK101" s="197">
        <f t="shared" si="275"/>
        <v>0</v>
      </c>
      <c r="CL101" s="199">
        <f t="shared" si="276"/>
        <v>105.67101045539658</v>
      </c>
      <c r="CM101" s="196">
        <f t="shared" si="299"/>
        <v>12988.056972499011</v>
      </c>
      <c r="CN101" s="197">
        <f t="shared" si="277"/>
        <v>1932.9247386150832</v>
      </c>
      <c r="CO101" s="197">
        <f t="shared" si="278"/>
        <v>5032.363353685163</v>
      </c>
      <c r="CP101" s="197">
        <f t="shared" si="279"/>
        <v>7955.6936188138479</v>
      </c>
      <c r="CQ101" s="199">
        <f t="shared" si="280"/>
        <v>9888.6183574289316</v>
      </c>
      <c r="CR101" s="197"/>
      <c r="CT101" s="204">
        <f t="shared" si="300"/>
        <v>14</v>
      </c>
      <c r="CU101" s="759">
        <f>'Energy NPV'!$D26</f>
        <v>0</v>
      </c>
      <c r="CV101" s="197">
        <f>'Energy Inputs'!$D$58*$CV$84</f>
        <v>0</v>
      </c>
      <c r="CW101" s="197">
        <f t="shared" si="301"/>
        <v>0</v>
      </c>
      <c r="CX101" s="197">
        <f>'Margins summary'!$Q$14</f>
        <v>175.95</v>
      </c>
      <c r="CY101" s="197">
        <f t="shared" si="281"/>
        <v>175.95</v>
      </c>
      <c r="CZ101" s="197"/>
      <c r="DA101" s="918">
        <f>'Energy NPV'!U26</f>
        <v>0</v>
      </c>
      <c r="DB101" s="197"/>
      <c r="DC101" s="197">
        <f t="shared" si="282"/>
        <v>0</v>
      </c>
      <c r="DD101" s="197">
        <f t="shared" si="235"/>
        <v>0</v>
      </c>
      <c r="DE101" s="197">
        <f t="shared" si="236"/>
        <v>175.95</v>
      </c>
      <c r="DF101" s="196">
        <f t="shared" si="283"/>
        <v>0</v>
      </c>
      <c r="DG101" s="197">
        <f t="shared" si="284"/>
        <v>105.67101045539658</v>
      </c>
      <c r="DH101" s="197">
        <f t="shared" si="285"/>
        <v>0</v>
      </c>
      <c r="DI101" s="197">
        <f t="shared" si="286"/>
        <v>0</v>
      </c>
      <c r="DJ101" s="199">
        <f t="shared" si="287"/>
        <v>105.67101045539658</v>
      </c>
      <c r="DK101" s="196">
        <f t="shared" si="302"/>
        <v>0</v>
      </c>
      <c r="DL101" s="197">
        <f t="shared" si="288"/>
        <v>1932.9247386150832</v>
      </c>
      <c r="DM101" s="197">
        <f t="shared" si="289"/>
        <v>5032.363353685163</v>
      </c>
      <c r="DN101" s="197">
        <f t="shared" si="290"/>
        <v>-5032.363353685163</v>
      </c>
      <c r="DO101" s="199">
        <f t="shared" si="291"/>
        <v>-3099.4386150700798</v>
      </c>
    </row>
    <row r="102" spans="2:119" x14ac:dyDescent="0.3">
      <c r="B102" s="900">
        <v>15</v>
      </c>
      <c r="C102" s="760">
        <f>'Energy NPV'!$D27</f>
        <v>0</v>
      </c>
      <c r="D102" s="197">
        <f>'Energy Inputs'!$D$58*$E$84</f>
        <v>72</v>
      </c>
      <c r="E102" s="197">
        <f t="shared" si="292"/>
        <v>0</v>
      </c>
      <c r="F102" s="197">
        <f>'Margins summary'!$Q$14</f>
        <v>175.95</v>
      </c>
      <c r="G102" s="197">
        <f t="shared" si="237"/>
        <v>175.95</v>
      </c>
      <c r="H102" s="197"/>
      <c r="I102" s="918">
        <f>'Energy NPV'!U27</f>
        <v>0</v>
      </c>
      <c r="J102" s="197"/>
      <c r="K102" s="197">
        <f t="shared" si="238"/>
        <v>0</v>
      </c>
      <c r="L102" s="197">
        <f t="shared" si="227"/>
        <v>0</v>
      </c>
      <c r="M102" s="197">
        <f t="shared" si="228"/>
        <v>175.95</v>
      </c>
      <c r="N102" s="196">
        <f t="shared" si="239"/>
        <v>0</v>
      </c>
      <c r="O102" s="197">
        <f t="shared" si="240"/>
        <v>101.60674082249672</v>
      </c>
      <c r="P102" s="197">
        <f t="shared" si="241"/>
        <v>0</v>
      </c>
      <c r="Q102" s="197">
        <f t="shared" si="242"/>
        <v>0</v>
      </c>
      <c r="R102" s="199">
        <f t="shared" si="243"/>
        <v>101.60674082249672</v>
      </c>
      <c r="S102" s="196">
        <f t="shared" si="293"/>
        <v>6494.0284862495055</v>
      </c>
      <c r="T102" s="197">
        <f t="shared" si="244"/>
        <v>2034.5314794375799</v>
      </c>
      <c r="U102" s="197">
        <f t="shared" si="245"/>
        <v>5032.363353685163</v>
      </c>
      <c r="V102" s="197">
        <f t="shared" si="246"/>
        <v>1461.6651325643431</v>
      </c>
      <c r="W102" s="199">
        <f t="shared" si="247"/>
        <v>3496.1966120019219</v>
      </c>
      <c r="X102" s="197"/>
      <c r="Z102" s="900">
        <v>15</v>
      </c>
      <c r="AA102" s="759">
        <f>'Energy NPV'!$D27</f>
        <v>0</v>
      </c>
      <c r="AB102" s="197">
        <f>'Energy Inputs'!$D$58*$AB$84</f>
        <v>108</v>
      </c>
      <c r="AC102" s="197">
        <f t="shared" si="294"/>
        <v>0</v>
      </c>
      <c r="AD102" s="197">
        <f>'Margins summary'!$Q$14</f>
        <v>175.95</v>
      </c>
      <c r="AE102" s="197">
        <f t="shared" si="248"/>
        <v>175.95</v>
      </c>
      <c r="AF102" s="197"/>
      <c r="AG102" s="918">
        <f>'Energy NPV'!U27</f>
        <v>0</v>
      </c>
      <c r="AH102" s="197"/>
      <c r="AI102" s="197">
        <f t="shared" si="249"/>
        <v>0</v>
      </c>
      <c r="AJ102" s="197">
        <f t="shared" si="229"/>
        <v>0</v>
      </c>
      <c r="AK102" s="197">
        <f t="shared" si="230"/>
        <v>175.95</v>
      </c>
      <c r="AL102" s="196">
        <f t="shared" si="250"/>
        <v>0</v>
      </c>
      <c r="AM102" s="197">
        <f t="shared" si="251"/>
        <v>101.60674082249672</v>
      </c>
      <c r="AN102" s="197">
        <f t="shared" si="252"/>
        <v>0</v>
      </c>
      <c r="AO102" s="197">
        <f t="shared" si="253"/>
        <v>0</v>
      </c>
      <c r="AP102" s="199">
        <f t="shared" si="254"/>
        <v>101.60674082249672</v>
      </c>
      <c r="AQ102" s="196">
        <f t="shared" si="295"/>
        <v>9741.0427293742578</v>
      </c>
      <c r="AR102" s="197">
        <f t="shared" si="255"/>
        <v>2034.5314794375799</v>
      </c>
      <c r="AS102" s="197">
        <f t="shared" si="256"/>
        <v>5032.363353685163</v>
      </c>
      <c r="AT102" s="197">
        <f t="shared" si="257"/>
        <v>4708.6793756890947</v>
      </c>
      <c r="AU102" s="199">
        <f t="shared" si="258"/>
        <v>6743.2108551266738</v>
      </c>
      <c r="AV102" s="197"/>
      <c r="AX102" s="900">
        <v>15</v>
      </c>
      <c r="AY102" s="759">
        <f>'Energy NPV'!$D27</f>
        <v>0</v>
      </c>
      <c r="AZ102" s="197">
        <f>'Energy Inputs'!$D$58*$AZ$84</f>
        <v>36</v>
      </c>
      <c r="BA102" s="197">
        <f t="shared" si="296"/>
        <v>0</v>
      </c>
      <c r="BB102" s="197">
        <f>'Margins summary'!$Q$14</f>
        <v>175.95</v>
      </c>
      <c r="BC102" s="197">
        <f t="shared" si="259"/>
        <v>175.95</v>
      </c>
      <c r="BD102" s="197"/>
      <c r="BE102" s="918">
        <f>'Energy NPV'!U27</f>
        <v>0</v>
      </c>
      <c r="BF102" s="197"/>
      <c r="BG102" s="197">
        <f t="shared" si="260"/>
        <v>0</v>
      </c>
      <c r="BH102" s="197">
        <f t="shared" si="231"/>
        <v>0</v>
      </c>
      <c r="BI102" s="197">
        <f t="shared" si="232"/>
        <v>175.95</v>
      </c>
      <c r="BJ102" s="196">
        <f t="shared" si="261"/>
        <v>0</v>
      </c>
      <c r="BK102" s="197">
        <f t="shared" si="262"/>
        <v>101.60674082249672</v>
      </c>
      <c r="BL102" s="197">
        <f t="shared" si="263"/>
        <v>0</v>
      </c>
      <c r="BM102" s="197">
        <f t="shared" si="264"/>
        <v>0</v>
      </c>
      <c r="BN102" s="199">
        <f t="shared" si="265"/>
        <v>101.60674082249672</v>
      </c>
      <c r="BO102" s="196">
        <f t="shared" si="297"/>
        <v>3247.0142431247527</v>
      </c>
      <c r="BP102" s="197">
        <f t="shared" si="266"/>
        <v>2034.5314794375799</v>
      </c>
      <c r="BQ102" s="197">
        <f t="shared" si="267"/>
        <v>5032.363353685163</v>
      </c>
      <c r="BR102" s="197">
        <f t="shared" si="268"/>
        <v>-1785.3491105604098</v>
      </c>
      <c r="BS102" s="199">
        <f t="shared" si="269"/>
        <v>249.18236887717018</v>
      </c>
      <c r="BT102" s="197"/>
      <c r="BV102" s="420">
        <v>15</v>
      </c>
      <c r="BW102" s="759">
        <f>'Energy NPV'!$D27</f>
        <v>0</v>
      </c>
      <c r="BX102" s="197">
        <f>'Energy Inputs'!$D$58*$BX$84</f>
        <v>144</v>
      </c>
      <c r="BY102" s="197">
        <f t="shared" si="298"/>
        <v>0</v>
      </c>
      <c r="BZ102" s="197">
        <f>'Margins summary'!$Q$14</f>
        <v>175.95</v>
      </c>
      <c r="CA102" s="197">
        <f t="shared" si="270"/>
        <v>175.95</v>
      </c>
      <c r="CB102" s="197"/>
      <c r="CC102" s="918">
        <f>'Energy NPV'!U27</f>
        <v>0</v>
      </c>
      <c r="CD102" s="197"/>
      <c r="CE102" s="197">
        <f t="shared" si="271"/>
        <v>0</v>
      </c>
      <c r="CF102" s="197">
        <f t="shared" si="233"/>
        <v>0</v>
      </c>
      <c r="CG102" s="197">
        <f t="shared" si="234"/>
        <v>175.95</v>
      </c>
      <c r="CH102" s="196">
        <f t="shared" si="272"/>
        <v>0</v>
      </c>
      <c r="CI102" s="197">
        <f t="shared" si="273"/>
        <v>101.60674082249672</v>
      </c>
      <c r="CJ102" s="197">
        <f t="shared" si="274"/>
        <v>0</v>
      </c>
      <c r="CK102" s="197">
        <f t="shared" si="275"/>
        <v>0</v>
      </c>
      <c r="CL102" s="199">
        <f t="shared" si="276"/>
        <v>101.60674082249672</v>
      </c>
      <c r="CM102" s="196">
        <f t="shared" si="299"/>
        <v>12988.056972499011</v>
      </c>
      <c r="CN102" s="197">
        <f t="shared" si="277"/>
        <v>2034.5314794375799</v>
      </c>
      <c r="CO102" s="197">
        <f t="shared" si="278"/>
        <v>5032.363353685163</v>
      </c>
      <c r="CP102" s="197">
        <f t="shared" si="279"/>
        <v>7955.6936188138479</v>
      </c>
      <c r="CQ102" s="199">
        <f t="shared" si="280"/>
        <v>9990.2250982514288</v>
      </c>
      <c r="CR102" s="197"/>
      <c r="CT102" s="204">
        <f t="shared" si="300"/>
        <v>15</v>
      </c>
      <c r="CU102" s="759">
        <f>'Energy NPV'!$D27</f>
        <v>0</v>
      </c>
      <c r="CV102" s="197">
        <f>'Energy Inputs'!$D$58*$CV$84</f>
        <v>0</v>
      </c>
      <c r="CW102" s="197">
        <f t="shared" si="301"/>
        <v>0</v>
      </c>
      <c r="CX102" s="197">
        <f>'Margins summary'!$Q$14</f>
        <v>175.95</v>
      </c>
      <c r="CY102" s="197">
        <f t="shared" si="281"/>
        <v>175.95</v>
      </c>
      <c r="CZ102" s="197"/>
      <c r="DA102" s="918">
        <f>'Energy NPV'!U27</f>
        <v>0</v>
      </c>
      <c r="DB102" s="197"/>
      <c r="DC102" s="197">
        <f t="shared" si="282"/>
        <v>0</v>
      </c>
      <c r="DD102" s="197">
        <f t="shared" si="235"/>
        <v>0</v>
      </c>
      <c r="DE102" s="197">
        <f t="shared" si="236"/>
        <v>175.95</v>
      </c>
      <c r="DF102" s="196">
        <f t="shared" si="283"/>
        <v>0</v>
      </c>
      <c r="DG102" s="197">
        <f t="shared" si="284"/>
        <v>101.60674082249672</v>
      </c>
      <c r="DH102" s="197">
        <f t="shared" si="285"/>
        <v>0</v>
      </c>
      <c r="DI102" s="197">
        <f t="shared" si="286"/>
        <v>0</v>
      </c>
      <c r="DJ102" s="199">
        <f t="shared" si="287"/>
        <v>101.60674082249672</v>
      </c>
      <c r="DK102" s="196">
        <f t="shared" si="302"/>
        <v>0</v>
      </c>
      <c r="DL102" s="197">
        <f t="shared" si="288"/>
        <v>2034.5314794375799</v>
      </c>
      <c r="DM102" s="197">
        <f t="shared" si="289"/>
        <v>5032.363353685163</v>
      </c>
      <c r="DN102" s="197">
        <f t="shared" si="290"/>
        <v>-5032.363353685163</v>
      </c>
      <c r="DO102" s="199">
        <f t="shared" si="291"/>
        <v>-2997.8318742475831</v>
      </c>
    </row>
    <row r="103" spans="2:119" x14ac:dyDescent="0.3">
      <c r="B103" s="901">
        <v>16</v>
      </c>
      <c r="C103" s="761">
        <f>'Energy NPV'!$D28</f>
        <v>30</v>
      </c>
      <c r="D103" s="207">
        <f>'Energy Inputs'!$D$58*$E$84</f>
        <v>72</v>
      </c>
      <c r="E103" s="207">
        <f t="shared" si="292"/>
        <v>2160</v>
      </c>
      <c r="F103" s="207">
        <f>'Margins summary'!$Q$14</f>
        <v>175.95</v>
      </c>
      <c r="G103" s="207">
        <f t="shared" si="237"/>
        <v>2335.9499999999998</v>
      </c>
      <c r="H103" s="207"/>
      <c r="I103" s="919">
        <f>'Energy NPV'!U28</f>
        <v>659.29678399999989</v>
      </c>
      <c r="J103" s="207">
        <f>'Energy margins'!$J$67</f>
        <v>192.1</v>
      </c>
      <c r="K103" s="207">
        <f t="shared" si="238"/>
        <v>851.39678399999991</v>
      </c>
      <c r="L103" s="207">
        <f t="shared" si="227"/>
        <v>1308.603216</v>
      </c>
      <c r="M103" s="207">
        <f t="shared" si="228"/>
        <v>1484.5532159999998</v>
      </c>
      <c r="N103" s="208">
        <f t="shared" si="239"/>
        <v>1199.3713258606736</v>
      </c>
      <c r="O103" s="207">
        <f t="shared" si="240"/>
        <v>97.698789252400701</v>
      </c>
      <c r="P103" s="207">
        <f t="shared" si="241"/>
        <v>472.7504118794414</v>
      </c>
      <c r="Q103" s="207">
        <f t="shared" si="242"/>
        <v>726.62091398123209</v>
      </c>
      <c r="R103" s="209">
        <f t="shared" si="243"/>
        <v>824.31970323363271</v>
      </c>
      <c r="S103" s="208">
        <f t="shared" si="293"/>
        <v>7693.3998121101795</v>
      </c>
      <c r="T103" s="207">
        <f t="shared" si="244"/>
        <v>2132.2302686899807</v>
      </c>
      <c r="U103" s="207">
        <f t="shared" si="245"/>
        <v>5505.1137655646044</v>
      </c>
      <c r="V103" s="207">
        <f t="shared" si="246"/>
        <v>2188.2860465455751</v>
      </c>
      <c r="W103" s="209">
        <f t="shared" si="247"/>
        <v>4320.5163152355544</v>
      </c>
      <c r="X103" s="197"/>
      <c r="Z103" s="901">
        <v>16</v>
      </c>
      <c r="AA103" s="215">
        <f>'Energy NPV'!$D28</f>
        <v>30</v>
      </c>
      <c r="AB103" s="207">
        <f>'Energy Inputs'!$D$58*$AB$84</f>
        <v>108</v>
      </c>
      <c r="AC103" s="207">
        <f t="shared" si="294"/>
        <v>3240</v>
      </c>
      <c r="AD103" s="207">
        <f>'Margins summary'!$Q$14</f>
        <v>175.95</v>
      </c>
      <c r="AE103" s="207">
        <f t="shared" si="248"/>
        <v>3415.95</v>
      </c>
      <c r="AF103" s="207"/>
      <c r="AG103" s="919">
        <f>'Energy NPV'!U28</f>
        <v>659.29678399999989</v>
      </c>
      <c r="AH103" s="207">
        <f>'Energy margins'!$J$67</f>
        <v>192.1</v>
      </c>
      <c r="AI103" s="207">
        <f t="shared" si="249"/>
        <v>851.39678399999991</v>
      </c>
      <c r="AJ103" s="207">
        <f t="shared" si="229"/>
        <v>2388.603216</v>
      </c>
      <c r="AK103" s="207">
        <f t="shared" si="230"/>
        <v>2564.5532159999998</v>
      </c>
      <c r="AL103" s="208">
        <f t="shared" si="250"/>
        <v>1799.0569887910103</v>
      </c>
      <c r="AM103" s="207">
        <f t="shared" si="251"/>
        <v>97.698789252400701</v>
      </c>
      <c r="AN103" s="207">
        <f t="shared" si="252"/>
        <v>472.7504118794414</v>
      </c>
      <c r="AO103" s="207">
        <f t="shared" si="253"/>
        <v>1326.306576911569</v>
      </c>
      <c r="AP103" s="209">
        <f t="shared" si="254"/>
        <v>1424.0053661639695</v>
      </c>
      <c r="AQ103" s="208">
        <f>AQ102+AL103</f>
        <v>11540.099718165267</v>
      </c>
      <c r="AR103" s="207">
        <f t="shared" si="255"/>
        <v>2132.2302686899807</v>
      </c>
      <c r="AS103" s="207">
        <f t="shared" si="256"/>
        <v>5505.1137655646044</v>
      </c>
      <c r="AT103" s="207">
        <f t="shared" si="257"/>
        <v>6034.9859526006639</v>
      </c>
      <c r="AU103" s="209">
        <f t="shared" si="258"/>
        <v>8167.2162212906433</v>
      </c>
      <c r="AV103" s="197"/>
      <c r="AX103" s="901">
        <v>16</v>
      </c>
      <c r="AY103" s="215">
        <f>'Energy NPV'!$D28</f>
        <v>30</v>
      </c>
      <c r="AZ103" s="207">
        <f>'Energy Inputs'!$D$58*$AZ$84</f>
        <v>36</v>
      </c>
      <c r="BA103" s="207">
        <f t="shared" si="296"/>
        <v>1080</v>
      </c>
      <c r="BB103" s="207">
        <f>'Margins summary'!$Q$14</f>
        <v>175.95</v>
      </c>
      <c r="BC103" s="207">
        <f t="shared" si="259"/>
        <v>1255.95</v>
      </c>
      <c r="BD103" s="207"/>
      <c r="BE103" s="919">
        <f>'Energy NPV'!U28</f>
        <v>659.29678399999989</v>
      </c>
      <c r="BF103" s="207">
        <f>'Energy margins'!$J$67</f>
        <v>192.1</v>
      </c>
      <c r="BG103" s="207">
        <f t="shared" si="260"/>
        <v>851.39678399999991</v>
      </c>
      <c r="BH103" s="207">
        <f t="shared" si="231"/>
        <v>228.60321600000009</v>
      </c>
      <c r="BI103" s="207">
        <f t="shared" si="232"/>
        <v>404.55321600000013</v>
      </c>
      <c r="BJ103" s="208">
        <f t="shared" si="261"/>
        <v>599.68566293033678</v>
      </c>
      <c r="BK103" s="207">
        <f t="shared" si="262"/>
        <v>97.698789252400701</v>
      </c>
      <c r="BL103" s="207">
        <f t="shared" si="263"/>
        <v>472.7504118794414</v>
      </c>
      <c r="BM103" s="207">
        <f t="shared" si="264"/>
        <v>126.93525105089539</v>
      </c>
      <c r="BN103" s="209">
        <f t="shared" si="265"/>
        <v>224.63404030329613</v>
      </c>
      <c r="BO103" s="208">
        <f t="shared" si="297"/>
        <v>3846.6999060550897</v>
      </c>
      <c r="BP103" s="207">
        <f t="shared" si="266"/>
        <v>2132.2302686899807</v>
      </c>
      <c r="BQ103" s="207">
        <f t="shared" si="267"/>
        <v>5505.1137655646044</v>
      </c>
      <c r="BR103" s="207">
        <f t="shared" si="268"/>
        <v>-1658.4138595095144</v>
      </c>
      <c r="BS103" s="209">
        <f t="shared" si="269"/>
        <v>473.81640918046628</v>
      </c>
      <c r="BT103" s="197"/>
      <c r="BV103" s="561">
        <v>16</v>
      </c>
      <c r="BW103" s="215">
        <f>'Energy NPV'!$D28</f>
        <v>30</v>
      </c>
      <c r="BX103" s="207">
        <f>'Energy Inputs'!$D$58*$BX$84</f>
        <v>144</v>
      </c>
      <c r="BY103" s="207">
        <f t="shared" si="298"/>
        <v>4320</v>
      </c>
      <c r="BZ103" s="207">
        <f>'Margins summary'!$Q$14</f>
        <v>175.95</v>
      </c>
      <c r="CA103" s="207">
        <f t="shared" si="270"/>
        <v>4495.95</v>
      </c>
      <c r="CB103" s="207"/>
      <c r="CC103" s="919">
        <f>'Energy NPV'!U28</f>
        <v>659.29678399999989</v>
      </c>
      <c r="CD103" s="207">
        <f>'Energy margins'!$J$67</f>
        <v>192.1</v>
      </c>
      <c r="CE103" s="207">
        <f t="shared" si="271"/>
        <v>851.39678399999991</v>
      </c>
      <c r="CF103" s="207">
        <f t="shared" si="233"/>
        <v>3468.603216</v>
      </c>
      <c r="CG103" s="207">
        <f t="shared" si="234"/>
        <v>3644.5532159999998</v>
      </c>
      <c r="CH103" s="208">
        <f t="shared" si="272"/>
        <v>2398.7426517213471</v>
      </c>
      <c r="CI103" s="207">
        <f t="shared" si="273"/>
        <v>97.698789252400701</v>
      </c>
      <c r="CJ103" s="207">
        <f t="shared" si="274"/>
        <v>472.7504118794414</v>
      </c>
      <c r="CK103" s="207">
        <f t="shared" si="275"/>
        <v>1925.9922398419058</v>
      </c>
      <c r="CL103" s="209">
        <f t="shared" si="276"/>
        <v>2023.6910290943063</v>
      </c>
      <c r="CM103" s="208">
        <f t="shared" si="299"/>
        <v>15386.799624220359</v>
      </c>
      <c r="CN103" s="207">
        <f t="shared" si="277"/>
        <v>2132.2302686899807</v>
      </c>
      <c r="CO103" s="207">
        <f t="shared" si="278"/>
        <v>5505.1137655646044</v>
      </c>
      <c r="CP103" s="207">
        <f t="shared" si="279"/>
        <v>9881.6858586557537</v>
      </c>
      <c r="CQ103" s="209">
        <f t="shared" si="280"/>
        <v>12013.916127345736</v>
      </c>
      <c r="CR103" s="197"/>
      <c r="CT103" s="206">
        <f t="shared" si="300"/>
        <v>16</v>
      </c>
      <c r="CU103" s="215">
        <f>'Energy NPV'!$D28</f>
        <v>30</v>
      </c>
      <c r="CV103" s="207">
        <f>'Energy Inputs'!$D$58*$CV$84</f>
        <v>0</v>
      </c>
      <c r="CW103" s="207">
        <f t="shared" si="301"/>
        <v>0</v>
      </c>
      <c r="CX103" s="207">
        <f>'Margins summary'!$Q$14</f>
        <v>175.95</v>
      </c>
      <c r="CY103" s="207">
        <f t="shared" si="281"/>
        <v>175.95</v>
      </c>
      <c r="CZ103" s="207"/>
      <c r="DA103" s="919">
        <f>'Energy NPV'!U28</f>
        <v>659.29678399999989</v>
      </c>
      <c r="DB103" s="207">
        <f>'Energy margins'!$J$67</f>
        <v>192.1</v>
      </c>
      <c r="DC103" s="207">
        <f t="shared" si="282"/>
        <v>851.39678399999991</v>
      </c>
      <c r="DD103" s="207">
        <f t="shared" si="235"/>
        <v>-851.39678399999991</v>
      </c>
      <c r="DE103" s="207">
        <f t="shared" si="236"/>
        <v>-675.44678399999998</v>
      </c>
      <c r="DF103" s="208">
        <f t="shared" si="283"/>
        <v>0</v>
      </c>
      <c r="DG103" s="207">
        <f t="shared" si="284"/>
        <v>97.698789252400701</v>
      </c>
      <c r="DH103" s="207">
        <f t="shared" si="285"/>
        <v>472.7504118794414</v>
      </c>
      <c r="DI103" s="207">
        <f t="shared" si="286"/>
        <v>-472.7504118794414</v>
      </c>
      <c r="DJ103" s="209">
        <f t="shared" si="287"/>
        <v>-375.05162262704073</v>
      </c>
      <c r="DK103" s="208">
        <f t="shared" si="302"/>
        <v>0</v>
      </c>
      <c r="DL103" s="207">
        <f t="shared" si="288"/>
        <v>2132.2302686899807</v>
      </c>
      <c r="DM103" s="207">
        <f t="shared" si="289"/>
        <v>5505.1137655646044</v>
      </c>
      <c r="DN103" s="207">
        <f t="shared" si="290"/>
        <v>-5505.1137655646044</v>
      </c>
      <c r="DO103" s="209">
        <f t="shared" si="291"/>
        <v>-3372.8834968746237</v>
      </c>
    </row>
    <row r="109" spans="2:119" x14ac:dyDescent="0.3">
      <c r="B109" s="211" t="s">
        <v>95</v>
      </c>
      <c r="C109" s="763" t="s">
        <v>394</v>
      </c>
      <c r="D109" s="269" t="s">
        <v>405</v>
      </c>
      <c r="E109" s="906">
        <v>1</v>
      </c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Z109" s="211" t="s">
        <v>95</v>
      </c>
      <c r="AA109" s="211" t="s">
        <v>318</v>
      </c>
      <c r="AB109" s="909">
        <v>1.5</v>
      </c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X109" s="211" t="s">
        <v>95</v>
      </c>
      <c r="AY109" s="211" t="s">
        <v>324</v>
      </c>
      <c r="AZ109" s="908">
        <v>0.5</v>
      </c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V109" s="211" t="s">
        <v>95</v>
      </c>
      <c r="BW109" s="211" t="s">
        <v>325</v>
      </c>
      <c r="BX109" s="908">
        <v>2</v>
      </c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T109" s="211" t="s">
        <v>95</v>
      </c>
      <c r="CU109" s="211" t="s">
        <v>326</v>
      </c>
      <c r="CV109" s="908">
        <v>0</v>
      </c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</row>
    <row r="110" spans="2:119" x14ac:dyDescent="0.3">
      <c r="B110" s="203"/>
      <c r="C110" s="148"/>
      <c r="D110" s="148"/>
      <c r="E110" s="1086"/>
      <c r="F110" s="1086"/>
      <c r="G110" s="1086"/>
      <c r="H110" s="148"/>
      <c r="I110" s="931"/>
      <c r="J110" s="1086"/>
      <c r="K110" s="1086"/>
      <c r="L110" s="148"/>
      <c r="M110" s="148"/>
      <c r="N110" s="1087" t="s">
        <v>275</v>
      </c>
      <c r="O110" s="1088"/>
      <c r="P110" s="1088"/>
      <c r="Q110" s="1088"/>
      <c r="R110" s="1089"/>
      <c r="S110" s="1087" t="s">
        <v>276</v>
      </c>
      <c r="T110" s="1088"/>
      <c r="U110" s="1088"/>
      <c r="V110" s="1088"/>
      <c r="W110" s="1089"/>
      <c r="X110" s="987"/>
      <c r="Z110" s="203"/>
      <c r="AA110" s="148"/>
      <c r="AB110" s="148"/>
      <c r="AC110" s="1086"/>
      <c r="AD110" s="1086"/>
      <c r="AE110" s="1086"/>
      <c r="AF110" s="148"/>
      <c r="AG110" s="148"/>
      <c r="AH110" s="1086"/>
      <c r="AI110" s="1086"/>
      <c r="AJ110" s="148"/>
      <c r="AK110" s="148"/>
      <c r="AL110" s="1087" t="s">
        <v>275</v>
      </c>
      <c r="AM110" s="1088"/>
      <c r="AN110" s="1088"/>
      <c r="AO110" s="1088"/>
      <c r="AP110" s="1089"/>
      <c r="AQ110" s="1087" t="s">
        <v>276</v>
      </c>
      <c r="AR110" s="1088"/>
      <c r="AS110" s="1088"/>
      <c r="AT110" s="1088"/>
      <c r="AU110" s="1089"/>
      <c r="AV110" s="987"/>
      <c r="AX110" s="203"/>
      <c r="AY110" s="148"/>
      <c r="AZ110" s="148"/>
      <c r="BA110" s="1086"/>
      <c r="BB110" s="1086"/>
      <c r="BC110" s="1086"/>
      <c r="BD110" s="148"/>
      <c r="BE110" s="931"/>
      <c r="BF110" s="1086"/>
      <c r="BG110" s="1086"/>
      <c r="BH110" s="148"/>
      <c r="BI110" s="148"/>
      <c r="BJ110" s="1087" t="s">
        <v>275</v>
      </c>
      <c r="BK110" s="1088"/>
      <c r="BL110" s="1088"/>
      <c r="BM110" s="1088"/>
      <c r="BN110" s="1089"/>
      <c r="BO110" s="1087" t="s">
        <v>276</v>
      </c>
      <c r="BP110" s="1088"/>
      <c r="BQ110" s="1088"/>
      <c r="BR110" s="1088"/>
      <c r="BS110" s="1089"/>
      <c r="BT110" s="987"/>
      <c r="BV110" s="203"/>
      <c r="BW110" s="148"/>
      <c r="BX110" s="148"/>
      <c r="BY110" s="1086"/>
      <c r="BZ110" s="1086"/>
      <c r="CA110" s="1086"/>
      <c r="CB110" s="148"/>
      <c r="CC110" s="931"/>
      <c r="CD110" s="1086"/>
      <c r="CE110" s="1086"/>
      <c r="CF110" s="148"/>
      <c r="CG110" s="148"/>
      <c r="CH110" s="1087" t="s">
        <v>275</v>
      </c>
      <c r="CI110" s="1088"/>
      <c r="CJ110" s="1088"/>
      <c r="CK110" s="1088"/>
      <c r="CL110" s="1089"/>
      <c r="CM110" s="1087" t="s">
        <v>276</v>
      </c>
      <c r="CN110" s="1088"/>
      <c r="CO110" s="1088"/>
      <c r="CP110" s="1088"/>
      <c r="CQ110" s="1089"/>
      <c r="CR110" s="987"/>
      <c r="CT110" s="203"/>
      <c r="CU110" s="148"/>
      <c r="CV110" s="148"/>
      <c r="CW110" s="1086"/>
      <c r="CX110" s="1086"/>
      <c r="CY110" s="1086"/>
      <c r="CZ110" s="148"/>
      <c r="DA110" s="931"/>
      <c r="DB110" s="1086"/>
      <c r="DC110" s="1086"/>
      <c r="DD110" s="148"/>
      <c r="DE110" s="148"/>
      <c r="DF110" s="1087" t="s">
        <v>275</v>
      </c>
      <c r="DG110" s="1088"/>
      <c r="DH110" s="1088"/>
      <c r="DI110" s="1088"/>
      <c r="DJ110" s="1089"/>
      <c r="DK110" s="1087" t="s">
        <v>276</v>
      </c>
      <c r="DL110" s="1088"/>
      <c r="DM110" s="1088"/>
      <c r="DN110" s="1088"/>
      <c r="DO110" s="1089"/>
    </row>
    <row r="111" spans="2:119" ht="51" x14ac:dyDescent="0.3">
      <c r="B111" s="204" t="s">
        <v>277</v>
      </c>
      <c r="C111" s="205" t="s">
        <v>303</v>
      </c>
      <c r="D111" s="205" t="s">
        <v>304</v>
      </c>
      <c r="E111" s="171" t="s">
        <v>675</v>
      </c>
      <c r="F111" s="171" t="s">
        <v>666</v>
      </c>
      <c r="G111" s="171" t="s">
        <v>676</v>
      </c>
      <c r="H111" s="205" t="s">
        <v>301</v>
      </c>
      <c r="I111" s="935" t="str">
        <f>'Energy NPV'!U37</f>
        <v>Total Recurring Costs</v>
      </c>
      <c r="J111" s="205" t="s">
        <v>305</v>
      </c>
      <c r="K111" s="171" t="s">
        <v>283</v>
      </c>
      <c r="L111" s="171" t="s">
        <v>677</v>
      </c>
      <c r="M111" s="171" t="s">
        <v>678</v>
      </c>
      <c r="N111" s="195" t="s">
        <v>286</v>
      </c>
      <c r="O111" s="171" t="s">
        <v>679</v>
      </c>
      <c r="P111" s="171" t="s">
        <v>288</v>
      </c>
      <c r="Q111" s="171" t="s">
        <v>680</v>
      </c>
      <c r="R111" s="198" t="s">
        <v>290</v>
      </c>
      <c r="S111" s="195" t="s">
        <v>291</v>
      </c>
      <c r="T111" s="171" t="s">
        <v>681</v>
      </c>
      <c r="U111" s="171" t="s">
        <v>293</v>
      </c>
      <c r="V111" s="171" t="s">
        <v>682</v>
      </c>
      <c r="W111" s="198" t="s">
        <v>295</v>
      </c>
      <c r="X111" s="171"/>
      <c r="Z111" s="204" t="s">
        <v>277</v>
      </c>
      <c r="AA111" s="205" t="s">
        <v>303</v>
      </c>
      <c r="AB111" s="205" t="s">
        <v>304</v>
      </c>
      <c r="AC111" s="171" t="s">
        <v>675</v>
      </c>
      <c r="AD111" s="171" t="s">
        <v>666</v>
      </c>
      <c r="AE111" s="171" t="s">
        <v>676</v>
      </c>
      <c r="AF111" s="205" t="s">
        <v>301</v>
      </c>
      <c r="AG111" s="205" t="str">
        <f>'Energy NPV'!U37</f>
        <v>Total Recurring Costs</v>
      </c>
      <c r="AH111" s="205" t="s">
        <v>305</v>
      </c>
      <c r="AI111" s="171" t="s">
        <v>283</v>
      </c>
      <c r="AJ111" s="171" t="s">
        <v>677</v>
      </c>
      <c r="AK111" s="171" t="s">
        <v>678</v>
      </c>
      <c r="AL111" s="195" t="s">
        <v>286</v>
      </c>
      <c r="AM111" s="171" t="s">
        <v>679</v>
      </c>
      <c r="AN111" s="171" t="s">
        <v>288</v>
      </c>
      <c r="AO111" s="171" t="s">
        <v>680</v>
      </c>
      <c r="AP111" s="198" t="s">
        <v>290</v>
      </c>
      <c r="AQ111" s="195" t="s">
        <v>291</v>
      </c>
      <c r="AR111" s="171" t="s">
        <v>681</v>
      </c>
      <c r="AS111" s="171" t="s">
        <v>293</v>
      </c>
      <c r="AT111" s="171" t="s">
        <v>682</v>
      </c>
      <c r="AU111" s="198" t="s">
        <v>295</v>
      </c>
      <c r="AV111" s="171"/>
      <c r="AX111" s="204" t="s">
        <v>277</v>
      </c>
      <c r="AY111" s="205" t="s">
        <v>303</v>
      </c>
      <c r="AZ111" s="205" t="s">
        <v>304</v>
      </c>
      <c r="BA111" s="171" t="s">
        <v>675</v>
      </c>
      <c r="BB111" s="171" t="s">
        <v>666</v>
      </c>
      <c r="BC111" s="171" t="s">
        <v>676</v>
      </c>
      <c r="BD111" s="205" t="s">
        <v>301</v>
      </c>
      <c r="BE111" s="935" t="str">
        <f>'Energy NPV'!U37</f>
        <v>Total Recurring Costs</v>
      </c>
      <c r="BF111" s="205" t="s">
        <v>305</v>
      </c>
      <c r="BG111" s="171" t="s">
        <v>283</v>
      </c>
      <c r="BH111" s="171" t="s">
        <v>677</v>
      </c>
      <c r="BI111" s="171" t="s">
        <v>678</v>
      </c>
      <c r="BJ111" s="195" t="s">
        <v>286</v>
      </c>
      <c r="BK111" s="171" t="s">
        <v>679</v>
      </c>
      <c r="BL111" s="171" t="s">
        <v>288</v>
      </c>
      <c r="BM111" s="171" t="s">
        <v>680</v>
      </c>
      <c r="BN111" s="198" t="s">
        <v>290</v>
      </c>
      <c r="BO111" s="195" t="s">
        <v>291</v>
      </c>
      <c r="BP111" s="171" t="s">
        <v>681</v>
      </c>
      <c r="BQ111" s="171" t="s">
        <v>293</v>
      </c>
      <c r="BR111" s="171" t="s">
        <v>682</v>
      </c>
      <c r="BS111" s="198" t="s">
        <v>295</v>
      </c>
      <c r="BT111" s="171"/>
      <c r="BV111" s="204" t="s">
        <v>277</v>
      </c>
      <c r="BW111" s="205" t="s">
        <v>303</v>
      </c>
      <c r="BX111" s="205" t="s">
        <v>304</v>
      </c>
      <c r="BY111" s="171" t="s">
        <v>675</v>
      </c>
      <c r="BZ111" s="171" t="s">
        <v>666</v>
      </c>
      <c r="CA111" s="171" t="s">
        <v>676</v>
      </c>
      <c r="CB111" s="205" t="s">
        <v>301</v>
      </c>
      <c r="CC111" s="935" t="str">
        <f>'Energy NPV'!U37</f>
        <v>Total Recurring Costs</v>
      </c>
      <c r="CD111" s="205" t="s">
        <v>305</v>
      </c>
      <c r="CE111" s="171" t="s">
        <v>283</v>
      </c>
      <c r="CF111" s="171" t="s">
        <v>677</v>
      </c>
      <c r="CG111" s="171" t="s">
        <v>678</v>
      </c>
      <c r="CH111" s="195" t="s">
        <v>286</v>
      </c>
      <c r="CI111" s="171" t="s">
        <v>679</v>
      </c>
      <c r="CJ111" s="171" t="s">
        <v>288</v>
      </c>
      <c r="CK111" s="171" t="s">
        <v>680</v>
      </c>
      <c r="CL111" s="198" t="s">
        <v>290</v>
      </c>
      <c r="CM111" s="195" t="s">
        <v>291</v>
      </c>
      <c r="CN111" s="171" t="s">
        <v>681</v>
      </c>
      <c r="CO111" s="171" t="s">
        <v>293</v>
      </c>
      <c r="CP111" s="171" t="s">
        <v>682</v>
      </c>
      <c r="CQ111" s="198" t="s">
        <v>295</v>
      </c>
      <c r="CR111" s="171"/>
      <c r="CT111" s="204" t="s">
        <v>277</v>
      </c>
      <c r="CU111" s="205" t="s">
        <v>303</v>
      </c>
      <c r="CV111" s="205" t="s">
        <v>304</v>
      </c>
      <c r="CW111" s="171" t="s">
        <v>675</v>
      </c>
      <c r="CX111" s="171" t="s">
        <v>666</v>
      </c>
      <c r="CY111" s="171" t="s">
        <v>676</v>
      </c>
      <c r="CZ111" s="205" t="s">
        <v>301</v>
      </c>
      <c r="DA111" s="935" t="str">
        <f>'Energy NPV'!U37</f>
        <v>Total Recurring Costs</v>
      </c>
      <c r="DB111" s="205" t="s">
        <v>305</v>
      </c>
      <c r="DC111" s="171" t="s">
        <v>283</v>
      </c>
      <c r="DD111" s="171" t="s">
        <v>677</v>
      </c>
      <c r="DE111" s="171" t="s">
        <v>678</v>
      </c>
      <c r="DF111" s="195" t="s">
        <v>286</v>
      </c>
      <c r="DG111" s="171" t="s">
        <v>679</v>
      </c>
      <c r="DH111" s="171" t="s">
        <v>288</v>
      </c>
      <c r="DI111" s="171" t="s">
        <v>680</v>
      </c>
      <c r="DJ111" s="198" t="s">
        <v>290</v>
      </c>
      <c r="DK111" s="195" t="s">
        <v>291</v>
      </c>
      <c r="DL111" s="171" t="s">
        <v>681</v>
      </c>
      <c r="DM111" s="171" t="s">
        <v>293</v>
      </c>
      <c r="DN111" s="171" t="s">
        <v>682</v>
      </c>
      <c r="DO111" s="198" t="s">
        <v>295</v>
      </c>
    </row>
    <row r="112" spans="2:119" x14ac:dyDescent="0.3">
      <c r="B112" s="173"/>
      <c r="C112" s="226" t="s">
        <v>341</v>
      </c>
      <c r="D112" s="226" t="s">
        <v>601</v>
      </c>
      <c r="E112" s="201" t="s">
        <v>599</v>
      </c>
      <c r="F112" s="201" t="s">
        <v>599</v>
      </c>
      <c r="G112" s="201" t="s">
        <v>599</v>
      </c>
      <c r="H112" s="201" t="s">
        <v>599</v>
      </c>
      <c r="I112" s="969" t="str">
        <f>'Energy NPV'!U38</f>
        <v>(€ ha-1)</v>
      </c>
      <c r="J112" s="201" t="s">
        <v>599</v>
      </c>
      <c r="K112" s="201" t="s">
        <v>599</v>
      </c>
      <c r="L112" s="201" t="s">
        <v>599</v>
      </c>
      <c r="M112" s="202" t="s">
        <v>599</v>
      </c>
      <c r="N112" s="201" t="s">
        <v>599</v>
      </c>
      <c r="O112" s="201" t="s">
        <v>599</v>
      </c>
      <c r="P112" s="201" t="s">
        <v>599</v>
      </c>
      <c r="Q112" s="201" t="s">
        <v>599</v>
      </c>
      <c r="R112" s="202" t="s">
        <v>599</v>
      </c>
      <c r="S112" s="201" t="s">
        <v>599</v>
      </c>
      <c r="T112" s="201" t="s">
        <v>599</v>
      </c>
      <c r="U112" s="201" t="s">
        <v>599</v>
      </c>
      <c r="V112" s="201" t="s">
        <v>599</v>
      </c>
      <c r="W112" s="202" t="s">
        <v>599</v>
      </c>
      <c r="X112" s="988"/>
      <c r="Z112" s="173"/>
      <c r="AA112" s="226" t="s">
        <v>341</v>
      </c>
      <c r="AB112" s="226" t="s">
        <v>601</v>
      </c>
      <c r="AC112" s="201" t="s">
        <v>599</v>
      </c>
      <c r="AD112" s="201" t="s">
        <v>599</v>
      </c>
      <c r="AE112" s="201" t="s">
        <v>599</v>
      </c>
      <c r="AF112" s="201" t="s">
        <v>599</v>
      </c>
      <c r="AG112" s="201" t="str">
        <f>'Energy NPV'!U38</f>
        <v>(€ ha-1)</v>
      </c>
      <c r="AH112" s="201" t="s">
        <v>599</v>
      </c>
      <c r="AI112" s="201" t="s">
        <v>599</v>
      </c>
      <c r="AJ112" s="201" t="s">
        <v>599</v>
      </c>
      <c r="AK112" s="202" t="s">
        <v>599</v>
      </c>
      <c r="AL112" s="201" t="s">
        <v>599</v>
      </c>
      <c r="AM112" s="201" t="s">
        <v>599</v>
      </c>
      <c r="AN112" s="201" t="s">
        <v>599</v>
      </c>
      <c r="AO112" s="201" t="s">
        <v>599</v>
      </c>
      <c r="AP112" s="202" t="s">
        <v>599</v>
      </c>
      <c r="AQ112" s="201" t="s">
        <v>599</v>
      </c>
      <c r="AR112" s="201" t="s">
        <v>599</v>
      </c>
      <c r="AS112" s="201" t="s">
        <v>599</v>
      </c>
      <c r="AT112" s="201" t="s">
        <v>599</v>
      </c>
      <c r="AU112" s="202" t="s">
        <v>599</v>
      </c>
      <c r="AV112" s="988"/>
      <c r="AX112" s="173"/>
      <c r="AY112" s="226" t="s">
        <v>341</v>
      </c>
      <c r="AZ112" s="226" t="s">
        <v>601</v>
      </c>
      <c r="BA112" s="201" t="s">
        <v>599</v>
      </c>
      <c r="BB112" s="201" t="s">
        <v>599</v>
      </c>
      <c r="BC112" s="201" t="s">
        <v>599</v>
      </c>
      <c r="BD112" s="201" t="s">
        <v>599</v>
      </c>
      <c r="BE112" s="969" t="str">
        <f>'Energy NPV'!U38</f>
        <v>(€ ha-1)</v>
      </c>
      <c r="BF112" s="201" t="s">
        <v>599</v>
      </c>
      <c r="BG112" s="201" t="s">
        <v>599</v>
      </c>
      <c r="BH112" s="201" t="s">
        <v>599</v>
      </c>
      <c r="BI112" s="202" t="s">
        <v>599</v>
      </c>
      <c r="BJ112" s="201" t="s">
        <v>599</v>
      </c>
      <c r="BK112" s="201" t="s">
        <v>599</v>
      </c>
      <c r="BL112" s="201" t="s">
        <v>599</v>
      </c>
      <c r="BM112" s="201" t="s">
        <v>599</v>
      </c>
      <c r="BN112" s="202" t="s">
        <v>599</v>
      </c>
      <c r="BO112" s="201" t="s">
        <v>599</v>
      </c>
      <c r="BP112" s="201" t="s">
        <v>599</v>
      </c>
      <c r="BQ112" s="201" t="s">
        <v>599</v>
      </c>
      <c r="BR112" s="201" t="s">
        <v>599</v>
      </c>
      <c r="BS112" s="202" t="s">
        <v>599</v>
      </c>
      <c r="BT112" s="988"/>
      <c r="BV112" s="173"/>
      <c r="BW112" s="226" t="s">
        <v>341</v>
      </c>
      <c r="BX112" s="226" t="s">
        <v>601</v>
      </c>
      <c r="BY112" s="201" t="s">
        <v>599</v>
      </c>
      <c r="BZ112" s="201" t="s">
        <v>599</v>
      </c>
      <c r="CA112" s="201" t="s">
        <v>599</v>
      </c>
      <c r="CB112" s="201" t="s">
        <v>599</v>
      </c>
      <c r="CC112" s="969" t="str">
        <f>'Energy NPV'!U38</f>
        <v>(€ ha-1)</v>
      </c>
      <c r="CD112" s="201" t="s">
        <v>599</v>
      </c>
      <c r="CE112" s="201" t="s">
        <v>599</v>
      </c>
      <c r="CF112" s="201" t="s">
        <v>599</v>
      </c>
      <c r="CG112" s="202" t="s">
        <v>599</v>
      </c>
      <c r="CH112" s="201" t="s">
        <v>599</v>
      </c>
      <c r="CI112" s="201" t="s">
        <v>599</v>
      </c>
      <c r="CJ112" s="201" t="s">
        <v>599</v>
      </c>
      <c r="CK112" s="201" t="s">
        <v>599</v>
      </c>
      <c r="CL112" s="202" t="s">
        <v>599</v>
      </c>
      <c r="CM112" s="201" t="s">
        <v>599</v>
      </c>
      <c r="CN112" s="201" t="s">
        <v>599</v>
      </c>
      <c r="CO112" s="201" t="s">
        <v>599</v>
      </c>
      <c r="CP112" s="201" t="s">
        <v>599</v>
      </c>
      <c r="CQ112" s="202" t="s">
        <v>599</v>
      </c>
      <c r="CR112" s="988"/>
      <c r="CT112" s="173"/>
      <c r="CU112" s="226" t="s">
        <v>341</v>
      </c>
      <c r="CV112" s="226" t="s">
        <v>601</v>
      </c>
      <c r="CW112" s="201" t="s">
        <v>599</v>
      </c>
      <c r="CX112" s="201" t="s">
        <v>599</v>
      </c>
      <c r="CY112" s="201" t="s">
        <v>599</v>
      </c>
      <c r="CZ112" s="201" t="s">
        <v>599</v>
      </c>
      <c r="DA112" s="969" t="str">
        <f>'Energy NPV'!U38</f>
        <v>(€ ha-1)</v>
      </c>
      <c r="DB112" s="201" t="s">
        <v>599</v>
      </c>
      <c r="DC112" s="201" t="s">
        <v>599</v>
      </c>
      <c r="DD112" s="201" t="s">
        <v>599</v>
      </c>
      <c r="DE112" s="202" t="s">
        <v>599</v>
      </c>
      <c r="DF112" s="201" t="s">
        <v>599</v>
      </c>
      <c r="DG112" s="201" t="s">
        <v>599</v>
      </c>
      <c r="DH112" s="201" t="s">
        <v>599</v>
      </c>
      <c r="DI112" s="201" t="s">
        <v>599</v>
      </c>
      <c r="DJ112" s="202" t="s">
        <v>599</v>
      </c>
      <c r="DK112" s="201" t="s">
        <v>599</v>
      </c>
      <c r="DL112" s="201" t="s">
        <v>599</v>
      </c>
      <c r="DM112" s="201" t="s">
        <v>599</v>
      </c>
      <c r="DN112" s="201" t="s">
        <v>599</v>
      </c>
      <c r="DO112" s="202" t="s">
        <v>599</v>
      </c>
    </row>
    <row r="113" spans="2:119" x14ac:dyDescent="0.3">
      <c r="B113" s="899">
        <v>1</v>
      </c>
      <c r="C113" s="760">
        <f>'Energy NPV'!$D39</f>
        <v>0.6</v>
      </c>
      <c r="D113" s="197">
        <f>'Energy Inputs'!$E$58*$E$109</f>
        <v>72</v>
      </c>
      <c r="E113" s="197">
        <f>C113*D113</f>
        <v>43.199999999999996</v>
      </c>
      <c r="F113" s="197">
        <f>'Margins summary'!$S$14</f>
        <v>175.95</v>
      </c>
      <c r="G113" s="197">
        <f>E113+F113</f>
        <v>219.14999999999998</v>
      </c>
      <c r="H113" s="197">
        <f>'Margins summary'!$R$20</f>
        <v>2224.610784</v>
      </c>
      <c r="I113" s="918">
        <f>'Energy NPV'!U39</f>
        <v>0</v>
      </c>
      <c r="J113" s="197"/>
      <c r="K113" s="197">
        <f>H113+I113+J113</f>
        <v>2224.610784</v>
      </c>
      <c r="L113" s="197">
        <f t="shared" ref="L113:L128" si="303">E113-K113</f>
        <v>-2181.4107840000001</v>
      </c>
      <c r="M113" s="197">
        <f t="shared" ref="M113:M128" si="304">G113-K113</f>
        <v>-2005.4607839999999</v>
      </c>
      <c r="N113" s="1018">
        <f>E113/((1+$B$4)^(B113-1))</f>
        <v>43.199999999999996</v>
      </c>
      <c r="O113" s="213">
        <f>F113/((1+$B$4)^(B113-1))</f>
        <v>175.95</v>
      </c>
      <c r="P113" s="213">
        <f>K113/((1+$B$4)^(B113-1))</f>
        <v>2224.610784</v>
      </c>
      <c r="Q113" s="213">
        <f>L113/((1+$B$4)^(B113-1))</f>
        <v>-2181.4107840000001</v>
      </c>
      <c r="R113" s="929">
        <f>M113/((1+$B$4)^(B113-1))</f>
        <v>-2005.4607839999999</v>
      </c>
      <c r="S113" s="196">
        <f>N113</f>
        <v>43.199999999999996</v>
      </c>
      <c r="T113" s="197">
        <f>O113</f>
        <v>175.95</v>
      </c>
      <c r="U113" s="197">
        <f>P113</f>
        <v>2224.610784</v>
      </c>
      <c r="V113" s="197">
        <f>Q113</f>
        <v>-2181.4107840000001</v>
      </c>
      <c r="W113" s="199">
        <f>R113</f>
        <v>-2005.4607839999999</v>
      </c>
      <c r="X113" s="197"/>
      <c r="Z113" s="899">
        <v>1</v>
      </c>
      <c r="AA113" s="760">
        <f>$C113</f>
        <v>0.6</v>
      </c>
      <c r="AB113" s="197">
        <f>'Energy Inputs'!$E$58*$AB$109</f>
        <v>108</v>
      </c>
      <c r="AC113" s="197">
        <f>AA113*AB113</f>
        <v>64.8</v>
      </c>
      <c r="AD113" s="197">
        <f>'Margins summary'!$S$14</f>
        <v>175.95</v>
      </c>
      <c r="AE113" s="197">
        <f>AC113+AD113</f>
        <v>240.75</v>
      </c>
      <c r="AF113" s="197">
        <f>'Margins summary'!$R$20</f>
        <v>2224.610784</v>
      </c>
      <c r="AG113" s="197">
        <f>'Energy NPV'!U39</f>
        <v>0</v>
      </c>
      <c r="AH113" s="197"/>
      <c r="AI113" s="197">
        <f>AF113+AG113+AH113</f>
        <v>2224.610784</v>
      </c>
      <c r="AJ113" s="197">
        <f t="shared" ref="AJ113:AJ128" si="305">AC113-AI113</f>
        <v>-2159.8107839999998</v>
      </c>
      <c r="AK113" s="197">
        <f t="shared" ref="AK113:AK128" si="306">AE113-AI113</f>
        <v>-1983.860784</v>
      </c>
      <c r="AL113" s="1018">
        <f>AC113/((1+$B$4)^(Z113-1))</f>
        <v>64.8</v>
      </c>
      <c r="AM113" s="213">
        <f>AD113/((1+$B$4)^(Z113-1))</f>
        <v>175.95</v>
      </c>
      <c r="AN113" s="213">
        <f>AI113/((1+$B$4)^(Z113-1))</f>
        <v>2224.610784</v>
      </c>
      <c r="AO113" s="213">
        <f>AJ113/((1+$B$4)^(Z113-1))</f>
        <v>-2159.8107839999998</v>
      </c>
      <c r="AP113" s="929">
        <f>AK113/((1+$B$4)^(Z113-1))</f>
        <v>-1983.860784</v>
      </c>
      <c r="AQ113" s="196">
        <f>AL113</f>
        <v>64.8</v>
      </c>
      <c r="AR113" s="197">
        <f>AM113</f>
        <v>175.95</v>
      </c>
      <c r="AS113" s="197">
        <f>AN113</f>
        <v>2224.610784</v>
      </c>
      <c r="AT113" s="197">
        <f>AO113</f>
        <v>-2159.8107839999998</v>
      </c>
      <c r="AU113" s="199">
        <f>AP113</f>
        <v>-1983.860784</v>
      </c>
      <c r="AV113" s="197"/>
      <c r="AX113" s="899">
        <v>1</v>
      </c>
      <c r="AY113" s="760">
        <f>$C113</f>
        <v>0.6</v>
      </c>
      <c r="AZ113" s="197">
        <f>'Energy Inputs'!$E$58*$AZ$109</f>
        <v>36</v>
      </c>
      <c r="BA113" s="197">
        <f>AY113*AZ113</f>
        <v>21.599999999999998</v>
      </c>
      <c r="BB113" s="197">
        <f>'Margins summary'!$S$14</f>
        <v>175.95</v>
      </c>
      <c r="BC113" s="197">
        <f>BA113+BB113</f>
        <v>197.54999999999998</v>
      </c>
      <c r="BD113" s="197">
        <f>'Margins summary'!$R$20</f>
        <v>2224.610784</v>
      </c>
      <c r="BE113" s="918">
        <f>'Energy NPV'!U39</f>
        <v>0</v>
      </c>
      <c r="BF113" s="197"/>
      <c r="BG113" s="197">
        <f>BD113+BE113+BF113</f>
        <v>2224.610784</v>
      </c>
      <c r="BH113" s="197">
        <f t="shared" ref="BH113:BH128" si="307">BA113-BG113</f>
        <v>-2203.0107840000001</v>
      </c>
      <c r="BI113" s="197">
        <f t="shared" ref="BI113:BI128" si="308">BC113-BG113</f>
        <v>-2027.060784</v>
      </c>
      <c r="BJ113" s="1018">
        <f>BA113/((1+$B$4)^(AX113-1))</f>
        <v>21.599999999999998</v>
      </c>
      <c r="BK113" s="213">
        <f>BB113/((1+$B$4)^(AX113-1))</f>
        <v>175.95</v>
      </c>
      <c r="BL113" s="213">
        <f>BG113/((1+$B$4)^(AX113-1))</f>
        <v>2224.610784</v>
      </c>
      <c r="BM113" s="213">
        <f>BH113/((1+$B$4)^(AX113-1))</f>
        <v>-2203.0107840000001</v>
      </c>
      <c r="BN113" s="929">
        <f>BI113/((1+$B$4)^(AX113-1))</f>
        <v>-2027.060784</v>
      </c>
      <c r="BO113" s="196">
        <f>BJ113</f>
        <v>21.599999999999998</v>
      </c>
      <c r="BP113" s="197">
        <f>BK113</f>
        <v>175.95</v>
      </c>
      <c r="BQ113" s="197">
        <f>BL113</f>
        <v>2224.610784</v>
      </c>
      <c r="BR113" s="197">
        <f>BM113</f>
        <v>-2203.0107840000001</v>
      </c>
      <c r="BS113" s="199">
        <f>BN113</f>
        <v>-2027.060784</v>
      </c>
      <c r="BT113" s="197"/>
      <c r="BV113" s="899">
        <v>1</v>
      </c>
      <c r="BW113" s="760">
        <f>$C113</f>
        <v>0.6</v>
      </c>
      <c r="BX113" s="197">
        <f>'Energy Inputs'!$E$58*$BX$109</f>
        <v>144</v>
      </c>
      <c r="BY113" s="197">
        <f>BW113*BX113</f>
        <v>86.399999999999991</v>
      </c>
      <c r="BZ113" s="197">
        <f>'Margins summary'!$S$14</f>
        <v>175.95</v>
      </c>
      <c r="CA113" s="197">
        <f>BY113+BZ113</f>
        <v>262.34999999999997</v>
      </c>
      <c r="CB113" s="197">
        <f>'Margins summary'!$R$20</f>
        <v>2224.610784</v>
      </c>
      <c r="CC113" s="918">
        <f>'Energy NPV'!U39</f>
        <v>0</v>
      </c>
      <c r="CD113" s="197"/>
      <c r="CE113" s="197">
        <f>CB113+CC113+CD113</f>
        <v>2224.610784</v>
      </c>
      <c r="CF113" s="197">
        <f t="shared" ref="CF113:CF128" si="309">BY113-CE113</f>
        <v>-2138.2107839999999</v>
      </c>
      <c r="CG113" s="197">
        <f t="shared" ref="CG113:CG128" si="310">CA113-CE113</f>
        <v>-1962.2607840000001</v>
      </c>
      <c r="CH113" s="1018">
        <f>BY113/((1+$B$4)^(BV113-1))</f>
        <v>86.399999999999991</v>
      </c>
      <c r="CI113" s="213">
        <f>BZ113/((1+$B$4)^(BV113-1))</f>
        <v>175.95</v>
      </c>
      <c r="CJ113" s="213">
        <f>CE113/((1+$B$4)^(BV113-1))</f>
        <v>2224.610784</v>
      </c>
      <c r="CK113" s="213">
        <f>CF113/((1+$B$4)^(BV113-1))</f>
        <v>-2138.2107839999999</v>
      </c>
      <c r="CL113" s="929">
        <f>CG113/((1+$B$4)^(BV113-1))</f>
        <v>-1962.2607840000001</v>
      </c>
      <c r="CM113" s="196">
        <f>CH113</f>
        <v>86.399999999999991</v>
      </c>
      <c r="CN113" s="197">
        <f>CI113</f>
        <v>175.95</v>
      </c>
      <c r="CO113" s="197">
        <f>CJ113</f>
        <v>2224.610784</v>
      </c>
      <c r="CP113" s="197">
        <f>CK113</f>
        <v>-2138.2107839999999</v>
      </c>
      <c r="CQ113" s="199">
        <f>CL113</f>
        <v>-1962.2607840000001</v>
      </c>
      <c r="CR113" s="197"/>
      <c r="CT113" s="204">
        <v>1</v>
      </c>
      <c r="CU113" s="760">
        <f>$C113</f>
        <v>0.6</v>
      </c>
      <c r="CV113" s="213">
        <f>'Energy Inputs'!$E$58*$CV$109</f>
        <v>0</v>
      </c>
      <c r="CW113" s="197">
        <f>CU113*CV113</f>
        <v>0</v>
      </c>
      <c r="CX113" s="197">
        <f>'Margins summary'!$S$14</f>
        <v>175.95</v>
      </c>
      <c r="CY113" s="197">
        <f>CW113+CX113</f>
        <v>175.95</v>
      </c>
      <c r="CZ113" s="197">
        <f>'Margins summary'!$R$20</f>
        <v>2224.610784</v>
      </c>
      <c r="DA113" s="918">
        <f>'Energy NPV'!U39</f>
        <v>0</v>
      </c>
      <c r="DB113" s="197"/>
      <c r="DC113" s="197">
        <f>CZ113+DA113+DB113</f>
        <v>2224.610784</v>
      </c>
      <c r="DD113" s="197">
        <f t="shared" ref="DD113:DD128" si="311">CW113-DC113</f>
        <v>-2224.610784</v>
      </c>
      <c r="DE113" s="197">
        <f t="shared" ref="DE113:DE128" si="312">CY113-DC113</f>
        <v>-2048.6607840000001</v>
      </c>
      <c r="DF113" s="1018">
        <f>CW113/((1+$B$4)^(CT113-1))</f>
        <v>0</v>
      </c>
      <c r="DG113" s="213">
        <f>CX113/((1+$B$4)^(CT113-1))</f>
        <v>175.95</v>
      </c>
      <c r="DH113" s="213">
        <f>DC113/((1+$B$4)^(CT113-1))</f>
        <v>2224.610784</v>
      </c>
      <c r="DI113" s="213">
        <f>DD113/((1+$B$4)^(CT113-1))</f>
        <v>-2224.610784</v>
      </c>
      <c r="DJ113" s="929">
        <f>DE113/((1+$B$4)^(CT113-1))</f>
        <v>-2048.6607840000001</v>
      </c>
      <c r="DK113" s="196">
        <f>DF113</f>
        <v>0</v>
      </c>
      <c r="DL113" s="197">
        <f>DG113</f>
        <v>175.95</v>
      </c>
      <c r="DM113" s="197">
        <f>DH113</f>
        <v>2224.610784</v>
      </c>
      <c r="DN113" s="197">
        <f>DI113</f>
        <v>-2224.610784</v>
      </c>
      <c r="DO113" s="199">
        <f>DJ113</f>
        <v>-2048.6607840000001</v>
      </c>
    </row>
    <row r="114" spans="2:119" x14ac:dyDescent="0.3">
      <c r="B114" s="900">
        <v>2</v>
      </c>
      <c r="C114" s="760">
        <f>'Energy NPV'!$D40</f>
        <v>3.9250000000000007</v>
      </c>
      <c r="D114" s="197">
        <f>'Energy Inputs'!$E$58*$E$109</f>
        <v>72</v>
      </c>
      <c r="E114" s="197">
        <f>C114*D114</f>
        <v>282.60000000000002</v>
      </c>
      <c r="F114" s="197">
        <f>'Margins summary'!$S$14</f>
        <v>175.95</v>
      </c>
      <c r="G114" s="197">
        <f t="shared" ref="G114:G128" si="313">E114+F114</f>
        <v>458.55</v>
      </c>
      <c r="H114" s="197"/>
      <c r="I114" s="918">
        <f>'Energy NPV'!U40</f>
        <v>506.67238399999997</v>
      </c>
      <c r="J114" s="197"/>
      <c r="K114" s="197">
        <f t="shared" ref="K114:K128" si="314">H114+I114+J114</f>
        <v>506.67238399999997</v>
      </c>
      <c r="L114" s="197">
        <f t="shared" si="303"/>
        <v>-224.07238399999994</v>
      </c>
      <c r="M114" s="197">
        <f t="shared" si="304"/>
        <v>-48.122383999999954</v>
      </c>
      <c r="N114" s="196">
        <f t="shared" ref="N114:N127" si="315">E114/((1+$B$4)^(B114-1))</f>
        <v>271.73076923076923</v>
      </c>
      <c r="O114" s="197">
        <f t="shared" ref="O114:O127" si="316">F114/((1+$B$4)^(B114-1))</f>
        <v>169.18269230769229</v>
      </c>
      <c r="P114" s="197">
        <f t="shared" ref="P114:P127" si="317">K114/((1+$B$4)^(B114-1))</f>
        <v>487.18498461538456</v>
      </c>
      <c r="Q114" s="197">
        <f t="shared" ref="Q114:Q127" si="318">L114/((1+$B$4)^(B114-1))</f>
        <v>-215.45421538461531</v>
      </c>
      <c r="R114" s="199">
        <f t="shared" ref="R114:R127" si="319">M114/((1+$B$4)^(B114-1))</f>
        <v>-46.271523076923032</v>
      </c>
      <c r="S114" s="196">
        <f>S113+N114</f>
        <v>314.93076923076922</v>
      </c>
      <c r="T114" s="197">
        <f t="shared" ref="T114:W128" si="320">T113+O114</f>
        <v>345.13269230769231</v>
      </c>
      <c r="U114" s="197">
        <f t="shared" si="320"/>
        <v>2711.7957686153845</v>
      </c>
      <c r="V114" s="197">
        <f t="shared" si="320"/>
        <v>-2396.8649993846157</v>
      </c>
      <c r="W114" s="199">
        <f t="shared" si="320"/>
        <v>-2051.732307076923</v>
      </c>
      <c r="X114" s="197"/>
      <c r="Z114" s="900">
        <v>2</v>
      </c>
      <c r="AA114" s="760">
        <f t="shared" ref="AA114:AA128" si="321">$C114</f>
        <v>3.9250000000000007</v>
      </c>
      <c r="AB114" s="197">
        <f>'Energy Inputs'!$E$58*$AB$109</f>
        <v>108</v>
      </c>
      <c r="AC114" s="197">
        <f>AA114*AB114</f>
        <v>423.90000000000009</v>
      </c>
      <c r="AD114" s="197">
        <f>'Margins summary'!$S$14</f>
        <v>175.95</v>
      </c>
      <c r="AE114" s="197">
        <f t="shared" ref="AE114:AE128" si="322">AC114+AD114</f>
        <v>599.85000000000014</v>
      </c>
      <c r="AF114" s="197"/>
      <c r="AG114" s="197">
        <f>'Energy NPV'!U40</f>
        <v>506.67238399999997</v>
      </c>
      <c r="AH114" s="197"/>
      <c r="AI114" s="197">
        <f t="shared" ref="AI114:AI128" si="323">AF114+AG114+AH114</f>
        <v>506.67238399999997</v>
      </c>
      <c r="AJ114" s="197">
        <f t="shared" si="305"/>
        <v>-82.772383999999875</v>
      </c>
      <c r="AK114" s="197">
        <f t="shared" si="306"/>
        <v>93.177616000000171</v>
      </c>
      <c r="AL114" s="196">
        <f t="shared" ref="AL114:AL127" si="324">AC114/((1+$B$4)^(Z114-1))</f>
        <v>407.59615384615392</v>
      </c>
      <c r="AM114" s="197">
        <f t="shared" ref="AM114:AM127" si="325">AD114/((1+$B$4)^(Z114-1))</f>
        <v>169.18269230769229</v>
      </c>
      <c r="AN114" s="197">
        <f t="shared" ref="AN114:AN127" si="326">AI114/((1+$B$4)^(Z114-1))</f>
        <v>487.18498461538456</v>
      </c>
      <c r="AO114" s="197">
        <f t="shared" ref="AO114:AO127" si="327">AJ114/((1+$B$4)^(Z114-1))</f>
        <v>-79.58883076923064</v>
      </c>
      <c r="AP114" s="199">
        <f t="shared" ref="AP114:AP127" si="328">AK114/((1+$B$4)^(Z114-1))</f>
        <v>89.593861538461695</v>
      </c>
      <c r="AQ114" s="196">
        <f>AQ113+AL114</f>
        <v>472.39615384615394</v>
      </c>
      <c r="AR114" s="197">
        <f t="shared" ref="AR114:AU128" si="329">AR113+AM114</f>
        <v>345.13269230769231</v>
      </c>
      <c r="AS114" s="197">
        <f t="shared" si="329"/>
        <v>2711.7957686153845</v>
      </c>
      <c r="AT114" s="197">
        <f t="shared" si="329"/>
        <v>-2239.3996147692305</v>
      </c>
      <c r="AU114" s="199">
        <f t="shared" si="329"/>
        <v>-1894.2669224615383</v>
      </c>
      <c r="AV114" s="197"/>
      <c r="AX114" s="900">
        <v>2</v>
      </c>
      <c r="AY114" s="760">
        <f t="shared" ref="AY114:AY128" si="330">$C114</f>
        <v>3.9250000000000007</v>
      </c>
      <c r="AZ114" s="197">
        <f>'Energy Inputs'!$E$58*$AZ$109</f>
        <v>36</v>
      </c>
      <c r="BA114" s="197">
        <f>AY114*AZ114</f>
        <v>141.30000000000001</v>
      </c>
      <c r="BB114" s="197">
        <f>'Margins summary'!$S$14</f>
        <v>175.95</v>
      </c>
      <c r="BC114" s="197">
        <f t="shared" ref="BC114:BC128" si="331">BA114+BB114</f>
        <v>317.25</v>
      </c>
      <c r="BD114" s="197"/>
      <c r="BE114" s="918">
        <f>'Energy NPV'!U40</f>
        <v>506.67238399999997</v>
      </c>
      <c r="BF114" s="197"/>
      <c r="BG114" s="197">
        <f t="shared" ref="BG114:BG128" si="332">BD114+BE114+BF114</f>
        <v>506.67238399999997</v>
      </c>
      <c r="BH114" s="197">
        <f t="shared" si="307"/>
        <v>-365.37238399999995</v>
      </c>
      <c r="BI114" s="197">
        <f t="shared" si="308"/>
        <v>-189.42238399999997</v>
      </c>
      <c r="BJ114" s="196">
        <f t="shared" ref="BJ114:BJ127" si="333">BA114/((1+$B$4)^(AX114-1))</f>
        <v>135.86538461538461</v>
      </c>
      <c r="BK114" s="197">
        <f t="shared" ref="BK114:BK127" si="334">BB114/((1+$B$4)^(AX114-1))</f>
        <v>169.18269230769229</v>
      </c>
      <c r="BL114" s="197">
        <f t="shared" ref="BL114:BL127" si="335">BG114/((1+$B$4)^(AX114-1))</f>
        <v>487.18498461538456</v>
      </c>
      <c r="BM114" s="197">
        <f t="shared" ref="BM114:BM127" si="336">BH114/((1+$B$4)^(AX114-1))</f>
        <v>-351.31959999999992</v>
      </c>
      <c r="BN114" s="199">
        <f t="shared" ref="BN114:BN127" si="337">BI114/((1+$B$4)^(AX114-1))</f>
        <v>-182.13690769230766</v>
      </c>
      <c r="BO114" s="196">
        <f>BO113+BJ114</f>
        <v>157.46538461538461</v>
      </c>
      <c r="BP114" s="197">
        <f t="shared" ref="BP114:BS128" si="338">BP113+BK114</f>
        <v>345.13269230769231</v>
      </c>
      <c r="BQ114" s="197">
        <f t="shared" si="338"/>
        <v>2711.7957686153845</v>
      </c>
      <c r="BR114" s="197">
        <f t="shared" si="338"/>
        <v>-2554.3303839999999</v>
      </c>
      <c r="BS114" s="199">
        <f t="shared" si="338"/>
        <v>-2209.1976916923077</v>
      </c>
      <c r="BT114" s="197"/>
      <c r="BV114" s="900">
        <v>2</v>
      </c>
      <c r="BW114" s="760">
        <f t="shared" ref="BW114:BW128" si="339">$C114</f>
        <v>3.9250000000000007</v>
      </c>
      <c r="BX114" s="197">
        <f>'Energy Inputs'!$E$58*$BX$109</f>
        <v>144</v>
      </c>
      <c r="BY114" s="197">
        <f>BW114*BX114</f>
        <v>565.20000000000005</v>
      </c>
      <c r="BZ114" s="197">
        <f>'Margins summary'!$S$14</f>
        <v>175.95</v>
      </c>
      <c r="CA114" s="197">
        <f t="shared" ref="CA114:CA128" si="340">BY114+BZ114</f>
        <v>741.15000000000009</v>
      </c>
      <c r="CB114" s="197"/>
      <c r="CC114" s="918">
        <f>'Energy NPV'!U40</f>
        <v>506.67238399999997</v>
      </c>
      <c r="CD114" s="197"/>
      <c r="CE114" s="197">
        <f t="shared" ref="CE114:CE128" si="341">CB114+CC114+CD114</f>
        <v>506.67238399999997</v>
      </c>
      <c r="CF114" s="197">
        <f t="shared" si="309"/>
        <v>58.52761600000008</v>
      </c>
      <c r="CG114" s="197">
        <f t="shared" si="310"/>
        <v>234.47761600000013</v>
      </c>
      <c r="CH114" s="196">
        <f t="shared" ref="CH114:CH127" si="342">BY114/((1+$B$4)^(BV114-1))</f>
        <v>543.46153846153845</v>
      </c>
      <c r="CI114" s="197">
        <f t="shared" ref="CI114:CI127" si="343">BZ114/((1+$B$4)^(BV114-1))</f>
        <v>169.18269230769229</v>
      </c>
      <c r="CJ114" s="197">
        <f t="shared" ref="CJ114:CJ127" si="344">CE114/((1+$B$4)^(BV114-1))</f>
        <v>487.18498461538456</v>
      </c>
      <c r="CK114" s="197">
        <f t="shared" ref="CK114:CK127" si="345">CF114/((1+$B$4)^(BV114-1))</f>
        <v>56.276553846153924</v>
      </c>
      <c r="CL114" s="199">
        <f t="shared" ref="CL114:CL127" si="346">CG114/((1+$B$4)^(BV114-1))</f>
        <v>225.45924615384627</v>
      </c>
      <c r="CM114" s="196">
        <f>CM113+CH114</f>
        <v>629.86153846153843</v>
      </c>
      <c r="CN114" s="197">
        <f t="shared" ref="CN114:CQ128" si="347">CN113+CI114</f>
        <v>345.13269230769231</v>
      </c>
      <c r="CO114" s="197">
        <f t="shared" si="347"/>
        <v>2711.7957686153845</v>
      </c>
      <c r="CP114" s="197">
        <f t="shared" si="347"/>
        <v>-2081.9342301538459</v>
      </c>
      <c r="CQ114" s="199">
        <f t="shared" si="347"/>
        <v>-1736.8015378461537</v>
      </c>
      <c r="CR114" s="197"/>
      <c r="CT114" s="204">
        <v>2</v>
      </c>
      <c r="CU114" s="760">
        <f t="shared" ref="CU114:CU128" si="348">$C114</f>
        <v>3.9250000000000007</v>
      </c>
      <c r="CV114" s="197">
        <f>'Energy Inputs'!$E$58*$CV$109</f>
        <v>0</v>
      </c>
      <c r="CW114" s="197">
        <f>CU114*CV114</f>
        <v>0</v>
      </c>
      <c r="CX114" s="197">
        <f>'Margins summary'!$S$14</f>
        <v>175.95</v>
      </c>
      <c r="CY114" s="197">
        <f t="shared" ref="CY114:CY128" si="349">CW114+CX114</f>
        <v>175.95</v>
      </c>
      <c r="CZ114" s="197"/>
      <c r="DA114" s="918">
        <f>'Energy NPV'!U40</f>
        <v>506.67238399999997</v>
      </c>
      <c r="DB114" s="197"/>
      <c r="DC114" s="197">
        <f t="shared" ref="DC114:DC128" si="350">CZ114+DA114+DB114</f>
        <v>506.67238399999997</v>
      </c>
      <c r="DD114" s="197">
        <f t="shared" si="311"/>
        <v>-506.67238399999997</v>
      </c>
      <c r="DE114" s="197">
        <f t="shared" si="312"/>
        <v>-330.72238399999998</v>
      </c>
      <c r="DF114" s="196">
        <f t="shared" ref="DF114:DF127" si="351">CW114/((1+$B$4)^(CT114-1))</f>
        <v>0</v>
      </c>
      <c r="DG114" s="197">
        <f t="shared" ref="DG114:DG127" si="352">CX114/((1+$B$4)^(CT114-1))</f>
        <v>169.18269230769229</v>
      </c>
      <c r="DH114" s="197">
        <f t="shared" ref="DH114:DH127" si="353">DC114/((1+$B$4)^(CT114-1))</f>
        <v>487.18498461538456</v>
      </c>
      <c r="DI114" s="197">
        <f t="shared" ref="DI114:DI127" si="354">DD114/((1+$B$4)^(CT114-1))</f>
        <v>-487.18498461538456</v>
      </c>
      <c r="DJ114" s="199">
        <f t="shared" ref="DJ114:DJ127" si="355">DE114/((1+$B$4)^(CT114-1))</f>
        <v>-318.0022923076923</v>
      </c>
      <c r="DK114" s="196">
        <f>DK113+DF114</f>
        <v>0</v>
      </c>
      <c r="DL114" s="197">
        <f t="shared" ref="DL114:DO128" si="356">DL113+DG114</f>
        <v>345.13269230769231</v>
      </c>
      <c r="DM114" s="197">
        <f t="shared" si="356"/>
        <v>2711.7957686153845</v>
      </c>
      <c r="DN114" s="197">
        <f t="shared" si="356"/>
        <v>-2711.7957686153845</v>
      </c>
      <c r="DO114" s="199">
        <f t="shared" si="356"/>
        <v>-2366.6630763076923</v>
      </c>
    </row>
    <row r="115" spans="2:119" x14ac:dyDescent="0.3">
      <c r="B115" s="900">
        <v>3</v>
      </c>
      <c r="C115" s="760">
        <f>'Energy NPV'!$D41</f>
        <v>11.099999999999998</v>
      </c>
      <c r="D115" s="197">
        <f>'Energy Inputs'!$E$58*$E$109</f>
        <v>72</v>
      </c>
      <c r="E115" s="197">
        <f t="shared" ref="E115:E128" si="357">C115*D115</f>
        <v>799.19999999999982</v>
      </c>
      <c r="F115" s="197">
        <f>'Margins summary'!$S$14</f>
        <v>175.95</v>
      </c>
      <c r="G115" s="197">
        <f t="shared" si="313"/>
        <v>975.14999999999986</v>
      </c>
      <c r="H115" s="197"/>
      <c r="I115" s="918">
        <f>'Energy NPV'!U41</f>
        <v>506.67238399999997</v>
      </c>
      <c r="J115" s="197"/>
      <c r="K115" s="197">
        <f t="shared" si="314"/>
        <v>506.67238399999997</v>
      </c>
      <c r="L115" s="197">
        <f t="shared" si="303"/>
        <v>292.52761599999985</v>
      </c>
      <c r="M115" s="197">
        <f t="shared" si="304"/>
        <v>468.4776159999999</v>
      </c>
      <c r="N115" s="196">
        <f t="shared" si="315"/>
        <v>738.90532544378675</v>
      </c>
      <c r="O115" s="197">
        <f t="shared" si="316"/>
        <v>162.67566568047334</v>
      </c>
      <c r="P115" s="197">
        <f t="shared" si="317"/>
        <v>468.44710059171587</v>
      </c>
      <c r="Q115" s="197">
        <f t="shared" si="318"/>
        <v>270.45822485207083</v>
      </c>
      <c r="R115" s="199">
        <f t="shared" si="319"/>
        <v>433.13389053254423</v>
      </c>
      <c r="S115" s="196">
        <f t="shared" ref="S115:S128" si="358">S114+N115</f>
        <v>1053.8360946745561</v>
      </c>
      <c r="T115" s="197">
        <f t="shared" si="320"/>
        <v>507.80835798816565</v>
      </c>
      <c r="U115" s="197">
        <f t="shared" si="320"/>
        <v>3180.2428692071003</v>
      </c>
      <c r="V115" s="197">
        <f t="shared" si="320"/>
        <v>-2126.4067745325447</v>
      </c>
      <c r="W115" s="199">
        <f t="shared" si="320"/>
        <v>-1618.5984165443788</v>
      </c>
      <c r="X115" s="197"/>
      <c r="Z115" s="900">
        <v>3</v>
      </c>
      <c r="AA115" s="760">
        <f t="shared" si="321"/>
        <v>11.099999999999998</v>
      </c>
      <c r="AB115" s="197">
        <f>'Energy Inputs'!$E$58*$AB$109</f>
        <v>108</v>
      </c>
      <c r="AC115" s="197">
        <f t="shared" ref="AC115:AC128" si="359">AA115*AB115</f>
        <v>1198.7999999999997</v>
      </c>
      <c r="AD115" s="197">
        <f>'Margins summary'!$S$14</f>
        <v>175.95</v>
      </c>
      <c r="AE115" s="197">
        <f t="shared" si="322"/>
        <v>1374.7499999999998</v>
      </c>
      <c r="AF115" s="197"/>
      <c r="AG115" s="197">
        <f>'Energy NPV'!U41</f>
        <v>506.67238399999997</v>
      </c>
      <c r="AH115" s="197"/>
      <c r="AI115" s="197">
        <f t="shared" si="323"/>
        <v>506.67238399999997</v>
      </c>
      <c r="AJ115" s="197">
        <f t="shared" si="305"/>
        <v>692.12761599999976</v>
      </c>
      <c r="AK115" s="197">
        <f t="shared" si="306"/>
        <v>868.07761599999981</v>
      </c>
      <c r="AL115" s="196">
        <f t="shared" si="324"/>
        <v>1108.3579881656801</v>
      </c>
      <c r="AM115" s="197">
        <f t="shared" si="325"/>
        <v>162.67566568047334</v>
      </c>
      <c r="AN115" s="197">
        <f t="shared" si="326"/>
        <v>468.44710059171587</v>
      </c>
      <c r="AO115" s="197">
        <f t="shared" si="327"/>
        <v>639.91088757396426</v>
      </c>
      <c r="AP115" s="199">
        <f t="shared" si="328"/>
        <v>802.5865532544376</v>
      </c>
      <c r="AQ115" s="196">
        <f t="shared" ref="AQ115:AQ127" si="360">AQ114+AL115</f>
        <v>1580.7541420118341</v>
      </c>
      <c r="AR115" s="197">
        <f t="shared" si="329"/>
        <v>507.80835798816565</v>
      </c>
      <c r="AS115" s="197">
        <f t="shared" si="329"/>
        <v>3180.2428692071003</v>
      </c>
      <c r="AT115" s="197">
        <f t="shared" si="329"/>
        <v>-1599.4887271952662</v>
      </c>
      <c r="AU115" s="199">
        <f t="shared" si="329"/>
        <v>-1091.6803692071007</v>
      </c>
      <c r="AV115" s="197"/>
      <c r="AX115" s="900">
        <v>3</v>
      </c>
      <c r="AY115" s="760">
        <f t="shared" si="330"/>
        <v>11.099999999999998</v>
      </c>
      <c r="AZ115" s="197">
        <f>'Energy Inputs'!$E$58*$AZ$109</f>
        <v>36</v>
      </c>
      <c r="BA115" s="197">
        <f t="shared" ref="BA115:BA128" si="361">AY115*AZ115</f>
        <v>399.59999999999991</v>
      </c>
      <c r="BB115" s="197">
        <f>'Margins summary'!$S$14</f>
        <v>175.95</v>
      </c>
      <c r="BC115" s="197">
        <f t="shared" si="331"/>
        <v>575.54999999999995</v>
      </c>
      <c r="BD115" s="197"/>
      <c r="BE115" s="918">
        <f>'Energy NPV'!U41</f>
        <v>506.67238399999997</v>
      </c>
      <c r="BF115" s="197"/>
      <c r="BG115" s="197">
        <f t="shared" si="332"/>
        <v>506.67238399999997</v>
      </c>
      <c r="BH115" s="197">
        <f t="shared" si="307"/>
        <v>-107.07238400000006</v>
      </c>
      <c r="BI115" s="197">
        <f t="shared" si="308"/>
        <v>68.877615999999989</v>
      </c>
      <c r="BJ115" s="196">
        <f t="shared" si="333"/>
        <v>369.45266272189338</v>
      </c>
      <c r="BK115" s="197">
        <f t="shared" si="334"/>
        <v>162.67566568047334</v>
      </c>
      <c r="BL115" s="197">
        <f t="shared" si="335"/>
        <v>468.44710059171587</v>
      </c>
      <c r="BM115" s="197">
        <f t="shared" si="336"/>
        <v>-98.994437869822534</v>
      </c>
      <c r="BN115" s="199">
        <f t="shared" si="337"/>
        <v>63.681227810650867</v>
      </c>
      <c r="BO115" s="196">
        <f t="shared" ref="BO115:BO128" si="362">BO114+BJ115</f>
        <v>526.91804733727804</v>
      </c>
      <c r="BP115" s="197">
        <f t="shared" si="338"/>
        <v>507.80835798816565</v>
      </c>
      <c r="BQ115" s="197">
        <f t="shared" si="338"/>
        <v>3180.2428692071003</v>
      </c>
      <c r="BR115" s="197">
        <f t="shared" si="338"/>
        <v>-2653.3248218698222</v>
      </c>
      <c r="BS115" s="199">
        <f t="shared" si="338"/>
        <v>-2145.5164638816568</v>
      </c>
      <c r="BT115" s="197"/>
      <c r="BV115" s="900">
        <v>3</v>
      </c>
      <c r="BW115" s="760">
        <f t="shared" si="339"/>
        <v>11.099999999999998</v>
      </c>
      <c r="BX115" s="197">
        <f>'Energy Inputs'!$E$58*$BX$109</f>
        <v>144</v>
      </c>
      <c r="BY115" s="197">
        <f t="shared" ref="BY115:BY128" si="363">BW115*BX115</f>
        <v>1598.3999999999996</v>
      </c>
      <c r="BZ115" s="197">
        <f>'Margins summary'!$S$14</f>
        <v>175.95</v>
      </c>
      <c r="CA115" s="197">
        <f t="shared" si="340"/>
        <v>1774.3499999999997</v>
      </c>
      <c r="CB115" s="197"/>
      <c r="CC115" s="918">
        <f>'Energy NPV'!U41</f>
        <v>506.67238399999997</v>
      </c>
      <c r="CD115" s="197"/>
      <c r="CE115" s="197">
        <f t="shared" si="341"/>
        <v>506.67238399999997</v>
      </c>
      <c r="CF115" s="197">
        <f t="shared" si="309"/>
        <v>1091.7276159999997</v>
      </c>
      <c r="CG115" s="197">
        <f t="shared" si="310"/>
        <v>1267.6776159999997</v>
      </c>
      <c r="CH115" s="196">
        <f t="shared" si="342"/>
        <v>1477.8106508875735</v>
      </c>
      <c r="CI115" s="197">
        <f t="shared" si="343"/>
        <v>162.67566568047334</v>
      </c>
      <c r="CJ115" s="197">
        <f t="shared" si="344"/>
        <v>468.44710059171587</v>
      </c>
      <c r="CK115" s="197">
        <f t="shared" si="345"/>
        <v>1009.3635502958575</v>
      </c>
      <c r="CL115" s="199">
        <f t="shared" si="346"/>
        <v>1172.039215976331</v>
      </c>
      <c r="CM115" s="196">
        <f t="shared" ref="CM115:CM128" si="364">CM114+CH115</f>
        <v>2107.6721893491122</v>
      </c>
      <c r="CN115" s="197">
        <f t="shared" si="347"/>
        <v>507.80835798816565</v>
      </c>
      <c r="CO115" s="197">
        <f t="shared" si="347"/>
        <v>3180.2428692071003</v>
      </c>
      <c r="CP115" s="197">
        <f t="shared" si="347"/>
        <v>-1072.5706798579884</v>
      </c>
      <c r="CQ115" s="199">
        <f t="shared" si="347"/>
        <v>-564.7623218698227</v>
      </c>
      <c r="CR115" s="197"/>
      <c r="CT115" s="204">
        <f t="shared" ref="CT115:CT128" si="365">CT114+1</f>
        <v>3</v>
      </c>
      <c r="CU115" s="760">
        <f t="shared" si="348"/>
        <v>11.099999999999998</v>
      </c>
      <c r="CV115" s="197">
        <f>'Energy Inputs'!$E$58*$CV$109</f>
        <v>0</v>
      </c>
      <c r="CW115" s="197">
        <f t="shared" ref="CW115:CW128" si="366">CU115*CV115</f>
        <v>0</v>
      </c>
      <c r="CX115" s="197">
        <f>'Margins summary'!$S$14</f>
        <v>175.95</v>
      </c>
      <c r="CY115" s="197">
        <f t="shared" si="349"/>
        <v>175.95</v>
      </c>
      <c r="CZ115" s="197"/>
      <c r="DA115" s="918">
        <f>'Energy NPV'!U41</f>
        <v>506.67238399999997</v>
      </c>
      <c r="DB115" s="197"/>
      <c r="DC115" s="197">
        <f t="shared" si="350"/>
        <v>506.67238399999997</v>
      </c>
      <c r="DD115" s="197">
        <f t="shared" si="311"/>
        <v>-506.67238399999997</v>
      </c>
      <c r="DE115" s="197">
        <f t="shared" si="312"/>
        <v>-330.72238399999998</v>
      </c>
      <c r="DF115" s="196">
        <f t="shared" si="351"/>
        <v>0</v>
      </c>
      <c r="DG115" s="197">
        <f t="shared" si="352"/>
        <v>162.67566568047334</v>
      </c>
      <c r="DH115" s="197">
        <f t="shared" si="353"/>
        <v>468.44710059171587</v>
      </c>
      <c r="DI115" s="197">
        <f t="shared" si="354"/>
        <v>-468.44710059171587</v>
      </c>
      <c r="DJ115" s="199">
        <f t="shared" si="355"/>
        <v>-305.77143491124252</v>
      </c>
      <c r="DK115" s="196">
        <f t="shared" ref="DK115:DK128" si="367">DK114+DF115</f>
        <v>0</v>
      </c>
      <c r="DL115" s="197">
        <f t="shared" si="356"/>
        <v>507.80835798816565</v>
      </c>
      <c r="DM115" s="197">
        <f t="shared" si="356"/>
        <v>3180.2428692071003</v>
      </c>
      <c r="DN115" s="197">
        <f t="shared" si="356"/>
        <v>-3180.2428692071003</v>
      </c>
      <c r="DO115" s="199">
        <f t="shared" si="356"/>
        <v>-2672.4345112189349</v>
      </c>
    </row>
    <row r="116" spans="2:119" x14ac:dyDescent="0.3">
      <c r="B116" s="900">
        <v>4</v>
      </c>
      <c r="C116" s="760">
        <f>'Energy NPV'!$D42</f>
        <v>12.54</v>
      </c>
      <c r="D116" s="197">
        <f>'Energy Inputs'!$E$58*$E$109</f>
        <v>72</v>
      </c>
      <c r="E116" s="197">
        <f t="shared" si="357"/>
        <v>902.87999999999988</v>
      </c>
      <c r="F116" s="197">
        <f>'Margins summary'!$S$14</f>
        <v>175.95</v>
      </c>
      <c r="G116" s="197">
        <f t="shared" si="313"/>
        <v>1078.83</v>
      </c>
      <c r="H116" s="197"/>
      <c r="I116" s="918">
        <f>'Energy NPV'!U42</f>
        <v>393.31078400000001</v>
      </c>
      <c r="J116" s="197"/>
      <c r="K116" s="197">
        <f t="shared" si="314"/>
        <v>393.31078400000001</v>
      </c>
      <c r="L116" s="197">
        <f t="shared" si="303"/>
        <v>509.56921599999987</v>
      </c>
      <c r="M116" s="197">
        <f t="shared" si="304"/>
        <v>685.51921599999991</v>
      </c>
      <c r="N116" s="196">
        <f t="shared" si="315"/>
        <v>802.65703231679549</v>
      </c>
      <c r="O116" s="197">
        <f t="shared" si="316"/>
        <v>156.41890930814745</v>
      </c>
      <c r="P116" s="197">
        <f t="shared" si="317"/>
        <v>349.65185480200273</v>
      </c>
      <c r="Q116" s="197">
        <f t="shared" si="318"/>
        <v>453.00517751479276</v>
      </c>
      <c r="R116" s="199">
        <f t="shared" si="319"/>
        <v>609.42408682294024</v>
      </c>
      <c r="S116" s="196">
        <f t="shared" si="358"/>
        <v>1856.4931269913516</v>
      </c>
      <c r="T116" s="197">
        <f t="shared" si="320"/>
        <v>664.22726729631313</v>
      </c>
      <c r="U116" s="197">
        <f t="shared" si="320"/>
        <v>3529.8947240091029</v>
      </c>
      <c r="V116" s="197">
        <f t="shared" si="320"/>
        <v>-1673.401597017752</v>
      </c>
      <c r="W116" s="199">
        <f t="shared" si="320"/>
        <v>-1009.1743297214385</v>
      </c>
      <c r="X116" s="197"/>
      <c r="Z116" s="900">
        <v>4</v>
      </c>
      <c r="AA116" s="760">
        <f t="shared" si="321"/>
        <v>12.54</v>
      </c>
      <c r="AB116" s="197">
        <f>'Energy Inputs'!$E$58*$AB$109</f>
        <v>108</v>
      </c>
      <c r="AC116" s="197">
        <f t="shared" si="359"/>
        <v>1354.32</v>
      </c>
      <c r="AD116" s="197">
        <f>'Margins summary'!$S$14</f>
        <v>175.95</v>
      </c>
      <c r="AE116" s="197">
        <f t="shared" si="322"/>
        <v>1530.27</v>
      </c>
      <c r="AF116" s="197"/>
      <c r="AG116" s="197">
        <f>'Energy NPV'!U42</f>
        <v>393.31078400000001</v>
      </c>
      <c r="AH116" s="197"/>
      <c r="AI116" s="197">
        <f t="shared" si="323"/>
        <v>393.31078400000001</v>
      </c>
      <c r="AJ116" s="197">
        <f t="shared" si="305"/>
        <v>961.00921599999992</v>
      </c>
      <c r="AK116" s="197">
        <f t="shared" si="306"/>
        <v>1136.959216</v>
      </c>
      <c r="AL116" s="196">
        <f t="shared" si="324"/>
        <v>1203.9855484751934</v>
      </c>
      <c r="AM116" s="197">
        <f t="shared" si="325"/>
        <v>156.41890930814745</v>
      </c>
      <c r="AN116" s="197">
        <f t="shared" si="326"/>
        <v>349.65185480200273</v>
      </c>
      <c r="AO116" s="197">
        <f t="shared" si="327"/>
        <v>854.33369367319062</v>
      </c>
      <c r="AP116" s="199">
        <f t="shared" si="328"/>
        <v>1010.7526029813381</v>
      </c>
      <c r="AQ116" s="196">
        <f t="shared" si="360"/>
        <v>2784.7396904870275</v>
      </c>
      <c r="AR116" s="197">
        <f t="shared" si="329"/>
        <v>664.22726729631313</v>
      </c>
      <c r="AS116" s="197">
        <f t="shared" si="329"/>
        <v>3529.8947240091029</v>
      </c>
      <c r="AT116" s="197">
        <f t="shared" si="329"/>
        <v>-745.15503352207554</v>
      </c>
      <c r="AU116" s="199">
        <f t="shared" si="329"/>
        <v>-80.927766225762639</v>
      </c>
      <c r="AV116" s="197"/>
      <c r="AX116" s="900">
        <v>4</v>
      </c>
      <c r="AY116" s="760">
        <f t="shared" si="330"/>
        <v>12.54</v>
      </c>
      <c r="AZ116" s="197">
        <f>'Energy Inputs'!$E$58*$AZ$109</f>
        <v>36</v>
      </c>
      <c r="BA116" s="197">
        <f t="shared" si="361"/>
        <v>451.43999999999994</v>
      </c>
      <c r="BB116" s="197">
        <f>'Margins summary'!$S$14</f>
        <v>175.95</v>
      </c>
      <c r="BC116" s="197">
        <f t="shared" si="331"/>
        <v>627.38999999999987</v>
      </c>
      <c r="BD116" s="197"/>
      <c r="BE116" s="918">
        <f>'Energy NPV'!U42</f>
        <v>393.31078400000001</v>
      </c>
      <c r="BF116" s="197"/>
      <c r="BG116" s="197">
        <f t="shared" si="332"/>
        <v>393.31078400000001</v>
      </c>
      <c r="BH116" s="197">
        <f t="shared" si="307"/>
        <v>58.129215999999928</v>
      </c>
      <c r="BI116" s="197">
        <f t="shared" si="308"/>
        <v>234.07921599999986</v>
      </c>
      <c r="BJ116" s="196">
        <f t="shared" si="333"/>
        <v>401.32851615839775</v>
      </c>
      <c r="BK116" s="197">
        <f t="shared" si="334"/>
        <v>156.41890930814745</v>
      </c>
      <c r="BL116" s="197">
        <f t="shared" si="335"/>
        <v>349.65185480200273</v>
      </c>
      <c r="BM116" s="197">
        <f t="shared" si="336"/>
        <v>51.676661356395016</v>
      </c>
      <c r="BN116" s="199">
        <f t="shared" si="337"/>
        <v>208.09557066454241</v>
      </c>
      <c r="BO116" s="196">
        <f t="shared" si="362"/>
        <v>928.24656349567579</v>
      </c>
      <c r="BP116" s="197">
        <f t="shared" si="338"/>
        <v>664.22726729631313</v>
      </c>
      <c r="BQ116" s="197">
        <f t="shared" si="338"/>
        <v>3529.8947240091029</v>
      </c>
      <c r="BR116" s="197">
        <f t="shared" si="338"/>
        <v>-2601.6481605134272</v>
      </c>
      <c r="BS116" s="199">
        <f t="shared" si="338"/>
        <v>-1937.4208932171143</v>
      </c>
      <c r="BT116" s="197"/>
      <c r="BV116" s="900">
        <v>4</v>
      </c>
      <c r="BW116" s="760">
        <f t="shared" si="339"/>
        <v>12.54</v>
      </c>
      <c r="BX116" s="197">
        <f>'Energy Inputs'!$E$58*$BX$109</f>
        <v>144</v>
      </c>
      <c r="BY116" s="197">
        <f t="shared" si="363"/>
        <v>1805.7599999999998</v>
      </c>
      <c r="BZ116" s="197">
        <f>'Margins summary'!$S$14</f>
        <v>175.95</v>
      </c>
      <c r="CA116" s="197">
        <f t="shared" si="340"/>
        <v>1981.7099999999998</v>
      </c>
      <c r="CB116" s="197"/>
      <c r="CC116" s="918">
        <f>'Energy NPV'!U42</f>
        <v>393.31078400000001</v>
      </c>
      <c r="CD116" s="197"/>
      <c r="CE116" s="197">
        <f t="shared" si="341"/>
        <v>393.31078400000001</v>
      </c>
      <c r="CF116" s="197">
        <f t="shared" si="309"/>
        <v>1412.4492159999998</v>
      </c>
      <c r="CG116" s="197">
        <f t="shared" si="310"/>
        <v>1588.3992159999998</v>
      </c>
      <c r="CH116" s="196">
        <f t="shared" si="342"/>
        <v>1605.314064633591</v>
      </c>
      <c r="CI116" s="197">
        <f t="shared" si="343"/>
        <v>156.41890930814745</v>
      </c>
      <c r="CJ116" s="197">
        <f t="shared" si="344"/>
        <v>349.65185480200273</v>
      </c>
      <c r="CK116" s="197">
        <f t="shared" si="345"/>
        <v>1255.6622098315881</v>
      </c>
      <c r="CL116" s="199">
        <f t="shared" si="346"/>
        <v>1412.0811191397356</v>
      </c>
      <c r="CM116" s="196">
        <f t="shared" si="364"/>
        <v>3712.9862539827031</v>
      </c>
      <c r="CN116" s="197">
        <f t="shared" si="347"/>
        <v>664.22726729631313</v>
      </c>
      <c r="CO116" s="197">
        <f t="shared" si="347"/>
        <v>3529.8947240091029</v>
      </c>
      <c r="CP116" s="197">
        <f t="shared" si="347"/>
        <v>183.09152997359979</v>
      </c>
      <c r="CQ116" s="199">
        <f t="shared" si="347"/>
        <v>847.31879726991292</v>
      </c>
      <c r="CR116" s="197"/>
      <c r="CT116" s="204">
        <f t="shared" si="365"/>
        <v>4</v>
      </c>
      <c r="CU116" s="760">
        <f t="shared" si="348"/>
        <v>12.54</v>
      </c>
      <c r="CV116" s="197">
        <f>'Energy Inputs'!$E$58*$CV$109</f>
        <v>0</v>
      </c>
      <c r="CW116" s="197">
        <f t="shared" si="366"/>
        <v>0</v>
      </c>
      <c r="CX116" s="197">
        <f>'Margins summary'!$S$14</f>
        <v>175.95</v>
      </c>
      <c r="CY116" s="197">
        <f t="shared" si="349"/>
        <v>175.95</v>
      </c>
      <c r="CZ116" s="197"/>
      <c r="DA116" s="918">
        <f>'Energy NPV'!U42</f>
        <v>393.31078400000001</v>
      </c>
      <c r="DB116" s="197"/>
      <c r="DC116" s="197">
        <f t="shared" si="350"/>
        <v>393.31078400000001</v>
      </c>
      <c r="DD116" s="197">
        <f t="shared" si="311"/>
        <v>-393.31078400000001</v>
      </c>
      <c r="DE116" s="197">
        <f t="shared" si="312"/>
        <v>-217.36078400000002</v>
      </c>
      <c r="DF116" s="196">
        <f t="shared" si="351"/>
        <v>0</v>
      </c>
      <c r="DG116" s="197">
        <f t="shared" si="352"/>
        <v>156.41890930814745</v>
      </c>
      <c r="DH116" s="197">
        <f t="shared" si="353"/>
        <v>349.65185480200273</v>
      </c>
      <c r="DI116" s="197">
        <f t="shared" si="354"/>
        <v>-349.65185480200273</v>
      </c>
      <c r="DJ116" s="199">
        <f t="shared" si="355"/>
        <v>-193.23294549385525</v>
      </c>
      <c r="DK116" s="196">
        <f t="shared" si="367"/>
        <v>0</v>
      </c>
      <c r="DL116" s="197">
        <f t="shared" si="356"/>
        <v>664.22726729631313</v>
      </c>
      <c r="DM116" s="197">
        <f t="shared" si="356"/>
        <v>3529.8947240091029</v>
      </c>
      <c r="DN116" s="197">
        <f t="shared" si="356"/>
        <v>-3529.8947240091029</v>
      </c>
      <c r="DO116" s="199">
        <f t="shared" si="356"/>
        <v>-2865.6674567127902</v>
      </c>
    </row>
    <row r="117" spans="2:119" x14ac:dyDescent="0.3">
      <c r="B117" s="900">
        <v>5</v>
      </c>
      <c r="C117" s="760">
        <f>'Energy NPV'!$D43</f>
        <v>12.54</v>
      </c>
      <c r="D117" s="197">
        <f>'Energy Inputs'!$E$58*$E$109</f>
        <v>72</v>
      </c>
      <c r="E117" s="197">
        <f t="shared" si="357"/>
        <v>902.87999999999988</v>
      </c>
      <c r="F117" s="197">
        <f>'Margins summary'!$S$14</f>
        <v>175.95</v>
      </c>
      <c r="G117" s="197">
        <f t="shared" si="313"/>
        <v>1078.83</v>
      </c>
      <c r="H117" s="197"/>
      <c r="I117" s="918">
        <f>'Energy NPV'!U43</f>
        <v>393.31078400000001</v>
      </c>
      <c r="J117" s="197"/>
      <c r="K117" s="197">
        <f t="shared" si="314"/>
        <v>393.31078400000001</v>
      </c>
      <c r="L117" s="197">
        <f t="shared" si="303"/>
        <v>509.56921599999987</v>
      </c>
      <c r="M117" s="197">
        <f t="shared" si="304"/>
        <v>685.51921599999991</v>
      </c>
      <c r="N117" s="196">
        <f t="shared" si="315"/>
        <v>771.78560799691866</v>
      </c>
      <c r="O117" s="197">
        <f t="shared" si="316"/>
        <v>150.40279741168024</v>
      </c>
      <c r="P117" s="197">
        <f t="shared" si="317"/>
        <v>336.2037065403872</v>
      </c>
      <c r="Q117" s="197">
        <f t="shared" si="318"/>
        <v>435.58190145653145</v>
      </c>
      <c r="R117" s="199">
        <f t="shared" si="319"/>
        <v>585.98469886821169</v>
      </c>
      <c r="S117" s="196">
        <f t="shared" si="358"/>
        <v>2628.2787349882701</v>
      </c>
      <c r="T117" s="197">
        <f t="shared" si="320"/>
        <v>814.63006470799337</v>
      </c>
      <c r="U117" s="197">
        <f t="shared" si="320"/>
        <v>3866.0984305494903</v>
      </c>
      <c r="V117" s="197">
        <f t="shared" si="320"/>
        <v>-1237.8196955612207</v>
      </c>
      <c r="W117" s="199">
        <f t="shared" si="320"/>
        <v>-423.18963085322684</v>
      </c>
      <c r="X117" s="197"/>
      <c r="Z117" s="900">
        <v>5</v>
      </c>
      <c r="AA117" s="760">
        <f t="shared" si="321"/>
        <v>12.54</v>
      </c>
      <c r="AB117" s="197">
        <f>'Energy Inputs'!$E$58*$AB$109</f>
        <v>108</v>
      </c>
      <c r="AC117" s="197">
        <f t="shared" si="359"/>
        <v>1354.32</v>
      </c>
      <c r="AD117" s="197">
        <f>'Margins summary'!$S$14</f>
        <v>175.95</v>
      </c>
      <c r="AE117" s="197">
        <f t="shared" si="322"/>
        <v>1530.27</v>
      </c>
      <c r="AF117" s="197"/>
      <c r="AG117" s="197">
        <f>'Energy NPV'!U43</f>
        <v>393.31078400000001</v>
      </c>
      <c r="AH117" s="197"/>
      <c r="AI117" s="197">
        <f t="shared" si="323"/>
        <v>393.31078400000001</v>
      </c>
      <c r="AJ117" s="197">
        <f t="shared" si="305"/>
        <v>961.00921599999992</v>
      </c>
      <c r="AK117" s="197">
        <f t="shared" si="306"/>
        <v>1136.959216</v>
      </c>
      <c r="AL117" s="196">
        <f t="shared" si="324"/>
        <v>1157.6784119953782</v>
      </c>
      <c r="AM117" s="197">
        <f t="shared" si="325"/>
        <v>150.40279741168024</v>
      </c>
      <c r="AN117" s="197">
        <f t="shared" si="326"/>
        <v>336.2037065403872</v>
      </c>
      <c r="AO117" s="197">
        <f t="shared" si="327"/>
        <v>821.47470545499084</v>
      </c>
      <c r="AP117" s="199">
        <f t="shared" si="328"/>
        <v>971.87750286667108</v>
      </c>
      <c r="AQ117" s="196">
        <f t="shared" si="360"/>
        <v>3942.4181024824056</v>
      </c>
      <c r="AR117" s="197">
        <f t="shared" si="329"/>
        <v>814.63006470799337</v>
      </c>
      <c r="AS117" s="197">
        <f t="shared" si="329"/>
        <v>3866.0984305494903</v>
      </c>
      <c r="AT117" s="197">
        <f t="shared" si="329"/>
        <v>76.319671932915298</v>
      </c>
      <c r="AU117" s="199">
        <f t="shared" si="329"/>
        <v>890.94973664090844</v>
      </c>
      <c r="AV117" s="197"/>
      <c r="AX117" s="900">
        <v>5</v>
      </c>
      <c r="AY117" s="760">
        <f t="shared" si="330"/>
        <v>12.54</v>
      </c>
      <c r="AZ117" s="197">
        <f>'Energy Inputs'!$E$58*$AZ$109</f>
        <v>36</v>
      </c>
      <c r="BA117" s="197">
        <f t="shared" si="361"/>
        <v>451.43999999999994</v>
      </c>
      <c r="BB117" s="197">
        <f>'Margins summary'!$S$14</f>
        <v>175.95</v>
      </c>
      <c r="BC117" s="197">
        <f t="shared" si="331"/>
        <v>627.38999999999987</v>
      </c>
      <c r="BD117" s="197"/>
      <c r="BE117" s="918">
        <f>'Energy NPV'!U43</f>
        <v>393.31078400000001</v>
      </c>
      <c r="BF117" s="197"/>
      <c r="BG117" s="197">
        <f t="shared" si="332"/>
        <v>393.31078400000001</v>
      </c>
      <c r="BH117" s="197">
        <f t="shared" si="307"/>
        <v>58.129215999999928</v>
      </c>
      <c r="BI117" s="197">
        <f t="shared" si="308"/>
        <v>234.07921599999986</v>
      </c>
      <c r="BJ117" s="196">
        <f t="shared" si="333"/>
        <v>385.89280399845933</v>
      </c>
      <c r="BK117" s="197">
        <f t="shared" si="334"/>
        <v>150.40279741168024</v>
      </c>
      <c r="BL117" s="197">
        <f t="shared" si="335"/>
        <v>336.2037065403872</v>
      </c>
      <c r="BM117" s="197">
        <f t="shared" si="336"/>
        <v>49.689097458072126</v>
      </c>
      <c r="BN117" s="199">
        <f t="shared" si="337"/>
        <v>200.09189486975231</v>
      </c>
      <c r="BO117" s="196">
        <f t="shared" si="362"/>
        <v>1314.1393674941351</v>
      </c>
      <c r="BP117" s="197">
        <f t="shared" si="338"/>
        <v>814.63006470799337</v>
      </c>
      <c r="BQ117" s="197">
        <f t="shared" si="338"/>
        <v>3866.0984305494903</v>
      </c>
      <c r="BR117" s="197">
        <f t="shared" si="338"/>
        <v>-2551.9590630553553</v>
      </c>
      <c r="BS117" s="199">
        <f t="shared" si="338"/>
        <v>-1737.3289983473619</v>
      </c>
      <c r="BT117" s="197"/>
      <c r="BV117" s="900">
        <v>5</v>
      </c>
      <c r="BW117" s="760">
        <f t="shared" si="339"/>
        <v>12.54</v>
      </c>
      <c r="BX117" s="197">
        <f>'Energy Inputs'!$E$58*$BX$109</f>
        <v>144</v>
      </c>
      <c r="BY117" s="197">
        <f t="shared" si="363"/>
        <v>1805.7599999999998</v>
      </c>
      <c r="BZ117" s="197">
        <f>'Margins summary'!$S$14</f>
        <v>175.95</v>
      </c>
      <c r="CA117" s="197">
        <f t="shared" si="340"/>
        <v>1981.7099999999998</v>
      </c>
      <c r="CB117" s="197"/>
      <c r="CC117" s="918">
        <f>'Energy NPV'!U43</f>
        <v>393.31078400000001</v>
      </c>
      <c r="CD117" s="197"/>
      <c r="CE117" s="197">
        <f t="shared" si="341"/>
        <v>393.31078400000001</v>
      </c>
      <c r="CF117" s="197">
        <f t="shared" si="309"/>
        <v>1412.4492159999998</v>
      </c>
      <c r="CG117" s="197">
        <f t="shared" si="310"/>
        <v>1588.3992159999998</v>
      </c>
      <c r="CH117" s="196">
        <f t="shared" si="342"/>
        <v>1543.5712159938373</v>
      </c>
      <c r="CI117" s="197">
        <f t="shared" si="343"/>
        <v>150.40279741168024</v>
      </c>
      <c r="CJ117" s="197">
        <f t="shared" si="344"/>
        <v>336.2037065403872</v>
      </c>
      <c r="CK117" s="197">
        <f t="shared" si="345"/>
        <v>1207.3675094534501</v>
      </c>
      <c r="CL117" s="199">
        <f t="shared" si="346"/>
        <v>1357.7703068651304</v>
      </c>
      <c r="CM117" s="196">
        <f t="shared" si="364"/>
        <v>5256.5574699765402</v>
      </c>
      <c r="CN117" s="197">
        <f t="shared" si="347"/>
        <v>814.63006470799337</v>
      </c>
      <c r="CO117" s="197">
        <f t="shared" si="347"/>
        <v>3866.0984305494903</v>
      </c>
      <c r="CP117" s="197">
        <f t="shared" si="347"/>
        <v>1390.4590394270499</v>
      </c>
      <c r="CQ117" s="199">
        <f t="shared" si="347"/>
        <v>2205.0891041350433</v>
      </c>
      <c r="CR117" s="197"/>
      <c r="CT117" s="204">
        <f t="shared" si="365"/>
        <v>5</v>
      </c>
      <c r="CU117" s="760">
        <f t="shared" si="348"/>
        <v>12.54</v>
      </c>
      <c r="CV117" s="197">
        <f>'Energy Inputs'!$E$58*$CV$109</f>
        <v>0</v>
      </c>
      <c r="CW117" s="197">
        <f t="shared" si="366"/>
        <v>0</v>
      </c>
      <c r="CX117" s="197">
        <f>'Margins summary'!$S$14</f>
        <v>175.95</v>
      </c>
      <c r="CY117" s="197">
        <f t="shared" si="349"/>
        <v>175.95</v>
      </c>
      <c r="CZ117" s="197"/>
      <c r="DA117" s="918">
        <f>'Energy NPV'!U43</f>
        <v>393.31078400000001</v>
      </c>
      <c r="DB117" s="197"/>
      <c r="DC117" s="197">
        <f t="shared" si="350"/>
        <v>393.31078400000001</v>
      </c>
      <c r="DD117" s="197">
        <f t="shared" si="311"/>
        <v>-393.31078400000001</v>
      </c>
      <c r="DE117" s="197">
        <f t="shared" si="312"/>
        <v>-217.36078400000002</v>
      </c>
      <c r="DF117" s="196">
        <f t="shared" si="351"/>
        <v>0</v>
      </c>
      <c r="DG117" s="197">
        <f t="shared" si="352"/>
        <v>150.40279741168024</v>
      </c>
      <c r="DH117" s="197">
        <f t="shared" si="353"/>
        <v>336.2037065403872</v>
      </c>
      <c r="DI117" s="197">
        <f t="shared" si="354"/>
        <v>-336.2037065403872</v>
      </c>
      <c r="DJ117" s="199">
        <f t="shared" si="355"/>
        <v>-185.80090912870696</v>
      </c>
      <c r="DK117" s="196">
        <f t="shared" si="367"/>
        <v>0</v>
      </c>
      <c r="DL117" s="197">
        <f t="shared" si="356"/>
        <v>814.63006470799337</v>
      </c>
      <c r="DM117" s="197">
        <f t="shared" si="356"/>
        <v>3866.0984305494903</v>
      </c>
      <c r="DN117" s="197">
        <f t="shared" si="356"/>
        <v>-3866.0984305494903</v>
      </c>
      <c r="DO117" s="199">
        <f t="shared" si="356"/>
        <v>-3051.468365841497</v>
      </c>
    </row>
    <row r="118" spans="2:119" x14ac:dyDescent="0.3">
      <c r="B118" s="900">
        <v>6</v>
      </c>
      <c r="C118" s="760">
        <f>'Energy NPV'!$D44</f>
        <v>12.54</v>
      </c>
      <c r="D118" s="197">
        <f>'Energy Inputs'!$E$58*$E$109</f>
        <v>72</v>
      </c>
      <c r="E118" s="197">
        <f t="shared" si="357"/>
        <v>902.87999999999988</v>
      </c>
      <c r="F118" s="197">
        <f>'Margins summary'!$S$14</f>
        <v>175.95</v>
      </c>
      <c r="G118" s="197">
        <f t="shared" si="313"/>
        <v>1078.83</v>
      </c>
      <c r="H118" s="197"/>
      <c r="I118" s="918">
        <f>'Energy NPV'!U44</f>
        <v>393.31078400000001</v>
      </c>
      <c r="J118" s="197"/>
      <c r="K118" s="197">
        <f t="shared" si="314"/>
        <v>393.31078400000001</v>
      </c>
      <c r="L118" s="197">
        <f t="shared" si="303"/>
        <v>509.56921599999987</v>
      </c>
      <c r="M118" s="197">
        <f t="shared" si="304"/>
        <v>685.51921599999991</v>
      </c>
      <c r="N118" s="196">
        <f t="shared" si="315"/>
        <v>742.10154615088322</v>
      </c>
      <c r="O118" s="197">
        <f t="shared" si="316"/>
        <v>144.61807443430789</v>
      </c>
      <c r="P118" s="197">
        <f t="shared" si="317"/>
        <v>323.27279475037227</v>
      </c>
      <c r="Q118" s="197">
        <f t="shared" si="318"/>
        <v>418.82875140051095</v>
      </c>
      <c r="R118" s="199">
        <f t="shared" si="319"/>
        <v>563.44682583481892</v>
      </c>
      <c r="S118" s="196">
        <f t="shared" si="358"/>
        <v>3370.3802811391533</v>
      </c>
      <c r="T118" s="197">
        <f t="shared" si="320"/>
        <v>959.24813914230128</v>
      </c>
      <c r="U118" s="197">
        <f t="shared" si="320"/>
        <v>4189.371225299863</v>
      </c>
      <c r="V118" s="197">
        <f t="shared" si="320"/>
        <v>-818.99094416070966</v>
      </c>
      <c r="W118" s="199">
        <f t="shared" si="320"/>
        <v>140.25719498159208</v>
      </c>
      <c r="X118" s="197"/>
      <c r="Z118" s="900">
        <v>6</v>
      </c>
      <c r="AA118" s="760">
        <f t="shared" si="321"/>
        <v>12.54</v>
      </c>
      <c r="AB118" s="197">
        <f>'Energy Inputs'!$E$58*$AB$109</f>
        <v>108</v>
      </c>
      <c r="AC118" s="197">
        <f t="shared" si="359"/>
        <v>1354.32</v>
      </c>
      <c r="AD118" s="197">
        <f>'Margins summary'!$S$14</f>
        <v>175.95</v>
      </c>
      <c r="AE118" s="197">
        <f t="shared" si="322"/>
        <v>1530.27</v>
      </c>
      <c r="AF118" s="197"/>
      <c r="AG118" s="197">
        <f>'Energy NPV'!U44</f>
        <v>393.31078400000001</v>
      </c>
      <c r="AH118" s="197"/>
      <c r="AI118" s="197">
        <f t="shared" si="323"/>
        <v>393.31078400000001</v>
      </c>
      <c r="AJ118" s="197">
        <f t="shared" si="305"/>
        <v>961.00921599999992</v>
      </c>
      <c r="AK118" s="197">
        <f t="shared" si="306"/>
        <v>1136.959216</v>
      </c>
      <c r="AL118" s="196">
        <f t="shared" si="324"/>
        <v>1113.1523192263248</v>
      </c>
      <c r="AM118" s="197">
        <f t="shared" si="325"/>
        <v>144.61807443430789</v>
      </c>
      <c r="AN118" s="197">
        <f t="shared" si="326"/>
        <v>323.27279475037227</v>
      </c>
      <c r="AO118" s="197">
        <f t="shared" si="327"/>
        <v>789.87952447595262</v>
      </c>
      <c r="AP118" s="199">
        <f t="shared" si="328"/>
        <v>934.49759891026065</v>
      </c>
      <c r="AQ118" s="196">
        <f t="shared" si="360"/>
        <v>5055.5704217087305</v>
      </c>
      <c r="AR118" s="197">
        <f t="shared" si="329"/>
        <v>959.24813914230128</v>
      </c>
      <c r="AS118" s="197">
        <f t="shared" si="329"/>
        <v>4189.371225299863</v>
      </c>
      <c r="AT118" s="197">
        <f t="shared" si="329"/>
        <v>866.19919640886792</v>
      </c>
      <c r="AU118" s="199">
        <f t="shared" si="329"/>
        <v>1825.4473355511691</v>
      </c>
      <c r="AV118" s="197"/>
      <c r="AX118" s="900">
        <v>6</v>
      </c>
      <c r="AY118" s="760">
        <f t="shared" si="330"/>
        <v>12.54</v>
      </c>
      <c r="AZ118" s="197">
        <f>'Energy Inputs'!$E$58*$AZ$109</f>
        <v>36</v>
      </c>
      <c r="BA118" s="197">
        <f t="shared" si="361"/>
        <v>451.43999999999994</v>
      </c>
      <c r="BB118" s="197">
        <f>'Margins summary'!$S$14</f>
        <v>175.95</v>
      </c>
      <c r="BC118" s="197">
        <f t="shared" si="331"/>
        <v>627.38999999999987</v>
      </c>
      <c r="BD118" s="197"/>
      <c r="BE118" s="918">
        <f>'Energy NPV'!U44</f>
        <v>393.31078400000001</v>
      </c>
      <c r="BF118" s="197"/>
      <c r="BG118" s="197">
        <f t="shared" si="332"/>
        <v>393.31078400000001</v>
      </c>
      <c r="BH118" s="197">
        <f t="shared" si="307"/>
        <v>58.129215999999928</v>
      </c>
      <c r="BI118" s="197">
        <f t="shared" si="308"/>
        <v>234.07921599999986</v>
      </c>
      <c r="BJ118" s="196">
        <f t="shared" si="333"/>
        <v>371.05077307544161</v>
      </c>
      <c r="BK118" s="197">
        <f t="shared" si="334"/>
        <v>144.61807443430789</v>
      </c>
      <c r="BL118" s="197">
        <f t="shared" si="335"/>
        <v>323.27279475037227</v>
      </c>
      <c r="BM118" s="197">
        <f t="shared" si="336"/>
        <v>47.777978325069348</v>
      </c>
      <c r="BN118" s="199">
        <f t="shared" si="337"/>
        <v>192.3960527593772</v>
      </c>
      <c r="BO118" s="196">
        <f t="shared" si="362"/>
        <v>1685.1901405695767</v>
      </c>
      <c r="BP118" s="197">
        <f t="shared" si="338"/>
        <v>959.24813914230128</v>
      </c>
      <c r="BQ118" s="197">
        <f t="shared" si="338"/>
        <v>4189.371225299863</v>
      </c>
      <c r="BR118" s="197">
        <f t="shared" si="338"/>
        <v>-2504.1810847302859</v>
      </c>
      <c r="BS118" s="199">
        <f t="shared" si="338"/>
        <v>-1544.9329455879847</v>
      </c>
      <c r="BT118" s="197"/>
      <c r="BV118" s="900">
        <v>6</v>
      </c>
      <c r="BW118" s="760">
        <f t="shared" si="339"/>
        <v>12.54</v>
      </c>
      <c r="BX118" s="197">
        <f>'Energy Inputs'!$E$58*$BX$109</f>
        <v>144</v>
      </c>
      <c r="BY118" s="197">
        <f t="shared" si="363"/>
        <v>1805.7599999999998</v>
      </c>
      <c r="BZ118" s="197">
        <f>'Margins summary'!$S$14</f>
        <v>175.95</v>
      </c>
      <c r="CA118" s="197">
        <f t="shared" si="340"/>
        <v>1981.7099999999998</v>
      </c>
      <c r="CB118" s="197"/>
      <c r="CC118" s="918">
        <f>'Energy NPV'!U44</f>
        <v>393.31078400000001</v>
      </c>
      <c r="CD118" s="197"/>
      <c r="CE118" s="197">
        <f t="shared" si="341"/>
        <v>393.31078400000001</v>
      </c>
      <c r="CF118" s="197">
        <f t="shared" si="309"/>
        <v>1412.4492159999998</v>
      </c>
      <c r="CG118" s="197">
        <f t="shared" si="310"/>
        <v>1588.3992159999998</v>
      </c>
      <c r="CH118" s="196">
        <f t="shared" si="342"/>
        <v>1484.2030923017664</v>
      </c>
      <c r="CI118" s="197">
        <f t="shared" si="343"/>
        <v>144.61807443430789</v>
      </c>
      <c r="CJ118" s="197">
        <f t="shared" si="344"/>
        <v>323.27279475037227</v>
      </c>
      <c r="CK118" s="197">
        <f t="shared" si="345"/>
        <v>1160.9302975513942</v>
      </c>
      <c r="CL118" s="199">
        <f t="shared" si="346"/>
        <v>1305.548371985702</v>
      </c>
      <c r="CM118" s="196">
        <f t="shared" si="364"/>
        <v>6740.7605622783067</v>
      </c>
      <c r="CN118" s="197">
        <f t="shared" si="347"/>
        <v>959.24813914230128</v>
      </c>
      <c r="CO118" s="197">
        <f t="shared" si="347"/>
        <v>4189.371225299863</v>
      </c>
      <c r="CP118" s="197">
        <f t="shared" si="347"/>
        <v>2551.3893369784441</v>
      </c>
      <c r="CQ118" s="199">
        <f t="shared" si="347"/>
        <v>3510.6374761207453</v>
      </c>
      <c r="CR118" s="197"/>
      <c r="CT118" s="204">
        <f t="shared" si="365"/>
        <v>6</v>
      </c>
      <c r="CU118" s="760">
        <f t="shared" si="348"/>
        <v>12.54</v>
      </c>
      <c r="CV118" s="197">
        <f>'Energy Inputs'!$E$58*$CV$109</f>
        <v>0</v>
      </c>
      <c r="CW118" s="197">
        <f t="shared" si="366"/>
        <v>0</v>
      </c>
      <c r="CX118" s="197">
        <f>'Margins summary'!$S$14</f>
        <v>175.95</v>
      </c>
      <c r="CY118" s="197">
        <f t="shared" si="349"/>
        <v>175.95</v>
      </c>
      <c r="CZ118" s="197"/>
      <c r="DA118" s="918">
        <f>'Energy NPV'!U44</f>
        <v>393.31078400000001</v>
      </c>
      <c r="DB118" s="197"/>
      <c r="DC118" s="197">
        <f t="shared" si="350"/>
        <v>393.31078400000001</v>
      </c>
      <c r="DD118" s="197">
        <f t="shared" si="311"/>
        <v>-393.31078400000001</v>
      </c>
      <c r="DE118" s="197">
        <f t="shared" si="312"/>
        <v>-217.36078400000002</v>
      </c>
      <c r="DF118" s="196">
        <f t="shared" si="351"/>
        <v>0</v>
      </c>
      <c r="DG118" s="197">
        <f t="shared" si="352"/>
        <v>144.61807443430789</v>
      </c>
      <c r="DH118" s="197">
        <f t="shared" si="353"/>
        <v>323.27279475037227</v>
      </c>
      <c r="DI118" s="197">
        <f t="shared" si="354"/>
        <v>-323.27279475037227</v>
      </c>
      <c r="DJ118" s="199">
        <f t="shared" si="355"/>
        <v>-178.65472031606438</v>
      </c>
      <c r="DK118" s="196">
        <f t="shared" si="367"/>
        <v>0</v>
      </c>
      <c r="DL118" s="197">
        <f t="shared" si="356"/>
        <v>959.24813914230128</v>
      </c>
      <c r="DM118" s="197">
        <f t="shared" si="356"/>
        <v>4189.371225299863</v>
      </c>
      <c r="DN118" s="197">
        <f t="shared" si="356"/>
        <v>-4189.371225299863</v>
      </c>
      <c r="DO118" s="199">
        <f t="shared" si="356"/>
        <v>-3230.1230861575614</v>
      </c>
    </row>
    <row r="119" spans="2:119" x14ac:dyDescent="0.3">
      <c r="B119" s="900">
        <v>7</v>
      </c>
      <c r="C119" s="760">
        <f>'Energy NPV'!$D45</f>
        <v>12.54</v>
      </c>
      <c r="D119" s="197">
        <f>'Energy Inputs'!$E$58*$E$109</f>
        <v>72</v>
      </c>
      <c r="E119" s="197">
        <f t="shared" si="357"/>
        <v>902.87999999999988</v>
      </c>
      <c r="F119" s="197">
        <f>'Margins summary'!$S$14</f>
        <v>175.95</v>
      </c>
      <c r="G119" s="197">
        <f t="shared" si="313"/>
        <v>1078.83</v>
      </c>
      <c r="H119" s="197"/>
      <c r="I119" s="918">
        <f>'Energy NPV'!U45</f>
        <v>393.31078400000001</v>
      </c>
      <c r="J119" s="197"/>
      <c r="K119" s="197">
        <f t="shared" si="314"/>
        <v>393.31078400000001</v>
      </c>
      <c r="L119" s="197">
        <f t="shared" si="303"/>
        <v>509.56921599999987</v>
      </c>
      <c r="M119" s="197">
        <f t="shared" si="304"/>
        <v>685.51921599999991</v>
      </c>
      <c r="N119" s="196">
        <f t="shared" si="315"/>
        <v>713.55917899123392</v>
      </c>
      <c r="O119" s="197">
        <f t="shared" si="316"/>
        <v>139.05584080221914</v>
      </c>
      <c r="P119" s="197">
        <f t="shared" si="317"/>
        <v>310.83922572151181</v>
      </c>
      <c r="Q119" s="197">
        <f t="shared" si="318"/>
        <v>402.71995326972205</v>
      </c>
      <c r="R119" s="199">
        <f t="shared" si="319"/>
        <v>541.77579407194128</v>
      </c>
      <c r="S119" s="196">
        <f t="shared" si="358"/>
        <v>4083.9394601303875</v>
      </c>
      <c r="T119" s="197">
        <f t="shared" si="320"/>
        <v>1098.3039799445205</v>
      </c>
      <c r="U119" s="197">
        <f t="shared" si="320"/>
        <v>4500.2104510213749</v>
      </c>
      <c r="V119" s="197">
        <f t="shared" si="320"/>
        <v>-416.2709908909876</v>
      </c>
      <c r="W119" s="199">
        <f t="shared" si="320"/>
        <v>682.03298905353336</v>
      </c>
      <c r="X119" s="197"/>
      <c r="Z119" s="900">
        <v>7</v>
      </c>
      <c r="AA119" s="760">
        <f t="shared" si="321"/>
        <v>12.54</v>
      </c>
      <c r="AB119" s="197">
        <f>'Energy Inputs'!$E$58*$AB$109</f>
        <v>108</v>
      </c>
      <c r="AC119" s="197">
        <f t="shared" si="359"/>
        <v>1354.32</v>
      </c>
      <c r="AD119" s="197">
        <f>'Margins summary'!$S$14</f>
        <v>175.95</v>
      </c>
      <c r="AE119" s="197">
        <f t="shared" si="322"/>
        <v>1530.27</v>
      </c>
      <c r="AF119" s="197"/>
      <c r="AG119" s="197">
        <f>'Energy NPV'!U45</f>
        <v>393.31078400000001</v>
      </c>
      <c r="AH119" s="197"/>
      <c r="AI119" s="197">
        <f t="shared" si="323"/>
        <v>393.31078400000001</v>
      </c>
      <c r="AJ119" s="197">
        <f t="shared" si="305"/>
        <v>961.00921599999992</v>
      </c>
      <c r="AK119" s="197">
        <f t="shared" si="306"/>
        <v>1136.959216</v>
      </c>
      <c r="AL119" s="196">
        <f t="shared" si="324"/>
        <v>1070.338768486851</v>
      </c>
      <c r="AM119" s="197">
        <f t="shared" si="325"/>
        <v>139.05584080221914</v>
      </c>
      <c r="AN119" s="197">
        <f t="shared" si="326"/>
        <v>310.83922572151181</v>
      </c>
      <c r="AO119" s="197">
        <f t="shared" si="327"/>
        <v>759.49954276533913</v>
      </c>
      <c r="AP119" s="199">
        <f t="shared" si="328"/>
        <v>898.55538356755824</v>
      </c>
      <c r="AQ119" s="196">
        <f t="shared" si="360"/>
        <v>6125.9091901955817</v>
      </c>
      <c r="AR119" s="197">
        <f t="shared" si="329"/>
        <v>1098.3039799445205</v>
      </c>
      <c r="AS119" s="197">
        <f t="shared" si="329"/>
        <v>4500.2104510213749</v>
      </c>
      <c r="AT119" s="197">
        <f t="shared" si="329"/>
        <v>1625.698739174207</v>
      </c>
      <c r="AU119" s="199">
        <f t="shared" si="329"/>
        <v>2724.0027191187273</v>
      </c>
      <c r="AV119" s="197"/>
      <c r="AX119" s="900">
        <v>7</v>
      </c>
      <c r="AY119" s="760">
        <f t="shared" si="330"/>
        <v>12.54</v>
      </c>
      <c r="AZ119" s="197">
        <f>'Energy Inputs'!$E$58*$AZ$109</f>
        <v>36</v>
      </c>
      <c r="BA119" s="197">
        <f t="shared" si="361"/>
        <v>451.43999999999994</v>
      </c>
      <c r="BB119" s="197">
        <f>'Margins summary'!$S$14</f>
        <v>175.95</v>
      </c>
      <c r="BC119" s="197">
        <f t="shared" si="331"/>
        <v>627.38999999999987</v>
      </c>
      <c r="BD119" s="197"/>
      <c r="BE119" s="918">
        <f>'Energy NPV'!U45</f>
        <v>393.31078400000001</v>
      </c>
      <c r="BF119" s="197"/>
      <c r="BG119" s="197">
        <f t="shared" si="332"/>
        <v>393.31078400000001</v>
      </c>
      <c r="BH119" s="197">
        <f t="shared" si="307"/>
        <v>58.129215999999928</v>
      </c>
      <c r="BI119" s="197">
        <f t="shared" si="308"/>
        <v>234.07921599999986</v>
      </c>
      <c r="BJ119" s="196">
        <f t="shared" si="333"/>
        <v>356.77958949561696</v>
      </c>
      <c r="BK119" s="197">
        <f t="shared" si="334"/>
        <v>139.05584080221914</v>
      </c>
      <c r="BL119" s="197">
        <f t="shared" si="335"/>
        <v>310.83922572151181</v>
      </c>
      <c r="BM119" s="197">
        <f t="shared" si="336"/>
        <v>45.940363774105144</v>
      </c>
      <c r="BN119" s="199">
        <f t="shared" si="337"/>
        <v>184.99620457632423</v>
      </c>
      <c r="BO119" s="196">
        <f t="shared" si="362"/>
        <v>2041.9697300651937</v>
      </c>
      <c r="BP119" s="197">
        <f t="shared" si="338"/>
        <v>1098.3039799445205</v>
      </c>
      <c r="BQ119" s="197">
        <f t="shared" si="338"/>
        <v>4500.2104510213749</v>
      </c>
      <c r="BR119" s="197">
        <f t="shared" si="338"/>
        <v>-2458.2407209561807</v>
      </c>
      <c r="BS119" s="199">
        <f t="shared" si="338"/>
        <v>-1359.9367410116604</v>
      </c>
      <c r="BT119" s="197"/>
      <c r="BV119" s="900">
        <v>7</v>
      </c>
      <c r="BW119" s="760">
        <f t="shared" si="339"/>
        <v>12.54</v>
      </c>
      <c r="BX119" s="197">
        <f>'Energy Inputs'!$E$58*$BX$109</f>
        <v>144</v>
      </c>
      <c r="BY119" s="197">
        <f t="shared" si="363"/>
        <v>1805.7599999999998</v>
      </c>
      <c r="BZ119" s="197">
        <f>'Margins summary'!$S$14</f>
        <v>175.95</v>
      </c>
      <c r="CA119" s="197">
        <f t="shared" si="340"/>
        <v>1981.7099999999998</v>
      </c>
      <c r="CB119" s="197"/>
      <c r="CC119" s="918">
        <f>'Energy NPV'!U45</f>
        <v>393.31078400000001</v>
      </c>
      <c r="CD119" s="197"/>
      <c r="CE119" s="197">
        <f t="shared" si="341"/>
        <v>393.31078400000001</v>
      </c>
      <c r="CF119" s="197">
        <f t="shared" si="309"/>
        <v>1412.4492159999998</v>
      </c>
      <c r="CG119" s="197">
        <f t="shared" si="310"/>
        <v>1588.3992159999998</v>
      </c>
      <c r="CH119" s="196">
        <f t="shared" si="342"/>
        <v>1427.1183579824678</v>
      </c>
      <c r="CI119" s="197">
        <f t="shared" si="343"/>
        <v>139.05584080221914</v>
      </c>
      <c r="CJ119" s="197">
        <f t="shared" si="344"/>
        <v>310.83922572151181</v>
      </c>
      <c r="CK119" s="197">
        <f t="shared" si="345"/>
        <v>1116.279132260956</v>
      </c>
      <c r="CL119" s="199">
        <f t="shared" si="346"/>
        <v>1255.3349730631751</v>
      </c>
      <c r="CM119" s="196">
        <f t="shared" si="364"/>
        <v>8167.878920260775</v>
      </c>
      <c r="CN119" s="197">
        <f t="shared" si="347"/>
        <v>1098.3039799445205</v>
      </c>
      <c r="CO119" s="197">
        <f t="shared" si="347"/>
        <v>4500.2104510213749</v>
      </c>
      <c r="CP119" s="197">
        <f t="shared" si="347"/>
        <v>3667.6684692394001</v>
      </c>
      <c r="CQ119" s="199">
        <f t="shared" si="347"/>
        <v>4765.9724491839206</v>
      </c>
      <c r="CR119" s="197"/>
      <c r="CT119" s="204">
        <f t="shared" si="365"/>
        <v>7</v>
      </c>
      <c r="CU119" s="760">
        <f t="shared" si="348"/>
        <v>12.54</v>
      </c>
      <c r="CV119" s="197">
        <f>'Energy Inputs'!$E$58*$CV$109</f>
        <v>0</v>
      </c>
      <c r="CW119" s="197">
        <f t="shared" si="366"/>
        <v>0</v>
      </c>
      <c r="CX119" s="197">
        <f>'Margins summary'!$S$14</f>
        <v>175.95</v>
      </c>
      <c r="CY119" s="197">
        <f t="shared" si="349"/>
        <v>175.95</v>
      </c>
      <c r="CZ119" s="197"/>
      <c r="DA119" s="918">
        <f>'Energy NPV'!U45</f>
        <v>393.31078400000001</v>
      </c>
      <c r="DB119" s="197"/>
      <c r="DC119" s="197">
        <f t="shared" si="350"/>
        <v>393.31078400000001</v>
      </c>
      <c r="DD119" s="197">
        <f t="shared" si="311"/>
        <v>-393.31078400000001</v>
      </c>
      <c r="DE119" s="197">
        <f t="shared" si="312"/>
        <v>-217.36078400000002</v>
      </c>
      <c r="DF119" s="196">
        <f t="shared" si="351"/>
        <v>0</v>
      </c>
      <c r="DG119" s="197">
        <f t="shared" si="352"/>
        <v>139.05584080221914</v>
      </c>
      <c r="DH119" s="197">
        <f t="shared" si="353"/>
        <v>310.83922572151181</v>
      </c>
      <c r="DI119" s="197">
        <f t="shared" si="354"/>
        <v>-310.83922572151181</v>
      </c>
      <c r="DJ119" s="199">
        <f t="shared" si="355"/>
        <v>-171.78338491929267</v>
      </c>
      <c r="DK119" s="196">
        <f t="shared" si="367"/>
        <v>0</v>
      </c>
      <c r="DL119" s="197">
        <f t="shared" si="356"/>
        <v>1098.3039799445205</v>
      </c>
      <c r="DM119" s="197">
        <f t="shared" si="356"/>
        <v>4500.2104510213749</v>
      </c>
      <c r="DN119" s="197">
        <f t="shared" si="356"/>
        <v>-4500.2104510213749</v>
      </c>
      <c r="DO119" s="199">
        <f t="shared" si="356"/>
        <v>-3401.9064710768539</v>
      </c>
    </row>
    <row r="120" spans="2:119" x14ac:dyDescent="0.3">
      <c r="B120" s="900">
        <v>8</v>
      </c>
      <c r="C120" s="760">
        <f>'Energy NPV'!$D46</f>
        <v>12.54</v>
      </c>
      <c r="D120" s="197">
        <f>'Energy Inputs'!$E$58*$E$109</f>
        <v>72</v>
      </c>
      <c r="E120" s="197">
        <f t="shared" si="357"/>
        <v>902.87999999999988</v>
      </c>
      <c r="F120" s="197">
        <f>'Margins summary'!$S$14</f>
        <v>175.95</v>
      </c>
      <c r="G120" s="197">
        <f t="shared" si="313"/>
        <v>1078.83</v>
      </c>
      <c r="H120" s="197"/>
      <c r="I120" s="918">
        <f>'Energy NPV'!U46</f>
        <v>393.31078400000001</v>
      </c>
      <c r="J120" s="197"/>
      <c r="K120" s="197">
        <f t="shared" si="314"/>
        <v>393.31078400000001</v>
      </c>
      <c r="L120" s="197">
        <f t="shared" si="303"/>
        <v>509.56921599999987</v>
      </c>
      <c r="M120" s="197">
        <f t="shared" si="304"/>
        <v>685.51921599999991</v>
      </c>
      <c r="N120" s="196">
        <f t="shared" si="315"/>
        <v>686.11459518387881</v>
      </c>
      <c r="O120" s="197">
        <f t="shared" si="316"/>
        <v>133.70753923290303</v>
      </c>
      <c r="P120" s="197">
        <f t="shared" si="317"/>
        <v>298.88387088606908</v>
      </c>
      <c r="Q120" s="197">
        <f t="shared" si="318"/>
        <v>387.23072429780973</v>
      </c>
      <c r="R120" s="199">
        <f t="shared" si="319"/>
        <v>520.93826353071279</v>
      </c>
      <c r="S120" s="196">
        <f t="shared" si="358"/>
        <v>4770.0540553142664</v>
      </c>
      <c r="T120" s="197">
        <f t="shared" si="320"/>
        <v>1232.0115191774235</v>
      </c>
      <c r="U120" s="197">
        <f t="shared" si="320"/>
        <v>4799.0943219074443</v>
      </c>
      <c r="V120" s="197">
        <f t="shared" si="320"/>
        <v>-29.040266593177876</v>
      </c>
      <c r="W120" s="199">
        <f t="shared" si="320"/>
        <v>1202.971252584246</v>
      </c>
      <c r="X120" s="197"/>
      <c r="Z120" s="900">
        <v>8</v>
      </c>
      <c r="AA120" s="760">
        <f t="shared" si="321"/>
        <v>12.54</v>
      </c>
      <c r="AB120" s="197">
        <f>'Energy Inputs'!$E$58*$AB$109</f>
        <v>108</v>
      </c>
      <c r="AC120" s="197">
        <f t="shared" si="359"/>
        <v>1354.32</v>
      </c>
      <c r="AD120" s="197">
        <f>'Margins summary'!$S$14</f>
        <v>175.95</v>
      </c>
      <c r="AE120" s="197">
        <f t="shared" si="322"/>
        <v>1530.27</v>
      </c>
      <c r="AF120" s="197"/>
      <c r="AG120" s="197">
        <f>'Energy NPV'!U46</f>
        <v>393.31078400000001</v>
      </c>
      <c r="AH120" s="197"/>
      <c r="AI120" s="197">
        <f t="shared" si="323"/>
        <v>393.31078400000001</v>
      </c>
      <c r="AJ120" s="197">
        <f t="shared" si="305"/>
        <v>961.00921599999992</v>
      </c>
      <c r="AK120" s="197">
        <f t="shared" si="306"/>
        <v>1136.959216</v>
      </c>
      <c r="AL120" s="196">
        <f t="shared" si="324"/>
        <v>1029.1718927758182</v>
      </c>
      <c r="AM120" s="197">
        <f t="shared" si="325"/>
        <v>133.70753923290303</v>
      </c>
      <c r="AN120" s="197">
        <f t="shared" si="326"/>
        <v>298.88387088606908</v>
      </c>
      <c r="AO120" s="197">
        <f t="shared" si="327"/>
        <v>730.28802188974919</v>
      </c>
      <c r="AP120" s="199">
        <f t="shared" si="328"/>
        <v>863.99556112265225</v>
      </c>
      <c r="AQ120" s="196">
        <f t="shared" si="360"/>
        <v>7155.0810829714001</v>
      </c>
      <c r="AR120" s="197">
        <f t="shared" si="329"/>
        <v>1232.0115191774235</v>
      </c>
      <c r="AS120" s="197">
        <f t="shared" si="329"/>
        <v>4799.0943219074443</v>
      </c>
      <c r="AT120" s="197">
        <f t="shared" si="329"/>
        <v>2355.9867610639562</v>
      </c>
      <c r="AU120" s="199">
        <f t="shared" si="329"/>
        <v>3587.9982802413797</v>
      </c>
      <c r="AV120" s="197"/>
      <c r="AX120" s="900">
        <v>8</v>
      </c>
      <c r="AY120" s="760">
        <f t="shared" si="330"/>
        <v>12.54</v>
      </c>
      <c r="AZ120" s="197">
        <f>'Energy Inputs'!$E$58*$AZ$109</f>
        <v>36</v>
      </c>
      <c r="BA120" s="197">
        <f t="shared" si="361"/>
        <v>451.43999999999994</v>
      </c>
      <c r="BB120" s="197">
        <f>'Margins summary'!$S$14</f>
        <v>175.95</v>
      </c>
      <c r="BC120" s="197">
        <f t="shared" si="331"/>
        <v>627.38999999999987</v>
      </c>
      <c r="BD120" s="197"/>
      <c r="BE120" s="918">
        <f>'Energy NPV'!U46</f>
        <v>393.31078400000001</v>
      </c>
      <c r="BF120" s="197"/>
      <c r="BG120" s="197">
        <f t="shared" si="332"/>
        <v>393.31078400000001</v>
      </c>
      <c r="BH120" s="197">
        <f t="shared" si="307"/>
        <v>58.129215999999928</v>
      </c>
      <c r="BI120" s="197">
        <f t="shared" si="308"/>
        <v>234.07921599999986</v>
      </c>
      <c r="BJ120" s="196">
        <f t="shared" si="333"/>
        <v>343.0572975919394</v>
      </c>
      <c r="BK120" s="197">
        <f t="shared" si="334"/>
        <v>133.70753923290303</v>
      </c>
      <c r="BL120" s="197">
        <f t="shared" si="335"/>
        <v>298.88387088606908</v>
      </c>
      <c r="BM120" s="197">
        <f t="shared" si="336"/>
        <v>44.173426705870334</v>
      </c>
      <c r="BN120" s="199">
        <f t="shared" si="337"/>
        <v>177.8809659387733</v>
      </c>
      <c r="BO120" s="196">
        <f t="shared" si="362"/>
        <v>2385.0270276571332</v>
      </c>
      <c r="BP120" s="197">
        <f t="shared" si="338"/>
        <v>1232.0115191774235</v>
      </c>
      <c r="BQ120" s="197">
        <f t="shared" si="338"/>
        <v>4799.0943219074443</v>
      </c>
      <c r="BR120" s="197">
        <f t="shared" si="338"/>
        <v>-2414.0672942503102</v>
      </c>
      <c r="BS120" s="199">
        <f t="shared" si="338"/>
        <v>-1182.0557750728872</v>
      </c>
      <c r="BT120" s="197"/>
      <c r="BV120" s="900">
        <v>8</v>
      </c>
      <c r="BW120" s="760">
        <f t="shared" si="339"/>
        <v>12.54</v>
      </c>
      <c r="BX120" s="197">
        <f>'Energy Inputs'!$E$58*$BX$109</f>
        <v>144</v>
      </c>
      <c r="BY120" s="197">
        <f t="shared" si="363"/>
        <v>1805.7599999999998</v>
      </c>
      <c r="BZ120" s="197">
        <f>'Margins summary'!$S$14</f>
        <v>175.95</v>
      </c>
      <c r="CA120" s="197">
        <f t="shared" si="340"/>
        <v>1981.7099999999998</v>
      </c>
      <c r="CB120" s="197"/>
      <c r="CC120" s="918">
        <f>'Energy NPV'!U46</f>
        <v>393.31078400000001</v>
      </c>
      <c r="CD120" s="197"/>
      <c r="CE120" s="197">
        <f t="shared" si="341"/>
        <v>393.31078400000001</v>
      </c>
      <c r="CF120" s="197">
        <f t="shared" si="309"/>
        <v>1412.4492159999998</v>
      </c>
      <c r="CG120" s="197">
        <f t="shared" si="310"/>
        <v>1588.3992159999998</v>
      </c>
      <c r="CH120" s="196">
        <f t="shared" si="342"/>
        <v>1372.2291903677576</v>
      </c>
      <c r="CI120" s="197">
        <f t="shared" si="343"/>
        <v>133.70753923290303</v>
      </c>
      <c r="CJ120" s="197">
        <f t="shared" si="344"/>
        <v>298.88387088606908</v>
      </c>
      <c r="CK120" s="197">
        <f t="shared" si="345"/>
        <v>1073.3453194816884</v>
      </c>
      <c r="CL120" s="199">
        <f t="shared" si="346"/>
        <v>1207.0528587145916</v>
      </c>
      <c r="CM120" s="196">
        <f t="shared" si="364"/>
        <v>9540.1081106285328</v>
      </c>
      <c r="CN120" s="197">
        <f t="shared" si="347"/>
        <v>1232.0115191774235</v>
      </c>
      <c r="CO120" s="197">
        <f t="shared" si="347"/>
        <v>4799.0943219074443</v>
      </c>
      <c r="CP120" s="197">
        <f t="shared" si="347"/>
        <v>4741.0137887210885</v>
      </c>
      <c r="CQ120" s="199">
        <f t="shared" si="347"/>
        <v>5973.0253078985124</v>
      </c>
      <c r="CR120" s="197"/>
      <c r="CT120" s="204">
        <f t="shared" si="365"/>
        <v>8</v>
      </c>
      <c r="CU120" s="760">
        <f t="shared" si="348"/>
        <v>12.54</v>
      </c>
      <c r="CV120" s="197">
        <f>'Energy Inputs'!$E$58*$CV$109</f>
        <v>0</v>
      </c>
      <c r="CW120" s="197">
        <f t="shared" si="366"/>
        <v>0</v>
      </c>
      <c r="CX120" s="197">
        <f>'Margins summary'!$S$14</f>
        <v>175.95</v>
      </c>
      <c r="CY120" s="197">
        <f t="shared" si="349"/>
        <v>175.95</v>
      </c>
      <c r="CZ120" s="197"/>
      <c r="DA120" s="918">
        <f>'Energy NPV'!U46</f>
        <v>393.31078400000001</v>
      </c>
      <c r="DB120" s="197"/>
      <c r="DC120" s="197">
        <f t="shared" si="350"/>
        <v>393.31078400000001</v>
      </c>
      <c r="DD120" s="197">
        <f t="shared" si="311"/>
        <v>-393.31078400000001</v>
      </c>
      <c r="DE120" s="197">
        <f t="shared" si="312"/>
        <v>-217.36078400000002</v>
      </c>
      <c r="DF120" s="196">
        <f t="shared" si="351"/>
        <v>0</v>
      </c>
      <c r="DG120" s="197">
        <f t="shared" si="352"/>
        <v>133.70753923290303</v>
      </c>
      <c r="DH120" s="197">
        <f t="shared" si="353"/>
        <v>298.88387088606908</v>
      </c>
      <c r="DI120" s="197">
        <f t="shared" si="354"/>
        <v>-298.88387088606908</v>
      </c>
      <c r="DJ120" s="199">
        <f t="shared" si="355"/>
        <v>-165.17633165316605</v>
      </c>
      <c r="DK120" s="196">
        <f t="shared" si="367"/>
        <v>0</v>
      </c>
      <c r="DL120" s="197">
        <f t="shared" si="356"/>
        <v>1232.0115191774235</v>
      </c>
      <c r="DM120" s="197">
        <f t="shared" si="356"/>
        <v>4799.0943219074443</v>
      </c>
      <c r="DN120" s="197">
        <f t="shared" si="356"/>
        <v>-4799.0943219074443</v>
      </c>
      <c r="DO120" s="199">
        <f t="shared" si="356"/>
        <v>-3567.0828027300199</v>
      </c>
    </row>
    <row r="121" spans="2:119" x14ac:dyDescent="0.3">
      <c r="B121" s="900">
        <v>9</v>
      </c>
      <c r="C121" s="760">
        <f>'Energy NPV'!$D47</f>
        <v>12.54</v>
      </c>
      <c r="D121" s="197">
        <f>'Energy Inputs'!$E$58*$E$109</f>
        <v>72</v>
      </c>
      <c r="E121" s="197">
        <f t="shared" si="357"/>
        <v>902.87999999999988</v>
      </c>
      <c r="F121" s="197">
        <f>'Margins summary'!$S$14</f>
        <v>175.95</v>
      </c>
      <c r="G121" s="197">
        <f t="shared" si="313"/>
        <v>1078.83</v>
      </c>
      <c r="H121" s="197"/>
      <c r="I121" s="918">
        <f>'Energy NPV'!U47</f>
        <v>393.31078400000001</v>
      </c>
      <c r="J121" s="197"/>
      <c r="K121" s="197">
        <f t="shared" si="314"/>
        <v>393.31078400000001</v>
      </c>
      <c r="L121" s="197">
        <f t="shared" si="303"/>
        <v>509.56921599999987</v>
      </c>
      <c r="M121" s="197">
        <f t="shared" si="304"/>
        <v>685.51921599999991</v>
      </c>
      <c r="N121" s="196">
        <f t="shared" si="315"/>
        <v>659.72557229219103</v>
      </c>
      <c r="O121" s="197">
        <f t="shared" si="316"/>
        <v>128.56494157009902</v>
      </c>
      <c r="P121" s="197">
        <f t="shared" si="317"/>
        <v>287.38833739045094</v>
      </c>
      <c r="Q121" s="197">
        <f t="shared" si="318"/>
        <v>372.33723490174003</v>
      </c>
      <c r="R121" s="199">
        <f t="shared" si="319"/>
        <v>500.90217647183914</v>
      </c>
      <c r="S121" s="196">
        <f t="shared" si="358"/>
        <v>5429.7796276064573</v>
      </c>
      <c r="T121" s="197">
        <f t="shared" si="320"/>
        <v>1360.5764607475226</v>
      </c>
      <c r="U121" s="197">
        <f t="shared" si="320"/>
        <v>5086.4826592978952</v>
      </c>
      <c r="V121" s="197">
        <f t="shared" si="320"/>
        <v>343.29696830856216</v>
      </c>
      <c r="W121" s="199">
        <f t="shared" si="320"/>
        <v>1703.8734290560851</v>
      </c>
      <c r="X121" s="197"/>
      <c r="Z121" s="900">
        <v>9</v>
      </c>
      <c r="AA121" s="760">
        <f t="shared" si="321"/>
        <v>12.54</v>
      </c>
      <c r="AB121" s="197">
        <f>'Energy Inputs'!$E$58*$AB$109</f>
        <v>108</v>
      </c>
      <c r="AC121" s="197">
        <f t="shared" si="359"/>
        <v>1354.32</v>
      </c>
      <c r="AD121" s="197">
        <f>'Margins summary'!$S$14</f>
        <v>175.95</v>
      </c>
      <c r="AE121" s="197">
        <f t="shared" si="322"/>
        <v>1530.27</v>
      </c>
      <c r="AF121" s="197"/>
      <c r="AG121" s="197">
        <f>'Energy NPV'!U47</f>
        <v>393.31078400000001</v>
      </c>
      <c r="AH121" s="197"/>
      <c r="AI121" s="197">
        <f t="shared" si="323"/>
        <v>393.31078400000001</v>
      </c>
      <c r="AJ121" s="197">
        <f t="shared" si="305"/>
        <v>961.00921599999992</v>
      </c>
      <c r="AK121" s="197">
        <f t="shared" si="306"/>
        <v>1136.959216</v>
      </c>
      <c r="AL121" s="196">
        <f t="shared" si="324"/>
        <v>989.5883584382866</v>
      </c>
      <c r="AM121" s="197">
        <f t="shared" si="325"/>
        <v>128.56494157009902</v>
      </c>
      <c r="AN121" s="197">
        <f t="shared" si="326"/>
        <v>287.38833739045094</v>
      </c>
      <c r="AO121" s="197">
        <f t="shared" si="327"/>
        <v>702.20002104783566</v>
      </c>
      <c r="AP121" s="199">
        <f t="shared" si="328"/>
        <v>830.76496261793477</v>
      </c>
      <c r="AQ121" s="196">
        <f t="shared" si="360"/>
        <v>8144.6694414096864</v>
      </c>
      <c r="AR121" s="197">
        <f t="shared" si="329"/>
        <v>1360.5764607475226</v>
      </c>
      <c r="AS121" s="197">
        <f t="shared" si="329"/>
        <v>5086.4826592978952</v>
      </c>
      <c r="AT121" s="197">
        <f t="shared" si="329"/>
        <v>3058.1867821117921</v>
      </c>
      <c r="AU121" s="199">
        <f t="shared" si="329"/>
        <v>4418.7632428593142</v>
      </c>
      <c r="AV121" s="197"/>
      <c r="AX121" s="900">
        <v>9</v>
      </c>
      <c r="AY121" s="760">
        <f t="shared" si="330"/>
        <v>12.54</v>
      </c>
      <c r="AZ121" s="197">
        <f>'Energy Inputs'!$E$58*$AZ$109</f>
        <v>36</v>
      </c>
      <c r="BA121" s="197">
        <f t="shared" si="361"/>
        <v>451.43999999999994</v>
      </c>
      <c r="BB121" s="197">
        <f>'Margins summary'!$S$14</f>
        <v>175.95</v>
      </c>
      <c r="BC121" s="197">
        <f t="shared" si="331"/>
        <v>627.38999999999987</v>
      </c>
      <c r="BD121" s="197"/>
      <c r="BE121" s="918">
        <f>'Energy NPV'!U47</f>
        <v>393.31078400000001</v>
      </c>
      <c r="BF121" s="197"/>
      <c r="BG121" s="197">
        <f t="shared" si="332"/>
        <v>393.31078400000001</v>
      </c>
      <c r="BH121" s="197">
        <f t="shared" si="307"/>
        <v>58.129215999999928</v>
      </c>
      <c r="BI121" s="197">
        <f t="shared" si="308"/>
        <v>234.07921599999986</v>
      </c>
      <c r="BJ121" s="196">
        <f t="shared" si="333"/>
        <v>329.86278614609552</v>
      </c>
      <c r="BK121" s="197">
        <f t="shared" si="334"/>
        <v>128.56494157009902</v>
      </c>
      <c r="BL121" s="197">
        <f t="shared" si="335"/>
        <v>287.38833739045094</v>
      </c>
      <c r="BM121" s="197">
        <f t="shared" si="336"/>
        <v>42.474448755644545</v>
      </c>
      <c r="BN121" s="199">
        <f t="shared" si="337"/>
        <v>171.03939032574354</v>
      </c>
      <c r="BO121" s="196">
        <f t="shared" si="362"/>
        <v>2714.8898138032287</v>
      </c>
      <c r="BP121" s="197">
        <f t="shared" si="338"/>
        <v>1360.5764607475226</v>
      </c>
      <c r="BQ121" s="197">
        <f t="shared" si="338"/>
        <v>5086.4826592978952</v>
      </c>
      <c r="BR121" s="197">
        <f t="shared" si="338"/>
        <v>-2371.5928454946657</v>
      </c>
      <c r="BS121" s="199">
        <f t="shared" si="338"/>
        <v>-1011.0163847471437</v>
      </c>
      <c r="BT121" s="197"/>
      <c r="BV121" s="900">
        <v>9</v>
      </c>
      <c r="BW121" s="760">
        <f t="shared" si="339"/>
        <v>12.54</v>
      </c>
      <c r="BX121" s="197">
        <f>'Energy Inputs'!$E$58*$BX$109</f>
        <v>144</v>
      </c>
      <c r="BY121" s="197">
        <f t="shared" si="363"/>
        <v>1805.7599999999998</v>
      </c>
      <c r="BZ121" s="197">
        <f>'Margins summary'!$S$14</f>
        <v>175.95</v>
      </c>
      <c r="CA121" s="197">
        <f t="shared" si="340"/>
        <v>1981.7099999999998</v>
      </c>
      <c r="CB121" s="197"/>
      <c r="CC121" s="918">
        <f>'Energy NPV'!U47</f>
        <v>393.31078400000001</v>
      </c>
      <c r="CD121" s="197"/>
      <c r="CE121" s="197">
        <f t="shared" si="341"/>
        <v>393.31078400000001</v>
      </c>
      <c r="CF121" s="197">
        <f t="shared" si="309"/>
        <v>1412.4492159999998</v>
      </c>
      <c r="CG121" s="197">
        <f t="shared" si="310"/>
        <v>1588.3992159999998</v>
      </c>
      <c r="CH121" s="196">
        <f t="shared" si="342"/>
        <v>1319.4511445843821</v>
      </c>
      <c r="CI121" s="197">
        <f t="shared" si="343"/>
        <v>128.56494157009902</v>
      </c>
      <c r="CJ121" s="197">
        <f t="shared" si="344"/>
        <v>287.38833739045094</v>
      </c>
      <c r="CK121" s="197">
        <f t="shared" si="345"/>
        <v>1032.0628071939311</v>
      </c>
      <c r="CL121" s="199">
        <f t="shared" si="346"/>
        <v>1160.6277487640302</v>
      </c>
      <c r="CM121" s="196">
        <f t="shared" si="364"/>
        <v>10859.559255212915</v>
      </c>
      <c r="CN121" s="197">
        <f t="shared" si="347"/>
        <v>1360.5764607475226</v>
      </c>
      <c r="CO121" s="197">
        <f t="shared" si="347"/>
        <v>5086.4826592978952</v>
      </c>
      <c r="CP121" s="197">
        <f t="shared" si="347"/>
        <v>5773.0765959150194</v>
      </c>
      <c r="CQ121" s="199">
        <f t="shared" si="347"/>
        <v>7133.6530566625424</v>
      </c>
      <c r="CR121" s="197"/>
      <c r="CT121" s="204">
        <f t="shared" si="365"/>
        <v>9</v>
      </c>
      <c r="CU121" s="760">
        <f t="shared" si="348"/>
        <v>12.54</v>
      </c>
      <c r="CV121" s="197">
        <f>'Energy Inputs'!$E$58*$CV$109</f>
        <v>0</v>
      </c>
      <c r="CW121" s="197">
        <f t="shared" si="366"/>
        <v>0</v>
      </c>
      <c r="CX121" s="197">
        <f>'Margins summary'!$S$14</f>
        <v>175.95</v>
      </c>
      <c r="CY121" s="197">
        <f t="shared" si="349"/>
        <v>175.95</v>
      </c>
      <c r="CZ121" s="197"/>
      <c r="DA121" s="918">
        <f>'Energy NPV'!U47</f>
        <v>393.31078400000001</v>
      </c>
      <c r="DB121" s="197"/>
      <c r="DC121" s="197">
        <f t="shared" si="350"/>
        <v>393.31078400000001</v>
      </c>
      <c r="DD121" s="197">
        <f t="shared" si="311"/>
        <v>-393.31078400000001</v>
      </c>
      <c r="DE121" s="197">
        <f t="shared" si="312"/>
        <v>-217.36078400000002</v>
      </c>
      <c r="DF121" s="196">
        <f t="shared" si="351"/>
        <v>0</v>
      </c>
      <c r="DG121" s="197">
        <f t="shared" si="352"/>
        <v>128.56494157009902</v>
      </c>
      <c r="DH121" s="197">
        <f t="shared" si="353"/>
        <v>287.38833739045094</v>
      </c>
      <c r="DI121" s="197">
        <f t="shared" si="354"/>
        <v>-287.38833739045094</v>
      </c>
      <c r="DJ121" s="199">
        <f t="shared" si="355"/>
        <v>-158.82339582035192</v>
      </c>
      <c r="DK121" s="196">
        <f t="shared" si="367"/>
        <v>0</v>
      </c>
      <c r="DL121" s="197">
        <f t="shared" si="356"/>
        <v>1360.5764607475226</v>
      </c>
      <c r="DM121" s="197">
        <f t="shared" si="356"/>
        <v>5086.4826592978952</v>
      </c>
      <c r="DN121" s="197">
        <f t="shared" si="356"/>
        <v>-5086.4826592978952</v>
      </c>
      <c r="DO121" s="199">
        <f t="shared" si="356"/>
        <v>-3725.9061985503718</v>
      </c>
    </row>
    <row r="122" spans="2:119" x14ac:dyDescent="0.3">
      <c r="B122" s="900">
        <v>10</v>
      </c>
      <c r="C122" s="760">
        <f>'Energy NPV'!$D48</f>
        <v>12.54</v>
      </c>
      <c r="D122" s="197">
        <f>'Energy Inputs'!$E$58*$E$109</f>
        <v>72</v>
      </c>
      <c r="E122" s="197">
        <f t="shared" si="357"/>
        <v>902.87999999999988</v>
      </c>
      <c r="F122" s="197">
        <f>'Margins summary'!$S$14</f>
        <v>175.95</v>
      </c>
      <c r="G122" s="197">
        <f t="shared" si="313"/>
        <v>1078.83</v>
      </c>
      <c r="H122" s="197"/>
      <c r="I122" s="918">
        <f>'Energy NPV'!U48</f>
        <v>393.31078400000001</v>
      </c>
      <c r="J122" s="197"/>
      <c r="K122" s="197">
        <f t="shared" si="314"/>
        <v>393.31078400000001</v>
      </c>
      <c r="L122" s="197">
        <f t="shared" si="303"/>
        <v>509.56921599999987</v>
      </c>
      <c r="M122" s="197">
        <f t="shared" si="304"/>
        <v>685.51921599999991</v>
      </c>
      <c r="N122" s="196">
        <f t="shared" si="315"/>
        <v>634.35151181941444</v>
      </c>
      <c r="O122" s="197">
        <f t="shared" si="316"/>
        <v>123.62013612509521</v>
      </c>
      <c r="P122" s="197">
        <f t="shared" si="317"/>
        <v>276.3349397985105</v>
      </c>
      <c r="Q122" s="197">
        <f t="shared" si="318"/>
        <v>358.01657202090388</v>
      </c>
      <c r="R122" s="199">
        <f t="shared" si="319"/>
        <v>481.63670814599914</v>
      </c>
      <c r="S122" s="196">
        <f t="shared" si="358"/>
        <v>6064.1311394258719</v>
      </c>
      <c r="T122" s="197">
        <f t="shared" si="320"/>
        <v>1484.1965968726179</v>
      </c>
      <c r="U122" s="197">
        <f t="shared" si="320"/>
        <v>5362.8175990964055</v>
      </c>
      <c r="V122" s="197">
        <f t="shared" si="320"/>
        <v>701.31354032946604</v>
      </c>
      <c r="W122" s="199">
        <f t="shared" si="320"/>
        <v>2185.5101372020845</v>
      </c>
      <c r="X122" s="197"/>
      <c r="Z122" s="900">
        <v>10</v>
      </c>
      <c r="AA122" s="760">
        <f t="shared" si="321"/>
        <v>12.54</v>
      </c>
      <c r="AB122" s="197">
        <f>'Energy Inputs'!$E$58*$AB$109</f>
        <v>108</v>
      </c>
      <c r="AC122" s="197">
        <f t="shared" si="359"/>
        <v>1354.32</v>
      </c>
      <c r="AD122" s="197">
        <f>'Margins summary'!$S$14</f>
        <v>175.95</v>
      </c>
      <c r="AE122" s="197">
        <f t="shared" si="322"/>
        <v>1530.27</v>
      </c>
      <c r="AF122" s="197"/>
      <c r="AG122" s="197">
        <f>'Energy NPV'!U48</f>
        <v>393.31078400000001</v>
      </c>
      <c r="AH122" s="197"/>
      <c r="AI122" s="197">
        <f t="shared" si="323"/>
        <v>393.31078400000001</v>
      </c>
      <c r="AJ122" s="197">
        <f t="shared" si="305"/>
        <v>961.00921599999992</v>
      </c>
      <c r="AK122" s="197">
        <f t="shared" si="306"/>
        <v>1136.959216</v>
      </c>
      <c r="AL122" s="196">
        <f t="shared" si="324"/>
        <v>951.52726772912172</v>
      </c>
      <c r="AM122" s="197">
        <f t="shared" si="325"/>
        <v>123.62013612509521</v>
      </c>
      <c r="AN122" s="197">
        <f t="shared" si="326"/>
        <v>276.3349397985105</v>
      </c>
      <c r="AO122" s="197">
        <f t="shared" si="327"/>
        <v>675.1923279306111</v>
      </c>
      <c r="AP122" s="199">
        <f t="shared" si="328"/>
        <v>798.81246405570641</v>
      </c>
      <c r="AQ122" s="196">
        <f t="shared" si="360"/>
        <v>9096.1967091388087</v>
      </c>
      <c r="AR122" s="197">
        <f t="shared" si="329"/>
        <v>1484.1965968726179</v>
      </c>
      <c r="AS122" s="197">
        <f t="shared" si="329"/>
        <v>5362.8175990964055</v>
      </c>
      <c r="AT122" s="197">
        <f t="shared" si="329"/>
        <v>3733.3791100424032</v>
      </c>
      <c r="AU122" s="199">
        <f t="shared" si="329"/>
        <v>5217.5757069150204</v>
      </c>
      <c r="AV122" s="197"/>
      <c r="AX122" s="900">
        <v>10</v>
      </c>
      <c r="AY122" s="760">
        <f t="shared" si="330"/>
        <v>12.54</v>
      </c>
      <c r="AZ122" s="197">
        <f>'Energy Inputs'!$E$58*$AZ$109</f>
        <v>36</v>
      </c>
      <c r="BA122" s="197">
        <f t="shared" si="361"/>
        <v>451.43999999999994</v>
      </c>
      <c r="BB122" s="197">
        <f>'Margins summary'!$S$14</f>
        <v>175.95</v>
      </c>
      <c r="BC122" s="197">
        <f t="shared" si="331"/>
        <v>627.38999999999987</v>
      </c>
      <c r="BD122" s="197"/>
      <c r="BE122" s="918">
        <f>'Energy NPV'!U48</f>
        <v>393.31078400000001</v>
      </c>
      <c r="BF122" s="197"/>
      <c r="BG122" s="197">
        <f t="shared" si="332"/>
        <v>393.31078400000001</v>
      </c>
      <c r="BH122" s="197">
        <f t="shared" si="307"/>
        <v>58.129215999999928</v>
      </c>
      <c r="BI122" s="197">
        <f t="shared" si="308"/>
        <v>234.07921599999986</v>
      </c>
      <c r="BJ122" s="196">
        <f t="shared" si="333"/>
        <v>317.17575590970722</v>
      </c>
      <c r="BK122" s="197">
        <f t="shared" si="334"/>
        <v>123.62013612509521</v>
      </c>
      <c r="BL122" s="197">
        <f t="shared" si="335"/>
        <v>276.3349397985105</v>
      </c>
      <c r="BM122" s="197">
        <f t="shared" si="336"/>
        <v>40.840816111196673</v>
      </c>
      <c r="BN122" s="199">
        <f t="shared" si="337"/>
        <v>164.46095223629186</v>
      </c>
      <c r="BO122" s="196">
        <f t="shared" si="362"/>
        <v>3032.0655697129359</v>
      </c>
      <c r="BP122" s="197">
        <f t="shared" si="338"/>
        <v>1484.1965968726179</v>
      </c>
      <c r="BQ122" s="197">
        <f t="shared" si="338"/>
        <v>5362.8175990964055</v>
      </c>
      <c r="BR122" s="197">
        <f t="shared" si="338"/>
        <v>-2330.7520293834691</v>
      </c>
      <c r="BS122" s="199">
        <f t="shared" si="338"/>
        <v>-846.5554325108518</v>
      </c>
      <c r="BT122" s="197"/>
      <c r="BV122" s="900">
        <v>10</v>
      </c>
      <c r="BW122" s="760">
        <f t="shared" si="339"/>
        <v>12.54</v>
      </c>
      <c r="BX122" s="197">
        <f>'Energy Inputs'!$E$58*$BX$109</f>
        <v>144</v>
      </c>
      <c r="BY122" s="197">
        <f t="shared" si="363"/>
        <v>1805.7599999999998</v>
      </c>
      <c r="BZ122" s="197">
        <f>'Margins summary'!$S$14</f>
        <v>175.95</v>
      </c>
      <c r="CA122" s="197">
        <f t="shared" si="340"/>
        <v>1981.7099999999998</v>
      </c>
      <c r="CB122" s="197"/>
      <c r="CC122" s="918">
        <f>'Energy NPV'!U48</f>
        <v>393.31078400000001</v>
      </c>
      <c r="CD122" s="197"/>
      <c r="CE122" s="197">
        <f t="shared" si="341"/>
        <v>393.31078400000001</v>
      </c>
      <c r="CF122" s="197">
        <f t="shared" si="309"/>
        <v>1412.4492159999998</v>
      </c>
      <c r="CG122" s="197">
        <f t="shared" si="310"/>
        <v>1588.3992159999998</v>
      </c>
      <c r="CH122" s="196">
        <f t="shared" si="342"/>
        <v>1268.7030236388289</v>
      </c>
      <c r="CI122" s="197">
        <f t="shared" si="343"/>
        <v>123.62013612509521</v>
      </c>
      <c r="CJ122" s="197">
        <f t="shared" si="344"/>
        <v>276.3349397985105</v>
      </c>
      <c r="CK122" s="197">
        <f t="shared" si="345"/>
        <v>992.36808384031826</v>
      </c>
      <c r="CL122" s="199">
        <f t="shared" si="346"/>
        <v>1115.9882199654135</v>
      </c>
      <c r="CM122" s="196">
        <f t="shared" si="364"/>
        <v>12128.262278851744</v>
      </c>
      <c r="CN122" s="197">
        <f t="shared" si="347"/>
        <v>1484.1965968726179</v>
      </c>
      <c r="CO122" s="197">
        <f t="shared" si="347"/>
        <v>5362.8175990964055</v>
      </c>
      <c r="CP122" s="197">
        <f t="shared" si="347"/>
        <v>6765.4446797553373</v>
      </c>
      <c r="CQ122" s="199">
        <f t="shared" si="347"/>
        <v>8249.6412766279554</v>
      </c>
      <c r="CR122" s="197"/>
      <c r="CT122" s="204">
        <f t="shared" si="365"/>
        <v>10</v>
      </c>
      <c r="CU122" s="760">
        <f t="shared" si="348"/>
        <v>12.54</v>
      </c>
      <c r="CV122" s="197">
        <f>'Energy Inputs'!$E$58*$CV$109</f>
        <v>0</v>
      </c>
      <c r="CW122" s="197">
        <f t="shared" si="366"/>
        <v>0</v>
      </c>
      <c r="CX122" s="197">
        <f>'Margins summary'!$S$14</f>
        <v>175.95</v>
      </c>
      <c r="CY122" s="197">
        <f t="shared" si="349"/>
        <v>175.95</v>
      </c>
      <c r="CZ122" s="197"/>
      <c r="DA122" s="918">
        <f>'Energy NPV'!U48</f>
        <v>393.31078400000001</v>
      </c>
      <c r="DB122" s="197"/>
      <c r="DC122" s="197">
        <f t="shared" si="350"/>
        <v>393.31078400000001</v>
      </c>
      <c r="DD122" s="197">
        <f t="shared" si="311"/>
        <v>-393.31078400000001</v>
      </c>
      <c r="DE122" s="197">
        <f t="shared" si="312"/>
        <v>-217.36078400000002</v>
      </c>
      <c r="DF122" s="196">
        <f t="shared" si="351"/>
        <v>0</v>
      </c>
      <c r="DG122" s="197">
        <f t="shared" si="352"/>
        <v>123.62013612509521</v>
      </c>
      <c r="DH122" s="197">
        <f t="shared" si="353"/>
        <v>276.3349397985105</v>
      </c>
      <c r="DI122" s="197">
        <f t="shared" si="354"/>
        <v>-276.3349397985105</v>
      </c>
      <c r="DJ122" s="199">
        <f t="shared" si="355"/>
        <v>-152.7148036734153</v>
      </c>
      <c r="DK122" s="196">
        <f t="shared" si="367"/>
        <v>0</v>
      </c>
      <c r="DL122" s="197">
        <f t="shared" si="356"/>
        <v>1484.1965968726179</v>
      </c>
      <c r="DM122" s="197">
        <f t="shared" si="356"/>
        <v>5362.8175990964055</v>
      </c>
      <c r="DN122" s="197">
        <f t="shared" si="356"/>
        <v>-5362.8175990964055</v>
      </c>
      <c r="DO122" s="199">
        <f t="shared" si="356"/>
        <v>-3878.6210022237869</v>
      </c>
    </row>
    <row r="123" spans="2:119" x14ac:dyDescent="0.3">
      <c r="B123" s="900">
        <v>11</v>
      </c>
      <c r="C123" s="760">
        <f>'Energy NPV'!$D49</f>
        <v>12.54</v>
      </c>
      <c r="D123" s="197">
        <f>'Energy Inputs'!$E$58*$E$109</f>
        <v>72</v>
      </c>
      <c r="E123" s="197">
        <f t="shared" si="357"/>
        <v>902.87999999999988</v>
      </c>
      <c r="F123" s="197">
        <f>'Margins summary'!$S$14</f>
        <v>175.95</v>
      </c>
      <c r="G123" s="197">
        <f t="shared" si="313"/>
        <v>1078.83</v>
      </c>
      <c r="H123" s="197"/>
      <c r="I123" s="918">
        <f>'Energy NPV'!U49</f>
        <v>393.31078400000001</v>
      </c>
      <c r="J123" s="197"/>
      <c r="K123" s="197">
        <f t="shared" si="314"/>
        <v>393.31078400000001</v>
      </c>
      <c r="L123" s="197">
        <f t="shared" si="303"/>
        <v>509.56921599999987</v>
      </c>
      <c r="M123" s="197">
        <f t="shared" si="304"/>
        <v>685.51921599999991</v>
      </c>
      <c r="N123" s="196">
        <f t="shared" si="315"/>
        <v>609.95337674943687</v>
      </c>
      <c r="O123" s="197">
        <f t="shared" si="316"/>
        <v>118.86551550489925</v>
      </c>
      <c r="P123" s="197">
        <f t="shared" si="317"/>
        <v>265.70667288318322</v>
      </c>
      <c r="Q123" s="197">
        <f t="shared" si="318"/>
        <v>344.24670386625371</v>
      </c>
      <c r="R123" s="199">
        <f t="shared" si="319"/>
        <v>463.112219371153</v>
      </c>
      <c r="S123" s="196">
        <f t="shared" si="358"/>
        <v>6674.0845161753086</v>
      </c>
      <c r="T123" s="197">
        <f t="shared" si="320"/>
        <v>1603.0621123775172</v>
      </c>
      <c r="U123" s="197">
        <f t="shared" si="320"/>
        <v>5628.5242719795888</v>
      </c>
      <c r="V123" s="197">
        <f t="shared" si="320"/>
        <v>1045.5602441957199</v>
      </c>
      <c r="W123" s="199">
        <f t="shared" si="320"/>
        <v>2648.6223565732375</v>
      </c>
      <c r="X123" s="197"/>
      <c r="Z123" s="900">
        <v>11</v>
      </c>
      <c r="AA123" s="760">
        <f t="shared" si="321"/>
        <v>12.54</v>
      </c>
      <c r="AB123" s="197">
        <f>'Energy Inputs'!$E$58*$AB$109</f>
        <v>108</v>
      </c>
      <c r="AC123" s="197">
        <f t="shared" si="359"/>
        <v>1354.32</v>
      </c>
      <c r="AD123" s="197">
        <f>'Margins summary'!$S$14</f>
        <v>175.95</v>
      </c>
      <c r="AE123" s="197">
        <f t="shared" si="322"/>
        <v>1530.27</v>
      </c>
      <c r="AF123" s="197"/>
      <c r="AG123" s="197">
        <f>'Energy NPV'!U49</f>
        <v>393.31078400000001</v>
      </c>
      <c r="AH123" s="197"/>
      <c r="AI123" s="197">
        <f t="shared" si="323"/>
        <v>393.31078400000001</v>
      </c>
      <c r="AJ123" s="197">
        <f t="shared" si="305"/>
        <v>961.00921599999992</v>
      </c>
      <c r="AK123" s="197">
        <f t="shared" si="306"/>
        <v>1136.959216</v>
      </c>
      <c r="AL123" s="196">
        <f t="shared" si="324"/>
        <v>914.93006512415548</v>
      </c>
      <c r="AM123" s="197">
        <f t="shared" si="325"/>
        <v>118.86551550489925</v>
      </c>
      <c r="AN123" s="197">
        <f t="shared" si="326"/>
        <v>265.70667288318322</v>
      </c>
      <c r="AO123" s="197">
        <f t="shared" si="327"/>
        <v>649.2233922409722</v>
      </c>
      <c r="AP123" s="199">
        <f t="shared" si="328"/>
        <v>768.08890774587155</v>
      </c>
      <c r="AQ123" s="196">
        <f t="shared" si="360"/>
        <v>10011.126774262964</v>
      </c>
      <c r="AR123" s="197">
        <f t="shared" si="329"/>
        <v>1603.0621123775172</v>
      </c>
      <c r="AS123" s="197">
        <f t="shared" si="329"/>
        <v>5628.5242719795888</v>
      </c>
      <c r="AT123" s="197">
        <f t="shared" si="329"/>
        <v>4382.6025022833755</v>
      </c>
      <c r="AU123" s="199">
        <f t="shared" si="329"/>
        <v>5985.6646146608919</v>
      </c>
      <c r="AV123" s="197"/>
      <c r="AX123" s="900">
        <v>11</v>
      </c>
      <c r="AY123" s="760">
        <f t="shared" si="330"/>
        <v>12.54</v>
      </c>
      <c r="AZ123" s="197">
        <f>'Energy Inputs'!$E$58*$AZ$109</f>
        <v>36</v>
      </c>
      <c r="BA123" s="197">
        <f t="shared" si="361"/>
        <v>451.43999999999994</v>
      </c>
      <c r="BB123" s="197">
        <f>'Margins summary'!$S$14</f>
        <v>175.95</v>
      </c>
      <c r="BC123" s="197">
        <f t="shared" si="331"/>
        <v>627.38999999999987</v>
      </c>
      <c r="BD123" s="197"/>
      <c r="BE123" s="918">
        <f>'Energy NPV'!U49</f>
        <v>393.31078400000001</v>
      </c>
      <c r="BF123" s="197"/>
      <c r="BG123" s="197">
        <f t="shared" si="332"/>
        <v>393.31078400000001</v>
      </c>
      <c r="BH123" s="197">
        <f t="shared" si="307"/>
        <v>58.129215999999928</v>
      </c>
      <c r="BI123" s="197">
        <f t="shared" si="308"/>
        <v>234.07921599999986</v>
      </c>
      <c r="BJ123" s="196">
        <f t="shared" si="333"/>
        <v>304.97668837471844</v>
      </c>
      <c r="BK123" s="197">
        <f t="shared" si="334"/>
        <v>118.86551550489925</v>
      </c>
      <c r="BL123" s="197">
        <f t="shared" si="335"/>
        <v>265.70667288318322</v>
      </c>
      <c r="BM123" s="197">
        <f t="shared" si="336"/>
        <v>39.270015491535261</v>
      </c>
      <c r="BN123" s="199">
        <f t="shared" si="337"/>
        <v>158.13553099643448</v>
      </c>
      <c r="BO123" s="196">
        <f t="shared" si="362"/>
        <v>3337.0422580876543</v>
      </c>
      <c r="BP123" s="197">
        <f t="shared" si="338"/>
        <v>1603.0621123775172</v>
      </c>
      <c r="BQ123" s="197">
        <f t="shared" si="338"/>
        <v>5628.5242719795888</v>
      </c>
      <c r="BR123" s="197">
        <f t="shared" si="338"/>
        <v>-2291.482013891934</v>
      </c>
      <c r="BS123" s="199">
        <f t="shared" si="338"/>
        <v>-688.41990151441735</v>
      </c>
      <c r="BT123" s="197"/>
      <c r="BV123" s="900">
        <v>11</v>
      </c>
      <c r="BW123" s="760">
        <f t="shared" si="339"/>
        <v>12.54</v>
      </c>
      <c r="BX123" s="197">
        <f>'Energy Inputs'!$E$58*$BX$109</f>
        <v>144</v>
      </c>
      <c r="BY123" s="197">
        <f t="shared" si="363"/>
        <v>1805.7599999999998</v>
      </c>
      <c r="BZ123" s="197">
        <f>'Margins summary'!$S$14</f>
        <v>175.95</v>
      </c>
      <c r="CA123" s="197">
        <f t="shared" si="340"/>
        <v>1981.7099999999998</v>
      </c>
      <c r="CB123" s="197"/>
      <c r="CC123" s="918">
        <f>'Energy NPV'!U49</f>
        <v>393.31078400000001</v>
      </c>
      <c r="CD123" s="197"/>
      <c r="CE123" s="197">
        <f t="shared" si="341"/>
        <v>393.31078400000001</v>
      </c>
      <c r="CF123" s="197">
        <f t="shared" si="309"/>
        <v>1412.4492159999998</v>
      </c>
      <c r="CG123" s="197">
        <f t="shared" si="310"/>
        <v>1588.3992159999998</v>
      </c>
      <c r="CH123" s="196">
        <f t="shared" si="342"/>
        <v>1219.9067534988737</v>
      </c>
      <c r="CI123" s="197">
        <f t="shared" si="343"/>
        <v>118.86551550489925</v>
      </c>
      <c r="CJ123" s="197">
        <f t="shared" si="344"/>
        <v>265.70667288318322</v>
      </c>
      <c r="CK123" s="197">
        <f t="shared" si="345"/>
        <v>954.20008061569069</v>
      </c>
      <c r="CL123" s="199">
        <f t="shared" si="346"/>
        <v>1073.0655961205898</v>
      </c>
      <c r="CM123" s="196">
        <f t="shared" si="364"/>
        <v>13348.169032350617</v>
      </c>
      <c r="CN123" s="197">
        <f t="shared" si="347"/>
        <v>1603.0621123775172</v>
      </c>
      <c r="CO123" s="197">
        <f t="shared" si="347"/>
        <v>5628.5242719795888</v>
      </c>
      <c r="CP123" s="197">
        <f t="shared" si="347"/>
        <v>7719.6447603710276</v>
      </c>
      <c r="CQ123" s="199">
        <f t="shared" si="347"/>
        <v>9322.7068727485457</v>
      </c>
      <c r="CR123" s="197"/>
      <c r="CT123" s="204">
        <f t="shared" si="365"/>
        <v>11</v>
      </c>
      <c r="CU123" s="760">
        <f t="shared" si="348"/>
        <v>12.54</v>
      </c>
      <c r="CV123" s="197">
        <f>'Energy Inputs'!$E$58*$CV$109</f>
        <v>0</v>
      </c>
      <c r="CW123" s="197">
        <f t="shared" si="366"/>
        <v>0</v>
      </c>
      <c r="CX123" s="197">
        <f>'Margins summary'!$S$14</f>
        <v>175.95</v>
      </c>
      <c r="CY123" s="197">
        <f t="shared" si="349"/>
        <v>175.95</v>
      </c>
      <c r="CZ123" s="197"/>
      <c r="DA123" s="918">
        <f>'Energy NPV'!U49</f>
        <v>393.31078400000001</v>
      </c>
      <c r="DB123" s="197"/>
      <c r="DC123" s="197">
        <f t="shared" si="350"/>
        <v>393.31078400000001</v>
      </c>
      <c r="DD123" s="197">
        <f t="shared" si="311"/>
        <v>-393.31078400000001</v>
      </c>
      <c r="DE123" s="197">
        <f t="shared" si="312"/>
        <v>-217.36078400000002</v>
      </c>
      <c r="DF123" s="196">
        <f t="shared" si="351"/>
        <v>0</v>
      </c>
      <c r="DG123" s="197">
        <f t="shared" si="352"/>
        <v>118.86551550489925</v>
      </c>
      <c r="DH123" s="197">
        <f t="shared" si="353"/>
        <v>265.70667288318322</v>
      </c>
      <c r="DI123" s="197">
        <f t="shared" si="354"/>
        <v>-265.70667288318322</v>
      </c>
      <c r="DJ123" s="199">
        <f t="shared" si="355"/>
        <v>-146.84115737828395</v>
      </c>
      <c r="DK123" s="196">
        <f t="shared" si="367"/>
        <v>0</v>
      </c>
      <c r="DL123" s="197">
        <f t="shared" si="356"/>
        <v>1603.0621123775172</v>
      </c>
      <c r="DM123" s="197">
        <f t="shared" si="356"/>
        <v>5628.5242719795888</v>
      </c>
      <c r="DN123" s="197">
        <f t="shared" si="356"/>
        <v>-5628.5242719795888</v>
      </c>
      <c r="DO123" s="199">
        <f t="shared" si="356"/>
        <v>-4025.4621596020711</v>
      </c>
    </row>
    <row r="124" spans="2:119" x14ac:dyDescent="0.3">
      <c r="B124" s="900">
        <v>12</v>
      </c>
      <c r="C124" s="760">
        <f>'Energy NPV'!$D50</f>
        <v>12.54</v>
      </c>
      <c r="D124" s="197">
        <f>'Energy Inputs'!$E$58*$E$109</f>
        <v>72</v>
      </c>
      <c r="E124" s="197">
        <f t="shared" si="357"/>
        <v>902.87999999999988</v>
      </c>
      <c r="F124" s="197">
        <f>'Margins summary'!$S$14</f>
        <v>175.95</v>
      </c>
      <c r="G124" s="197">
        <f t="shared" si="313"/>
        <v>1078.83</v>
      </c>
      <c r="H124" s="197"/>
      <c r="I124" s="918">
        <f>'Energy NPV'!U50</f>
        <v>393.31078400000001</v>
      </c>
      <c r="J124" s="197"/>
      <c r="K124" s="197">
        <f t="shared" si="314"/>
        <v>393.31078400000001</v>
      </c>
      <c r="L124" s="197">
        <f t="shared" si="303"/>
        <v>509.56921599999987</v>
      </c>
      <c r="M124" s="197">
        <f t="shared" si="304"/>
        <v>685.51921599999991</v>
      </c>
      <c r="N124" s="196">
        <f t="shared" si="315"/>
        <v>586.49363148984321</v>
      </c>
      <c r="O124" s="197">
        <f t="shared" si="316"/>
        <v>114.29376490855698</v>
      </c>
      <c r="P124" s="197">
        <f t="shared" si="317"/>
        <v>255.48718546459924</v>
      </c>
      <c r="Q124" s="197">
        <f t="shared" si="318"/>
        <v>331.00644602524397</v>
      </c>
      <c r="R124" s="199">
        <f t="shared" si="319"/>
        <v>445.300210933801</v>
      </c>
      <c r="S124" s="196">
        <f t="shared" si="358"/>
        <v>7260.5781476651518</v>
      </c>
      <c r="T124" s="197">
        <f t="shared" si="320"/>
        <v>1717.3558772860742</v>
      </c>
      <c r="U124" s="197">
        <f t="shared" si="320"/>
        <v>5884.0114574441877</v>
      </c>
      <c r="V124" s="197">
        <f t="shared" si="320"/>
        <v>1376.5666902209639</v>
      </c>
      <c r="W124" s="199">
        <f t="shared" si="320"/>
        <v>3093.9225675070384</v>
      </c>
      <c r="X124" s="197"/>
      <c r="Z124" s="900">
        <v>12</v>
      </c>
      <c r="AA124" s="760">
        <f t="shared" si="321"/>
        <v>12.54</v>
      </c>
      <c r="AB124" s="197">
        <f>'Energy Inputs'!$E$58*$AB$109</f>
        <v>108</v>
      </c>
      <c r="AC124" s="197">
        <f t="shared" si="359"/>
        <v>1354.32</v>
      </c>
      <c r="AD124" s="197">
        <f>'Margins summary'!$S$14</f>
        <v>175.95</v>
      </c>
      <c r="AE124" s="197">
        <f t="shared" si="322"/>
        <v>1530.27</v>
      </c>
      <c r="AF124" s="197"/>
      <c r="AG124" s="197">
        <f>'Energy NPV'!U50</f>
        <v>393.31078400000001</v>
      </c>
      <c r="AH124" s="197"/>
      <c r="AI124" s="197">
        <f t="shared" si="323"/>
        <v>393.31078400000001</v>
      </c>
      <c r="AJ124" s="197">
        <f t="shared" si="305"/>
        <v>961.00921599999992</v>
      </c>
      <c r="AK124" s="197">
        <f t="shared" si="306"/>
        <v>1136.959216</v>
      </c>
      <c r="AL124" s="196">
        <f t="shared" si="324"/>
        <v>879.74044723476493</v>
      </c>
      <c r="AM124" s="197">
        <f t="shared" si="325"/>
        <v>114.29376490855698</v>
      </c>
      <c r="AN124" s="197">
        <f t="shared" si="326"/>
        <v>255.48718546459924</v>
      </c>
      <c r="AO124" s="197">
        <f t="shared" si="327"/>
        <v>624.25326177016564</v>
      </c>
      <c r="AP124" s="199">
        <f t="shared" si="328"/>
        <v>738.54702667872266</v>
      </c>
      <c r="AQ124" s="196">
        <f t="shared" si="360"/>
        <v>10890.867221497729</v>
      </c>
      <c r="AR124" s="197">
        <f t="shared" si="329"/>
        <v>1717.3558772860742</v>
      </c>
      <c r="AS124" s="197">
        <f t="shared" si="329"/>
        <v>5884.0114574441877</v>
      </c>
      <c r="AT124" s="197">
        <f t="shared" si="329"/>
        <v>5006.855764053541</v>
      </c>
      <c r="AU124" s="199">
        <f t="shared" si="329"/>
        <v>6724.2116413396143</v>
      </c>
      <c r="AV124" s="197"/>
      <c r="AX124" s="900">
        <v>12</v>
      </c>
      <c r="AY124" s="760">
        <f t="shared" si="330"/>
        <v>12.54</v>
      </c>
      <c r="AZ124" s="197">
        <f>'Energy Inputs'!$E$58*$AZ$109</f>
        <v>36</v>
      </c>
      <c r="BA124" s="197">
        <f t="shared" si="361"/>
        <v>451.43999999999994</v>
      </c>
      <c r="BB124" s="197">
        <f>'Margins summary'!$S$14</f>
        <v>175.95</v>
      </c>
      <c r="BC124" s="197">
        <f t="shared" si="331"/>
        <v>627.38999999999987</v>
      </c>
      <c r="BD124" s="197"/>
      <c r="BE124" s="918">
        <f>'Energy NPV'!U50</f>
        <v>393.31078400000001</v>
      </c>
      <c r="BF124" s="197"/>
      <c r="BG124" s="197">
        <f t="shared" si="332"/>
        <v>393.31078400000001</v>
      </c>
      <c r="BH124" s="197">
        <f t="shared" si="307"/>
        <v>58.129215999999928</v>
      </c>
      <c r="BI124" s="197">
        <f t="shared" si="308"/>
        <v>234.07921599999986</v>
      </c>
      <c r="BJ124" s="196">
        <f t="shared" si="333"/>
        <v>293.24681574492161</v>
      </c>
      <c r="BK124" s="197">
        <f t="shared" si="334"/>
        <v>114.29376490855698</v>
      </c>
      <c r="BL124" s="197">
        <f t="shared" si="335"/>
        <v>255.48718546459924</v>
      </c>
      <c r="BM124" s="197">
        <f t="shared" si="336"/>
        <v>37.759630280322369</v>
      </c>
      <c r="BN124" s="199">
        <f t="shared" si="337"/>
        <v>152.05339518887931</v>
      </c>
      <c r="BO124" s="196">
        <f t="shared" si="362"/>
        <v>3630.2890738325759</v>
      </c>
      <c r="BP124" s="197">
        <f t="shared" si="338"/>
        <v>1717.3558772860742</v>
      </c>
      <c r="BQ124" s="197">
        <f t="shared" si="338"/>
        <v>5884.0114574441877</v>
      </c>
      <c r="BR124" s="197">
        <f t="shared" si="338"/>
        <v>-2253.7223836116118</v>
      </c>
      <c r="BS124" s="199">
        <f t="shared" si="338"/>
        <v>-536.36650632553801</v>
      </c>
      <c r="BT124" s="197"/>
      <c r="BV124" s="900">
        <v>12</v>
      </c>
      <c r="BW124" s="760">
        <f t="shared" si="339"/>
        <v>12.54</v>
      </c>
      <c r="BX124" s="197">
        <f>'Energy Inputs'!$E$58*$BX$109</f>
        <v>144</v>
      </c>
      <c r="BY124" s="197">
        <f t="shared" si="363"/>
        <v>1805.7599999999998</v>
      </c>
      <c r="BZ124" s="197">
        <f>'Margins summary'!$S$14</f>
        <v>175.95</v>
      </c>
      <c r="CA124" s="197">
        <f t="shared" si="340"/>
        <v>1981.7099999999998</v>
      </c>
      <c r="CB124" s="197"/>
      <c r="CC124" s="918">
        <f>'Energy NPV'!U50</f>
        <v>393.31078400000001</v>
      </c>
      <c r="CD124" s="197"/>
      <c r="CE124" s="197">
        <f t="shared" si="341"/>
        <v>393.31078400000001</v>
      </c>
      <c r="CF124" s="197">
        <f t="shared" si="309"/>
        <v>1412.4492159999998</v>
      </c>
      <c r="CG124" s="197">
        <f t="shared" si="310"/>
        <v>1588.3992159999998</v>
      </c>
      <c r="CH124" s="196">
        <f t="shared" si="342"/>
        <v>1172.9872629796864</v>
      </c>
      <c r="CI124" s="197">
        <f t="shared" si="343"/>
        <v>114.29376490855698</v>
      </c>
      <c r="CJ124" s="197">
        <f t="shared" si="344"/>
        <v>255.48718546459924</v>
      </c>
      <c r="CK124" s="197">
        <f t="shared" si="345"/>
        <v>917.50007751508724</v>
      </c>
      <c r="CL124" s="199">
        <f t="shared" si="346"/>
        <v>1031.7938424236443</v>
      </c>
      <c r="CM124" s="196">
        <f t="shared" si="364"/>
        <v>14521.156295330304</v>
      </c>
      <c r="CN124" s="197">
        <f t="shared" si="347"/>
        <v>1717.3558772860742</v>
      </c>
      <c r="CO124" s="197">
        <f t="shared" si="347"/>
        <v>5884.0114574441877</v>
      </c>
      <c r="CP124" s="197">
        <f t="shared" si="347"/>
        <v>8637.1448378861151</v>
      </c>
      <c r="CQ124" s="199">
        <f t="shared" si="347"/>
        <v>10354.500715172189</v>
      </c>
      <c r="CR124" s="197"/>
      <c r="CT124" s="204">
        <f t="shared" si="365"/>
        <v>12</v>
      </c>
      <c r="CU124" s="760">
        <f t="shared" si="348"/>
        <v>12.54</v>
      </c>
      <c r="CV124" s="197">
        <f>'Energy Inputs'!$E$58*$CV$109</f>
        <v>0</v>
      </c>
      <c r="CW124" s="197">
        <f t="shared" si="366"/>
        <v>0</v>
      </c>
      <c r="CX124" s="197">
        <f>'Margins summary'!$S$14</f>
        <v>175.95</v>
      </c>
      <c r="CY124" s="197">
        <f t="shared" si="349"/>
        <v>175.95</v>
      </c>
      <c r="CZ124" s="197"/>
      <c r="DA124" s="918">
        <f>'Energy NPV'!U50</f>
        <v>393.31078400000001</v>
      </c>
      <c r="DB124" s="197"/>
      <c r="DC124" s="197">
        <f t="shared" si="350"/>
        <v>393.31078400000001</v>
      </c>
      <c r="DD124" s="197">
        <f t="shared" si="311"/>
        <v>-393.31078400000001</v>
      </c>
      <c r="DE124" s="197">
        <f t="shared" si="312"/>
        <v>-217.36078400000002</v>
      </c>
      <c r="DF124" s="196">
        <f t="shared" si="351"/>
        <v>0</v>
      </c>
      <c r="DG124" s="197">
        <f t="shared" si="352"/>
        <v>114.29376490855698</v>
      </c>
      <c r="DH124" s="197">
        <f t="shared" si="353"/>
        <v>255.48718546459924</v>
      </c>
      <c r="DI124" s="197">
        <f t="shared" si="354"/>
        <v>-255.48718546459924</v>
      </c>
      <c r="DJ124" s="199">
        <f t="shared" si="355"/>
        <v>-141.19342055604227</v>
      </c>
      <c r="DK124" s="196">
        <f t="shared" si="367"/>
        <v>0</v>
      </c>
      <c r="DL124" s="197">
        <f t="shared" si="356"/>
        <v>1717.3558772860742</v>
      </c>
      <c r="DM124" s="197">
        <f t="shared" si="356"/>
        <v>5884.0114574441877</v>
      </c>
      <c r="DN124" s="197">
        <f t="shared" si="356"/>
        <v>-5884.0114574441877</v>
      </c>
      <c r="DO124" s="199">
        <f t="shared" si="356"/>
        <v>-4166.6555801581135</v>
      </c>
    </row>
    <row r="125" spans="2:119" x14ac:dyDescent="0.3">
      <c r="B125" s="900">
        <v>13</v>
      </c>
      <c r="C125" s="760">
        <f>'Energy NPV'!$D51</f>
        <v>12.54</v>
      </c>
      <c r="D125" s="197">
        <f>'Energy Inputs'!$E$58*$E$109</f>
        <v>72</v>
      </c>
      <c r="E125" s="197">
        <f t="shared" si="357"/>
        <v>902.87999999999988</v>
      </c>
      <c r="F125" s="197">
        <f>'Margins summary'!$S$14</f>
        <v>175.95</v>
      </c>
      <c r="G125" s="197">
        <f t="shared" si="313"/>
        <v>1078.83</v>
      </c>
      <c r="H125" s="197"/>
      <c r="I125" s="918">
        <f>'Energy NPV'!U51</f>
        <v>393.31078400000001</v>
      </c>
      <c r="J125" s="197"/>
      <c r="K125" s="197">
        <f t="shared" si="314"/>
        <v>393.31078400000001</v>
      </c>
      <c r="L125" s="197">
        <f t="shared" si="303"/>
        <v>509.56921599999987</v>
      </c>
      <c r="M125" s="197">
        <f t="shared" si="304"/>
        <v>685.51921599999991</v>
      </c>
      <c r="N125" s="196">
        <f t="shared" si="315"/>
        <v>563.93618412484909</v>
      </c>
      <c r="O125" s="197">
        <f t="shared" si="316"/>
        <v>109.89785087361246</v>
      </c>
      <c r="P125" s="197">
        <f t="shared" si="317"/>
        <v>245.6607552544223</v>
      </c>
      <c r="Q125" s="197">
        <f t="shared" si="318"/>
        <v>318.27542887042682</v>
      </c>
      <c r="R125" s="199">
        <f t="shared" si="319"/>
        <v>428.17327974403935</v>
      </c>
      <c r="S125" s="196">
        <f t="shared" si="358"/>
        <v>7824.5143317900011</v>
      </c>
      <c r="T125" s="197">
        <f t="shared" si="320"/>
        <v>1827.2537281596867</v>
      </c>
      <c r="U125" s="197">
        <f t="shared" si="320"/>
        <v>6129.6722126986097</v>
      </c>
      <c r="V125" s="197">
        <f t="shared" si="320"/>
        <v>1694.8421190913907</v>
      </c>
      <c r="W125" s="199">
        <f t="shared" si="320"/>
        <v>3522.0958472510779</v>
      </c>
      <c r="X125" s="197"/>
      <c r="Z125" s="900">
        <v>13</v>
      </c>
      <c r="AA125" s="760">
        <f t="shared" si="321"/>
        <v>12.54</v>
      </c>
      <c r="AB125" s="197">
        <f>'Energy Inputs'!$E$58*$AB$109</f>
        <v>108</v>
      </c>
      <c r="AC125" s="197">
        <f t="shared" si="359"/>
        <v>1354.32</v>
      </c>
      <c r="AD125" s="197">
        <f>'Margins summary'!$S$14</f>
        <v>175.95</v>
      </c>
      <c r="AE125" s="197">
        <f t="shared" si="322"/>
        <v>1530.27</v>
      </c>
      <c r="AF125" s="197"/>
      <c r="AG125" s="197">
        <f>'Energy NPV'!U51</f>
        <v>393.31078400000001</v>
      </c>
      <c r="AH125" s="197"/>
      <c r="AI125" s="197">
        <f t="shared" si="323"/>
        <v>393.31078400000001</v>
      </c>
      <c r="AJ125" s="197">
        <f t="shared" si="305"/>
        <v>961.00921599999992</v>
      </c>
      <c r="AK125" s="197">
        <f t="shared" si="306"/>
        <v>1136.959216</v>
      </c>
      <c r="AL125" s="196">
        <f t="shared" si="324"/>
        <v>845.90427618727381</v>
      </c>
      <c r="AM125" s="197">
        <f t="shared" si="325"/>
        <v>109.89785087361246</v>
      </c>
      <c r="AN125" s="197">
        <f t="shared" si="326"/>
        <v>245.6607552544223</v>
      </c>
      <c r="AO125" s="197">
        <f t="shared" si="327"/>
        <v>600.24352093285142</v>
      </c>
      <c r="AP125" s="199">
        <f t="shared" si="328"/>
        <v>710.14137180646401</v>
      </c>
      <c r="AQ125" s="196">
        <f t="shared" si="360"/>
        <v>11736.771497685002</v>
      </c>
      <c r="AR125" s="197">
        <f t="shared" si="329"/>
        <v>1827.2537281596867</v>
      </c>
      <c r="AS125" s="197">
        <f t="shared" si="329"/>
        <v>6129.6722126986097</v>
      </c>
      <c r="AT125" s="197">
        <f t="shared" si="329"/>
        <v>5607.0992849863924</v>
      </c>
      <c r="AU125" s="199">
        <f t="shared" si="329"/>
        <v>7434.3530131460784</v>
      </c>
      <c r="AV125" s="197"/>
      <c r="AX125" s="900">
        <v>13</v>
      </c>
      <c r="AY125" s="760">
        <f t="shared" si="330"/>
        <v>12.54</v>
      </c>
      <c r="AZ125" s="197">
        <f>'Energy Inputs'!$E$58*$AZ$109</f>
        <v>36</v>
      </c>
      <c r="BA125" s="197">
        <f t="shared" si="361"/>
        <v>451.43999999999994</v>
      </c>
      <c r="BB125" s="197">
        <f>'Margins summary'!$S$14</f>
        <v>175.95</v>
      </c>
      <c r="BC125" s="197">
        <f t="shared" si="331"/>
        <v>627.38999999999987</v>
      </c>
      <c r="BD125" s="197"/>
      <c r="BE125" s="918">
        <f>'Energy NPV'!U51</f>
        <v>393.31078400000001</v>
      </c>
      <c r="BF125" s="197"/>
      <c r="BG125" s="197">
        <f t="shared" si="332"/>
        <v>393.31078400000001</v>
      </c>
      <c r="BH125" s="197">
        <f t="shared" si="307"/>
        <v>58.129215999999928</v>
      </c>
      <c r="BI125" s="197">
        <f t="shared" si="308"/>
        <v>234.07921599999986</v>
      </c>
      <c r="BJ125" s="196">
        <f t="shared" si="333"/>
        <v>281.96809206242455</v>
      </c>
      <c r="BK125" s="197">
        <f t="shared" si="334"/>
        <v>109.89785087361246</v>
      </c>
      <c r="BL125" s="197">
        <f t="shared" si="335"/>
        <v>245.6607552544223</v>
      </c>
      <c r="BM125" s="197">
        <f t="shared" si="336"/>
        <v>36.307336808002269</v>
      </c>
      <c r="BN125" s="199">
        <f t="shared" si="337"/>
        <v>146.20518768161469</v>
      </c>
      <c r="BO125" s="196">
        <f t="shared" si="362"/>
        <v>3912.2571658950005</v>
      </c>
      <c r="BP125" s="197">
        <f t="shared" si="338"/>
        <v>1827.2537281596867</v>
      </c>
      <c r="BQ125" s="197">
        <f t="shared" si="338"/>
        <v>6129.6722126986097</v>
      </c>
      <c r="BR125" s="197">
        <f t="shared" si="338"/>
        <v>-2217.4150468036096</v>
      </c>
      <c r="BS125" s="199">
        <f t="shared" si="338"/>
        <v>-390.16131864392332</v>
      </c>
      <c r="BT125" s="197"/>
      <c r="BV125" s="900">
        <v>13</v>
      </c>
      <c r="BW125" s="760">
        <f t="shared" si="339"/>
        <v>12.54</v>
      </c>
      <c r="BX125" s="197">
        <f>'Energy Inputs'!$E$58*$BX$109</f>
        <v>144</v>
      </c>
      <c r="BY125" s="197">
        <f t="shared" si="363"/>
        <v>1805.7599999999998</v>
      </c>
      <c r="BZ125" s="197">
        <f>'Margins summary'!$S$14</f>
        <v>175.95</v>
      </c>
      <c r="CA125" s="197">
        <f t="shared" si="340"/>
        <v>1981.7099999999998</v>
      </c>
      <c r="CB125" s="197"/>
      <c r="CC125" s="918">
        <f>'Energy NPV'!U51</f>
        <v>393.31078400000001</v>
      </c>
      <c r="CD125" s="197"/>
      <c r="CE125" s="197">
        <f t="shared" si="341"/>
        <v>393.31078400000001</v>
      </c>
      <c r="CF125" s="197">
        <f t="shared" si="309"/>
        <v>1412.4492159999998</v>
      </c>
      <c r="CG125" s="197">
        <f t="shared" si="310"/>
        <v>1588.3992159999998</v>
      </c>
      <c r="CH125" s="196">
        <f t="shared" si="342"/>
        <v>1127.8723682496982</v>
      </c>
      <c r="CI125" s="197">
        <f t="shared" si="343"/>
        <v>109.89785087361246</v>
      </c>
      <c r="CJ125" s="197">
        <f t="shared" si="344"/>
        <v>245.6607552544223</v>
      </c>
      <c r="CK125" s="197">
        <f t="shared" si="345"/>
        <v>882.21161299527603</v>
      </c>
      <c r="CL125" s="199">
        <f t="shared" si="346"/>
        <v>992.1094638688885</v>
      </c>
      <c r="CM125" s="196">
        <f t="shared" si="364"/>
        <v>15649.028663580002</v>
      </c>
      <c r="CN125" s="197">
        <f t="shared" si="347"/>
        <v>1827.2537281596867</v>
      </c>
      <c r="CO125" s="197">
        <f t="shared" si="347"/>
        <v>6129.6722126986097</v>
      </c>
      <c r="CP125" s="197">
        <f t="shared" si="347"/>
        <v>9519.3564508813906</v>
      </c>
      <c r="CQ125" s="199">
        <f t="shared" si="347"/>
        <v>11346.610179041078</v>
      </c>
      <c r="CR125" s="197"/>
      <c r="CT125" s="204">
        <f t="shared" si="365"/>
        <v>13</v>
      </c>
      <c r="CU125" s="760">
        <f t="shared" si="348"/>
        <v>12.54</v>
      </c>
      <c r="CV125" s="197">
        <f>'Energy Inputs'!$E$58*$CV$109</f>
        <v>0</v>
      </c>
      <c r="CW125" s="197">
        <f t="shared" si="366"/>
        <v>0</v>
      </c>
      <c r="CX125" s="197">
        <f>'Margins summary'!$S$14</f>
        <v>175.95</v>
      </c>
      <c r="CY125" s="197">
        <f t="shared" si="349"/>
        <v>175.95</v>
      </c>
      <c r="CZ125" s="197"/>
      <c r="DA125" s="918">
        <f>'Energy NPV'!U51</f>
        <v>393.31078400000001</v>
      </c>
      <c r="DB125" s="197"/>
      <c r="DC125" s="197">
        <f t="shared" si="350"/>
        <v>393.31078400000001</v>
      </c>
      <c r="DD125" s="197">
        <f t="shared" si="311"/>
        <v>-393.31078400000001</v>
      </c>
      <c r="DE125" s="197">
        <f t="shared" si="312"/>
        <v>-217.36078400000002</v>
      </c>
      <c r="DF125" s="196">
        <f t="shared" si="351"/>
        <v>0</v>
      </c>
      <c r="DG125" s="197">
        <f t="shared" si="352"/>
        <v>109.89785087361246</v>
      </c>
      <c r="DH125" s="197">
        <f t="shared" si="353"/>
        <v>245.6607552544223</v>
      </c>
      <c r="DI125" s="197">
        <f t="shared" si="354"/>
        <v>-245.6607552544223</v>
      </c>
      <c r="DJ125" s="199">
        <f t="shared" si="355"/>
        <v>-135.76290438080986</v>
      </c>
      <c r="DK125" s="196">
        <f t="shared" si="367"/>
        <v>0</v>
      </c>
      <c r="DL125" s="197">
        <f t="shared" si="356"/>
        <v>1827.2537281596867</v>
      </c>
      <c r="DM125" s="197">
        <f t="shared" si="356"/>
        <v>6129.6722126986097</v>
      </c>
      <c r="DN125" s="197">
        <f t="shared" si="356"/>
        <v>-6129.6722126986097</v>
      </c>
      <c r="DO125" s="199">
        <f t="shared" si="356"/>
        <v>-4302.4184845389236</v>
      </c>
    </row>
    <row r="126" spans="2:119" x14ac:dyDescent="0.3">
      <c r="B126" s="900">
        <v>14</v>
      </c>
      <c r="C126" s="760">
        <f>'Energy NPV'!$D52</f>
        <v>12.54</v>
      </c>
      <c r="D126" s="197">
        <f>'Energy Inputs'!$E$58*$E$109</f>
        <v>72</v>
      </c>
      <c r="E126" s="197">
        <f t="shared" si="357"/>
        <v>902.87999999999988</v>
      </c>
      <c r="F126" s="197">
        <f>'Margins summary'!$S$14</f>
        <v>175.95</v>
      </c>
      <c r="G126" s="197">
        <f t="shared" si="313"/>
        <v>1078.83</v>
      </c>
      <c r="H126" s="197"/>
      <c r="I126" s="918">
        <f>'Energy NPV'!U52</f>
        <v>393.31078400000001</v>
      </c>
      <c r="J126" s="197"/>
      <c r="K126" s="197">
        <f t="shared" si="314"/>
        <v>393.31078400000001</v>
      </c>
      <c r="L126" s="197">
        <f t="shared" si="303"/>
        <v>509.56921599999987</v>
      </c>
      <c r="M126" s="197">
        <f t="shared" si="304"/>
        <v>685.51921599999991</v>
      </c>
      <c r="N126" s="196">
        <f t="shared" si="315"/>
        <v>542.24633088927806</v>
      </c>
      <c r="O126" s="197">
        <f t="shared" si="316"/>
        <v>105.67101045539658</v>
      </c>
      <c r="P126" s="197">
        <f t="shared" si="317"/>
        <v>236.21226466771375</v>
      </c>
      <c r="Q126" s="197">
        <f t="shared" si="318"/>
        <v>306.03406622156427</v>
      </c>
      <c r="R126" s="199">
        <f t="shared" si="319"/>
        <v>411.70507667696086</v>
      </c>
      <c r="S126" s="196">
        <f t="shared" si="358"/>
        <v>8366.7606626792785</v>
      </c>
      <c r="T126" s="197">
        <f t="shared" si="320"/>
        <v>1932.9247386150832</v>
      </c>
      <c r="U126" s="197">
        <f t="shared" si="320"/>
        <v>6365.8844773663232</v>
      </c>
      <c r="V126" s="197">
        <f t="shared" si="320"/>
        <v>2000.8761853129549</v>
      </c>
      <c r="W126" s="199">
        <f t="shared" si="320"/>
        <v>3933.8009239280386</v>
      </c>
      <c r="X126" s="197"/>
      <c r="Z126" s="900">
        <v>14</v>
      </c>
      <c r="AA126" s="760">
        <f t="shared" si="321"/>
        <v>12.54</v>
      </c>
      <c r="AB126" s="197">
        <f>'Energy Inputs'!$E$58*$AB$109</f>
        <v>108</v>
      </c>
      <c r="AC126" s="197">
        <f t="shared" si="359"/>
        <v>1354.32</v>
      </c>
      <c r="AD126" s="197">
        <f>'Margins summary'!$S$14</f>
        <v>175.95</v>
      </c>
      <c r="AE126" s="197">
        <f t="shared" si="322"/>
        <v>1530.27</v>
      </c>
      <c r="AF126" s="197"/>
      <c r="AG126" s="197">
        <f>'Energy NPV'!U52</f>
        <v>393.31078400000001</v>
      </c>
      <c r="AH126" s="197"/>
      <c r="AI126" s="197">
        <f t="shared" si="323"/>
        <v>393.31078400000001</v>
      </c>
      <c r="AJ126" s="197">
        <f t="shared" si="305"/>
        <v>961.00921599999992</v>
      </c>
      <c r="AK126" s="197">
        <f t="shared" si="306"/>
        <v>1136.959216</v>
      </c>
      <c r="AL126" s="196">
        <f t="shared" si="324"/>
        <v>813.36949633391703</v>
      </c>
      <c r="AM126" s="197">
        <f t="shared" si="325"/>
        <v>105.67101045539658</v>
      </c>
      <c r="AN126" s="197">
        <f t="shared" si="326"/>
        <v>236.21226466771375</v>
      </c>
      <c r="AO126" s="197">
        <f t="shared" si="327"/>
        <v>577.1572316662033</v>
      </c>
      <c r="AP126" s="199">
        <f t="shared" si="328"/>
        <v>682.82824212159994</v>
      </c>
      <c r="AQ126" s="196">
        <f t="shared" si="360"/>
        <v>12550.140994018919</v>
      </c>
      <c r="AR126" s="197">
        <f t="shared" si="329"/>
        <v>1932.9247386150832</v>
      </c>
      <c r="AS126" s="197">
        <f t="shared" si="329"/>
        <v>6365.8844773663232</v>
      </c>
      <c r="AT126" s="197">
        <f t="shared" si="329"/>
        <v>6184.2565166525956</v>
      </c>
      <c r="AU126" s="199">
        <f t="shared" si="329"/>
        <v>8117.1812552676784</v>
      </c>
      <c r="AV126" s="197"/>
      <c r="AX126" s="900">
        <v>14</v>
      </c>
      <c r="AY126" s="760">
        <f t="shared" si="330"/>
        <v>12.54</v>
      </c>
      <c r="AZ126" s="197">
        <f>'Energy Inputs'!$E$58*$AZ$109</f>
        <v>36</v>
      </c>
      <c r="BA126" s="197">
        <f t="shared" si="361"/>
        <v>451.43999999999994</v>
      </c>
      <c r="BB126" s="197">
        <f>'Margins summary'!$S$14</f>
        <v>175.95</v>
      </c>
      <c r="BC126" s="197">
        <f t="shared" si="331"/>
        <v>627.38999999999987</v>
      </c>
      <c r="BD126" s="197"/>
      <c r="BE126" s="918">
        <f>'Energy NPV'!U52</f>
        <v>393.31078400000001</v>
      </c>
      <c r="BF126" s="197"/>
      <c r="BG126" s="197">
        <f t="shared" si="332"/>
        <v>393.31078400000001</v>
      </c>
      <c r="BH126" s="197">
        <f t="shared" si="307"/>
        <v>58.129215999999928</v>
      </c>
      <c r="BI126" s="197">
        <f t="shared" si="308"/>
        <v>234.07921599999986</v>
      </c>
      <c r="BJ126" s="196">
        <f t="shared" si="333"/>
        <v>271.12316544463903</v>
      </c>
      <c r="BK126" s="197">
        <f t="shared" si="334"/>
        <v>105.67101045539658</v>
      </c>
      <c r="BL126" s="197">
        <f t="shared" si="335"/>
        <v>236.21226466771375</v>
      </c>
      <c r="BM126" s="197">
        <f t="shared" si="336"/>
        <v>34.91090077692526</v>
      </c>
      <c r="BN126" s="199">
        <f t="shared" si="337"/>
        <v>140.5819112323218</v>
      </c>
      <c r="BO126" s="196">
        <f t="shared" si="362"/>
        <v>4183.3803313396393</v>
      </c>
      <c r="BP126" s="197">
        <f t="shared" si="338"/>
        <v>1932.9247386150832</v>
      </c>
      <c r="BQ126" s="197">
        <f t="shared" si="338"/>
        <v>6365.8844773663232</v>
      </c>
      <c r="BR126" s="197">
        <f t="shared" si="338"/>
        <v>-2182.5041460266843</v>
      </c>
      <c r="BS126" s="199">
        <f t="shared" si="338"/>
        <v>-249.57940741160152</v>
      </c>
      <c r="BT126" s="197"/>
      <c r="BV126" s="900">
        <v>14</v>
      </c>
      <c r="BW126" s="760">
        <f t="shared" si="339"/>
        <v>12.54</v>
      </c>
      <c r="BX126" s="197">
        <f>'Energy Inputs'!$E$58*$BX$109</f>
        <v>144</v>
      </c>
      <c r="BY126" s="197">
        <f t="shared" si="363"/>
        <v>1805.7599999999998</v>
      </c>
      <c r="BZ126" s="197">
        <f>'Margins summary'!$S$14</f>
        <v>175.95</v>
      </c>
      <c r="CA126" s="197">
        <f t="shared" si="340"/>
        <v>1981.7099999999998</v>
      </c>
      <c r="CB126" s="197"/>
      <c r="CC126" s="918">
        <f>'Energy NPV'!U52</f>
        <v>393.31078400000001</v>
      </c>
      <c r="CD126" s="197"/>
      <c r="CE126" s="197">
        <f t="shared" si="341"/>
        <v>393.31078400000001</v>
      </c>
      <c r="CF126" s="197">
        <f t="shared" si="309"/>
        <v>1412.4492159999998</v>
      </c>
      <c r="CG126" s="197">
        <f t="shared" si="310"/>
        <v>1588.3992159999998</v>
      </c>
      <c r="CH126" s="196">
        <f t="shared" si="342"/>
        <v>1084.4926617785561</v>
      </c>
      <c r="CI126" s="197">
        <f t="shared" si="343"/>
        <v>105.67101045539658</v>
      </c>
      <c r="CJ126" s="197">
        <f t="shared" si="344"/>
        <v>236.21226466771375</v>
      </c>
      <c r="CK126" s="197">
        <f t="shared" si="345"/>
        <v>848.28039711084227</v>
      </c>
      <c r="CL126" s="199">
        <f t="shared" si="346"/>
        <v>953.95140756623891</v>
      </c>
      <c r="CM126" s="196">
        <f t="shared" si="364"/>
        <v>16733.521325358557</v>
      </c>
      <c r="CN126" s="197">
        <f t="shared" si="347"/>
        <v>1932.9247386150832</v>
      </c>
      <c r="CO126" s="197">
        <f t="shared" si="347"/>
        <v>6365.8844773663232</v>
      </c>
      <c r="CP126" s="197">
        <f t="shared" si="347"/>
        <v>10367.636847992233</v>
      </c>
      <c r="CQ126" s="199">
        <f t="shared" si="347"/>
        <v>12300.561586607317</v>
      </c>
      <c r="CR126" s="197"/>
      <c r="CT126" s="204">
        <f t="shared" si="365"/>
        <v>14</v>
      </c>
      <c r="CU126" s="760">
        <f t="shared" si="348"/>
        <v>12.54</v>
      </c>
      <c r="CV126" s="197">
        <f>'Energy Inputs'!$E$58*$CV$109</f>
        <v>0</v>
      </c>
      <c r="CW126" s="197">
        <f t="shared" si="366"/>
        <v>0</v>
      </c>
      <c r="CX126" s="197">
        <f>'Margins summary'!$S$14</f>
        <v>175.95</v>
      </c>
      <c r="CY126" s="197">
        <f t="shared" si="349"/>
        <v>175.95</v>
      </c>
      <c r="CZ126" s="197"/>
      <c r="DA126" s="918">
        <f>'Energy NPV'!U52</f>
        <v>393.31078400000001</v>
      </c>
      <c r="DB126" s="197"/>
      <c r="DC126" s="197">
        <f t="shared" si="350"/>
        <v>393.31078400000001</v>
      </c>
      <c r="DD126" s="197">
        <f t="shared" si="311"/>
        <v>-393.31078400000001</v>
      </c>
      <c r="DE126" s="197">
        <f t="shared" si="312"/>
        <v>-217.36078400000002</v>
      </c>
      <c r="DF126" s="196">
        <f t="shared" si="351"/>
        <v>0</v>
      </c>
      <c r="DG126" s="197">
        <f t="shared" si="352"/>
        <v>105.67101045539658</v>
      </c>
      <c r="DH126" s="197">
        <f t="shared" si="353"/>
        <v>236.21226466771375</v>
      </c>
      <c r="DI126" s="197">
        <f t="shared" si="354"/>
        <v>-236.21226466771375</v>
      </c>
      <c r="DJ126" s="199">
        <f t="shared" si="355"/>
        <v>-130.54125421231714</v>
      </c>
      <c r="DK126" s="196">
        <f t="shared" si="367"/>
        <v>0</v>
      </c>
      <c r="DL126" s="197">
        <f t="shared" si="356"/>
        <v>1932.9247386150832</v>
      </c>
      <c r="DM126" s="197">
        <f t="shared" si="356"/>
        <v>6365.8844773663232</v>
      </c>
      <c r="DN126" s="197">
        <f t="shared" si="356"/>
        <v>-6365.8844773663232</v>
      </c>
      <c r="DO126" s="199">
        <f t="shared" si="356"/>
        <v>-4432.9597387512404</v>
      </c>
    </row>
    <row r="127" spans="2:119" x14ac:dyDescent="0.3">
      <c r="B127" s="900">
        <v>15</v>
      </c>
      <c r="C127" s="760">
        <f>'Energy NPV'!$D53</f>
        <v>12.54</v>
      </c>
      <c r="D127" s="197">
        <f>'Energy Inputs'!$E$58*$E$109</f>
        <v>72</v>
      </c>
      <c r="E127" s="197">
        <f t="shared" si="357"/>
        <v>902.87999999999988</v>
      </c>
      <c r="F127" s="197">
        <f>'Margins summary'!$S$14</f>
        <v>175.95</v>
      </c>
      <c r="G127" s="197">
        <f t="shared" si="313"/>
        <v>1078.83</v>
      </c>
      <c r="H127" s="197"/>
      <c r="I127" s="918">
        <f>'Energy NPV'!U53</f>
        <v>393.31078400000001</v>
      </c>
      <c r="J127" s="197"/>
      <c r="K127" s="197">
        <f t="shared" si="314"/>
        <v>393.31078400000001</v>
      </c>
      <c r="L127" s="197">
        <f t="shared" si="303"/>
        <v>509.56921599999987</v>
      </c>
      <c r="M127" s="197">
        <f t="shared" si="304"/>
        <v>685.51921599999991</v>
      </c>
      <c r="N127" s="196">
        <f t="shared" si="315"/>
        <v>521.39070277815199</v>
      </c>
      <c r="O127" s="197">
        <f t="shared" si="316"/>
        <v>101.60674082249672</v>
      </c>
      <c r="P127" s="197">
        <f t="shared" si="317"/>
        <v>227.12717756510938</v>
      </c>
      <c r="Q127" s="197">
        <f t="shared" si="318"/>
        <v>294.26352521304256</v>
      </c>
      <c r="R127" s="199">
        <f t="shared" si="319"/>
        <v>395.87026603553932</v>
      </c>
      <c r="S127" s="196">
        <f t="shared" si="358"/>
        <v>8888.1513654574301</v>
      </c>
      <c r="T127" s="197">
        <f t="shared" si="320"/>
        <v>2034.5314794375799</v>
      </c>
      <c r="U127" s="197">
        <f t="shared" si="320"/>
        <v>6593.0116549314325</v>
      </c>
      <c r="V127" s="197">
        <f t="shared" si="320"/>
        <v>2295.1397105259975</v>
      </c>
      <c r="W127" s="199">
        <f t="shared" si="320"/>
        <v>4329.6711899635775</v>
      </c>
      <c r="X127" s="197"/>
      <c r="Z127" s="900">
        <v>15</v>
      </c>
      <c r="AA127" s="760">
        <f t="shared" si="321"/>
        <v>12.54</v>
      </c>
      <c r="AB127" s="197">
        <f>'Energy Inputs'!$E$58*$AB$109</f>
        <v>108</v>
      </c>
      <c r="AC127" s="197">
        <f t="shared" si="359"/>
        <v>1354.32</v>
      </c>
      <c r="AD127" s="197">
        <f>'Margins summary'!$S$14</f>
        <v>175.95</v>
      </c>
      <c r="AE127" s="197">
        <f t="shared" si="322"/>
        <v>1530.27</v>
      </c>
      <c r="AF127" s="197"/>
      <c r="AG127" s="197">
        <f>'Energy NPV'!U53</f>
        <v>393.31078400000001</v>
      </c>
      <c r="AH127" s="197"/>
      <c r="AI127" s="197">
        <f t="shared" si="323"/>
        <v>393.31078400000001</v>
      </c>
      <c r="AJ127" s="197">
        <f t="shared" si="305"/>
        <v>961.00921599999992</v>
      </c>
      <c r="AK127" s="197">
        <f t="shared" si="306"/>
        <v>1136.959216</v>
      </c>
      <c r="AL127" s="196">
        <f t="shared" si="324"/>
        <v>782.08605416722799</v>
      </c>
      <c r="AM127" s="197">
        <f t="shared" si="325"/>
        <v>101.60674082249672</v>
      </c>
      <c r="AN127" s="197">
        <f t="shared" si="326"/>
        <v>227.12717756510938</v>
      </c>
      <c r="AO127" s="197">
        <f t="shared" si="327"/>
        <v>554.95887660211861</v>
      </c>
      <c r="AP127" s="199">
        <f t="shared" si="328"/>
        <v>656.56561742461531</v>
      </c>
      <c r="AQ127" s="196">
        <f t="shared" si="360"/>
        <v>13332.227048186147</v>
      </c>
      <c r="AR127" s="197">
        <f t="shared" si="329"/>
        <v>2034.5314794375799</v>
      </c>
      <c r="AS127" s="197">
        <f t="shared" si="329"/>
        <v>6593.0116549314325</v>
      </c>
      <c r="AT127" s="197">
        <f t="shared" si="329"/>
        <v>6739.2153932547144</v>
      </c>
      <c r="AU127" s="199">
        <f t="shared" si="329"/>
        <v>8773.7468726922943</v>
      </c>
      <c r="AV127" s="197"/>
      <c r="AX127" s="900">
        <v>15</v>
      </c>
      <c r="AY127" s="760">
        <f t="shared" si="330"/>
        <v>12.54</v>
      </c>
      <c r="AZ127" s="197">
        <f>'Energy Inputs'!$E$58*$AZ$109</f>
        <v>36</v>
      </c>
      <c r="BA127" s="197">
        <f t="shared" si="361"/>
        <v>451.43999999999994</v>
      </c>
      <c r="BB127" s="197">
        <f>'Margins summary'!$S$14</f>
        <v>175.95</v>
      </c>
      <c r="BC127" s="197">
        <f t="shared" si="331"/>
        <v>627.38999999999987</v>
      </c>
      <c r="BD127" s="197"/>
      <c r="BE127" s="918">
        <f>'Energy NPV'!U53</f>
        <v>393.31078400000001</v>
      </c>
      <c r="BF127" s="197"/>
      <c r="BG127" s="197">
        <f t="shared" si="332"/>
        <v>393.31078400000001</v>
      </c>
      <c r="BH127" s="197">
        <f t="shared" si="307"/>
        <v>58.129215999999928</v>
      </c>
      <c r="BI127" s="197">
        <f t="shared" si="308"/>
        <v>234.07921599999986</v>
      </c>
      <c r="BJ127" s="196">
        <f t="shared" si="333"/>
        <v>260.695351389076</v>
      </c>
      <c r="BK127" s="197">
        <f t="shared" si="334"/>
        <v>101.60674082249672</v>
      </c>
      <c r="BL127" s="197">
        <f t="shared" si="335"/>
        <v>227.12717756510938</v>
      </c>
      <c r="BM127" s="197">
        <f t="shared" si="336"/>
        <v>33.568173823966596</v>
      </c>
      <c r="BN127" s="199">
        <f t="shared" si="337"/>
        <v>135.17491464646329</v>
      </c>
      <c r="BO127" s="196">
        <f t="shared" si="362"/>
        <v>4444.075682728715</v>
      </c>
      <c r="BP127" s="197">
        <f t="shared" si="338"/>
        <v>2034.5314794375799</v>
      </c>
      <c r="BQ127" s="197">
        <f t="shared" si="338"/>
        <v>6593.0116549314325</v>
      </c>
      <c r="BR127" s="197">
        <f t="shared" si="338"/>
        <v>-2148.9359722027179</v>
      </c>
      <c r="BS127" s="199">
        <f t="shared" si="338"/>
        <v>-114.40449276513823</v>
      </c>
      <c r="BT127" s="197"/>
      <c r="BV127" s="900">
        <v>15</v>
      </c>
      <c r="BW127" s="760">
        <f t="shared" si="339"/>
        <v>12.54</v>
      </c>
      <c r="BX127" s="197">
        <f>'Energy Inputs'!$E$58*$BX$109</f>
        <v>144</v>
      </c>
      <c r="BY127" s="197">
        <f t="shared" si="363"/>
        <v>1805.7599999999998</v>
      </c>
      <c r="BZ127" s="197">
        <f>'Margins summary'!$S$14</f>
        <v>175.95</v>
      </c>
      <c r="CA127" s="197">
        <f t="shared" si="340"/>
        <v>1981.7099999999998</v>
      </c>
      <c r="CB127" s="197"/>
      <c r="CC127" s="918">
        <f>'Energy NPV'!U53</f>
        <v>393.31078400000001</v>
      </c>
      <c r="CD127" s="197"/>
      <c r="CE127" s="197">
        <f t="shared" si="341"/>
        <v>393.31078400000001</v>
      </c>
      <c r="CF127" s="197">
        <f t="shared" si="309"/>
        <v>1412.4492159999998</v>
      </c>
      <c r="CG127" s="197">
        <f t="shared" si="310"/>
        <v>1588.3992159999998</v>
      </c>
      <c r="CH127" s="196">
        <f t="shared" si="342"/>
        <v>1042.781405556304</v>
      </c>
      <c r="CI127" s="197">
        <f t="shared" si="343"/>
        <v>101.60674082249672</v>
      </c>
      <c r="CJ127" s="197">
        <f t="shared" si="344"/>
        <v>227.12717756510938</v>
      </c>
      <c r="CK127" s="197">
        <f t="shared" si="345"/>
        <v>815.65422799119449</v>
      </c>
      <c r="CL127" s="199">
        <f t="shared" si="346"/>
        <v>917.26096881369131</v>
      </c>
      <c r="CM127" s="196">
        <f t="shared" si="364"/>
        <v>17776.30273091486</v>
      </c>
      <c r="CN127" s="197">
        <f t="shared" si="347"/>
        <v>2034.5314794375799</v>
      </c>
      <c r="CO127" s="197">
        <f t="shared" si="347"/>
        <v>6593.0116549314325</v>
      </c>
      <c r="CP127" s="197">
        <f t="shared" si="347"/>
        <v>11183.291075983427</v>
      </c>
      <c r="CQ127" s="199">
        <f t="shared" si="347"/>
        <v>13217.822555421008</v>
      </c>
      <c r="CR127" s="197"/>
      <c r="CT127" s="204">
        <f t="shared" si="365"/>
        <v>15</v>
      </c>
      <c r="CU127" s="760">
        <f t="shared" si="348"/>
        <v>12.54</v>
      </c>
      <c r="CV127" s="197">
        <f>'Energy Inputs'!$E$58*$CV$109</f>
        <v>0</v>
      </c>
      <c r="CW127" s="197">
        <f t="shared" si="366"/>
        <v>0</v>
      </c>
      <c r="CX127" s="197">
        <f>'Margins summary'!$S$14</f>
        <v>175.95</v>
      </c>
      <c r="CY127" s="197">
        <f t="shared" si="349"/>
        <v>175.95</v>
      </c>
      <c r="CZ127" s="197"/>
      <c r="DA127" s="918">
        <f>'Energy NPV'!U53</f>
        <v>393.31078400000001</v>
      </c>
      <c r="DB127" s="197"/>
      <c r="DC127" s="197">
        <f t="shared" si="350"/>
        <v>393.31078400000001</v>
      </c>
      <c r="DD127" s="197">
        <f t="shared" si="311"/>
        <v>-393.31078400000001</v>
      </c>
      <c r="DE127" s="197">
        <f t="shared" si="312"/>
        <v>-217.36078400000002</v>
      </c>
      <c r="DF127" s="196">
        <f t="shared" si="351"/>
        <v>0</v>
      </c>
      <c r="DG127" s="197">
        <f t="shared" si="352"/>
        <v>101.60674082249672</v>
      </c>
      <c r="DH127" s="197">
        <f t="shared" si="353"/>
        <v>227.12717756510938</v>
      </c>
      <c r="DI127" s="197">
        <f t="shared" si="354"/>
        <v>-227.12717756510938</v>
      </c>
      <c r="DJ127" s="199">
        <f t="shared" si="355"/>
        <v>-125.52043674261265</v>
      </c>
      <c r="DK127" s="196">
        <f t="shared" si="367"/>
        <v>0</v>
      </c>
      <c r="DL127" s="197">
        <f t="shared" si="356"/>
        <v>2034.5314794375799</v>
      </c>
      <c r="DM127" s="197">
        <f t="shared" si="356"/>
        <v>6593.0116549314325</v>
      </c>
      <c r="DN127" s="197">
        <f t="shared" si="356"/>
        <v>-6593.0116549314325</v>
      </c>
      <c r="DO127" s="199">
        <f t="shared" si="356"/>
        <v>-4558.4801754938526</v>
      </c>
    </row>
    <row r="128" spans="2:119" x14ac:dyDescent="0.3">
      <c r="B128" s="901">
        <v>16</v>
      </c>
      <c r="C128" s="761">
        <f>'Energy NPV'!$D54</f>
        <v>12.54</v>
      </c>
      <c r="D128" s="207">
        <f>'Energy Inputs'!$E$58*$E$109</f>
        <v>72</v>
      </c>
      <c r="E128" s="207">
        <f t="shared" si="357"/>
        <v>902.87999999999988</v>
      </c>
      <c r="F128" s="207">
        <f>'Margins summary'!$S$14</f>
        <v>175.95</v>
      </c>
      <c r="G128" s="207">
        <f t="shared" si="313"/>
        <v>1078.83</v>
      </c>
      <c r="H128" s="207"/>
      <c r="I128" s="919">
        <f>'Energy NPV'!U54</f>
        <v>393.31078400000001</v>
      </c>
      <c r="J128" s="207">
        <f>'Energy margins'!$Q$67</f>
        <v>192.1</v>
      </c>
      <c r="K128" s="207">
        <f t="shared" si="314"/>
        <v>585.41078400000004</v>
      </c>
      <c r="L128" s="207">
        <f t="shared" si="303"/>
        <v>317.46921599999985</v>
      </c>
      <c r="M128" s="207">
        <f t="shared" si="304"/>
        <v>493.41921599999989</v>
      </c>
      <c r="N128" s="208">
        <f>E128/((1+$B$4)^(B128-1))</f>
        <v>501.3372142097615</v>
      </c>
      <c r="O128" s="207">
        <f>F128/((1+$B$4)^(B128-1))</f>
        <v>97.698789252400701</v>
      </c>
      <c r="P128" s="207">
        <f>K128/((1+$B$4)^(B128-1))</f>
        <v>325.05782786074838</v>
      </c>
      <c r="Q128" s="207">
        <f>L128/((1+$B$4)^(B128-1))</f>
        <v>176.27938634901315</v>
      </c>
      <c r="R128" s="209">
        <f>M128/((1+$B$4)^(B128-1))</f>
        <v>273.97817560141385</v>
      </c>
      <c r="S128" s="208">
        <f t="shared" si="358"/>
        <v>9389.4885796671915</v>
      </c>
      <c r="T128" s="207">
        <f t="shared" si="320"/>
        <v>2132.2302686899807</v>
      </c>
      <c r="U128" s="207">
        <f t="shared" si="320"/>
        <v>6918.0694827921807</v>
      </c>
      <c r="V128" s="207">
        <f t="shared" si="320"/>
        <v>2471.4190968750108</v>
      </c>
      <c r="W128" s="209">
        <f t="shared" si="320"/>
        <v>4603.6493655649911</v>
      </c>
      <c r="X128" s="197"/>
      <c r="Z128" s="901">
        <v>16</v>
      </c>
      <c r="AA128" s="761">
        <f t="shared" si="321"/>
        <v>12.54</v>
      </c>
      <c r="AB128" s="207">
        <f>'Energy Inputs'!$E$58*$AB$109</f>
        <v>108</v>
      </c>
      <c r="AC128" s="207">
        <f t="shared" si="359"/>
        <v>1354.32</v>
      </c>
      <c r="AD128" s="207">
        <f>'Margins summary'!$S$14</f>
        <v>175.95</v>
      </c>
      <c r="AE128" s="207">
        <f t="shared" si="322"/>
        <v>1530.27</v>
      </c>
      <c r="AF128" s="207"/>
      <c r="AG128" s="207">
        <f>'Energy NPV'!U54</f>
        <v>393.31078400000001</v>
      </c>
      <c r="AH128" s="207">
        <f>'Energy margins'!$Q$67</f>
        <v>192.1</v>
      </c>
      <c r="AI128" s="207">
        <f t="shared" si="323"/>
        <v>585.41078400000004</v>
      </c>
      <c r="AJ128" s="207">
        <f t="shared" si="305"/>
        <v>768.9092159999999</v>
      </c>
      <c r="AK128" s="207">
        <f t="shared" si="306"/>
        <v>944.85921599999995</v>
      </c>
      <c r="AL128" s="208">
        <f>AC128/((1+$B$4)^(Z128-1))</f>
        <v>752.00582131464228</v>
      </c>
      <c r="AM128" s="207">
        <f>AD128/((1+$B$4)^(Z128-1))</f>
        <v>97.698789252400701</v>
      </c>
      <c r="AN128" s="207">
        <f>AI128/((1+$B$4)^(Z128-1))</f>
        <v>325.05782786074838</v>
      </c>
      <c r="AO128" s="207">
        <f>AJ128/((1+$B$4)^(Z128-1))</f>
        <v>426.94799345389396</v>
      </c>
      <c r="AP128" s="209">
        <f>AK128/((1+$B$4)^(Z128-1))</f>
        <v>524.64678270629463</v>
      </c>
      <c r="AQ128" s="208">
        <f>AQ127+AL128</f>
        <v>14084.232869500789</v>
      </c>
      <c r="AR128" s="207">
        <f t="shared" si="329"/>
        <v>2132.2302686899807</v>
      </c>
      <c r="AS128" s="207">
        <f t="shared" si="329"/>
        <v>6918.0694827921807</v>
      </c>
      <c r="AT128" s="207">
        <f t="shared" si="329"/>
        <v>7166.1633867086084</v>
      </c>
      <c r="AU128" s="209">
        <f t="shared" si="329"/>
        <v>9298.3936553985895</v>
      </c>
      <c r="AV128" s="197"/>
      <c r="AX128" s="901">
        <v>16</v>
      </c>
      <c r="AY128" s="761">
        <f t="shared" si="330"/>
        <v>12.54</v>
      </c>
      <c r="AZ128" s="207">
        <f>'Energy Inputs'!$E$58*$AZ$109</f>
        <v>36</v>
      </c>
      <c r="BA128" s="207">
        <f t="shared" si="361"/>
        <v>451.43999999999994</v>
      </c>
      <c r="BB128" s="207">
        <f>'Margins summary'!$S$14</f>
        <v>175.95</v>
      </c>
      <c r="BC128" s="207">
        <f t="shared" si="331"/>
        <v>627.38999999999987</v>
      </c>
      <c r="BD128" s="207"/>
      <c r="BE128" s="919">
        <f>'Energy NPV'!U54</f>
        <v>393.31078400000001</v>
      </c>
      <c r="BF128" s="207">
        <f>'Energy margins'!$Q$67</f>
        <v>192.1</v>
      </c>
      <c r="BG128" s="207">
        <f t="shared" si="332"/>
        <v>585.41078400000004</v>
      </c>
      <c r="BH128" s="207">
        <f t="shared" si="307"/>
        <v>-133.97078400000009</v>
      </c>
      <c r="BI128" s="207">
        <f t="shared" si="308"/>
        <v>41.979215999999838</v>
      </c>
      <c r="BJ128" s="208">
        <f>BA128/((1+$B$4)^(AX128-1))</f>
        <v>250.66860710488075</v>
      </c>
      <c r="BK128" s="207">
        <f>BB128/((1+$B$4)^(AX128-1))</f>
        <v>97.698789252400701</v>
      </c>
      <c r="BL128" s="207">
        <f>BG128/((1+$B$4)^(AX128-1))</f>
        <v>325.05782786074838</v>
      </c>
      <c r="BM128" s="207">
        <f>BH128/((1+$B$4)^(AX128-1))</f>
        <v>-74.389220755867612</v>
      </c>
      <c r="BN128" s="209">
        <f>BI128/((1+$B$4)^(AX128-1))</f>
        <v>23.309568496533061</v>
      </c>
      <c r="BO128" s="208">
        <f t="shared" si="362"/>
        <v>4694.7442898335958</v>
      </c>
      <c r="BP128" s="207">
        <f t="shared" si="338"/>
        <v>2132.2302686899807</v>
      </c>
      <c r="BQ128" s="207">
        <f t="shared" si="338"/>
        <v>6918.0694827921807</v>
      </c>
      <c r="BR128" s="207">
        <f t="shared" si="338"/>
        <v>-2223.3251929585854</v>
      </c>
      <c r="BS128" s="209">
        <f t="shared" si="338"/>
        <v>-91.094924268605169</v>
      </c>
      <c r="BT128" s="197"/>
      <c r="BV128" s="901">
        <v>16</v>
      </c>
      <c r="BW128" s="761">
        <f t="shared" si="339"/>
        <v>12.54</v>
      </c>
      <c r="BX128" s="207">
        <f>'Energy Inputs'!$E$58*$BX$109</f>
        <v>144</v>
      </c>
      <c r="BY128" s="207">
        <f t="shared" si="363"/>
        <v>1805.7599999999998</v>
      </c>
      <c r="BZ128" s="207">
        <f>'Margins summary'!$S$14</f>
        <v>175.95</v>
      </c>
      <c r="CA128" s="207">
        <f t="shared" si="340"/>
        <v>1981.7099999999998</v>
      </c>
      <c r="CB128" s="207"/>
      <c r="CC128" s="919">
        <f>'Energy NPV'!U54</f>
        <v>393.31078400000001</v>
      </c>
      <c r="CD128" s="207">
        <f>'Energy margins'!$Q$67</f>
        <v>192.1</v>
      </c>
      <c r="CE128" s="207">
        <f t="shared" si="341"/>
        <v>585.41078400000004</v>
      </c>
      <c r="CF128" s="207">
        <f t="shared" si="309"/>
        <v>1220.3492159999996</v>
      </c>
      <c r="CG128" s="207">
        <f t="shared" si="310"/>
        <v>1396.2992159999999</v>
      </c>
      <c r="CH128" s="208">
        <f>BY128/((1+$B$4)^(BV128-1))</f>
        <v>1002.674428419523</v>
      </c>
      <c r="CI128" s="207">
        <f>BZ128/((1+$B$4)^(BV128-1))</f>
        <v>97.698789252400701</v>
      </c>
      <c r="CJ128" s="207">
        <f>CE128/((1+$B$4)^(BV128-1))</f>
        <v>325.05782786074838</v>
      </c>
      <c r="CK128" s="207">
        <f>CF128/((1+$B$4)^(BV128-1))</f>
        <v>677.61660055877462</v>
      </c>
      <c r="CL128" s="209">
        <f>CG128/((1+$B$4)^(BV128-1))</f>
        <v>775.31538981117546</v>
      </c>
      <c r="CM128" s="208">
        <f t="shared" si="364"/>
        <v>18778.977159334383</v>
      </c>
      <c r="CN128" s="207">
        <f t="shared" si="347"/>
        <v>2132.2302686899807</v>
      </c>
      <c r="CO128" s="207">
        <f t="shared" si="347"/>
        <v>6918.0694827921807</v>
      </c>
      <c r="CP128" s="207">
        <f t="shared" si="347"/>
        <v>11860.907676542201</v>
      </c>
      <c r="CQ128" s="209">
        <f t="shared" si="347"/>
        <v>13993.137945232183</v>
      </c>
      <c r="CR128" s="197"/>
      <c r="CT128" s="206">
        <f t="shared" si="365"/>
        <v>16</v>
      </c>
      <c r="CU128" s="761">
        <f t="shared" si="348"/>
        <v>12.54</v>
      </c>
      <c r="CV128" s="207">
        <f>'Energy Inputs'!$E$58*$CV$109</f>
        <v>0</v>
      </c>
      <c r="CW128" s="207">
        <f t="shared" si="366"/>
        <v>0</v>
      </c>
      <c r="CX128" s="207">
        <f>'Margins summary'!$S$14</f>
        <v>175.95</v>
      </c>
      <c r="CY128" s="207">
        <f t="shared" si="349"/>
        <v>175.95</v>
      </c>
      <c r="CZ128" s="207"/>
      <c r="DA128" s="919">
        <f>'Energy NPV'!U54</f>
        <v>393.31078400000001</v>
      </c>
      <c r="DB128" s="207">
        <f>'Energy margins'!$Q$67</f>
        <v>192.1</v>
      </c>
      <c r="DC128" s="207">
        <f t="shared" si="350"/>
        <v>585.41078400000004</v>
      </c>
      <c r="DD128" s="207">
        <f t="shared" si="311"/>
        <v>-585.41078400000004</v>
      </c>
      <c r="DE128" s="207">
        <f t="shared" si="312"/>
        <v>-409.46078400000005</v>
      </c>
      <c r="DF128" s="208">
        <f>CW128/((1+$B$4)^(CT128-1))</f>
        <v>0</v>
      </c>
      <c r="DG128" s="207">
        <f>CX128/((1+$B$4)^(CT128-1))</f>
        <v>97.698789252400701</v>
      </c>
      <c r="DH128" s="207">
        <f>DC128/((1+$B$4)^(CT128-1))</f>
        <v>325.05782786074838</v>
      </c>
      <c r="DI128" s="207">
        <f>DD128/((1+$B$4)^(CT128-1))</f>
        <v>-325.05782786074838</v>
      </c>
      <c r="DJ128" s="209">
        <f>DE128/((1+$B$4)^(CT128-1))</f>
        <v>-227.35903860834765</v>
      </c>
      <c r="DK128" s="208">
        <f t="shared" si="367"/>
        <v>0</v>
      </c>
      <c r="DL128" s="207">
        <f t="shared" si="356"/>
        <v>2132.2302686899807</v>
      </c>
      <c r="DM128" s="207">
        <f t="shared" si="356"/>
        <v>6918.0694827921807</v>
      </c>
      <c r="DN128" s="207">
        <f t="shared" si="356"/>
        <v>-6918.0694827921807</v>
      </c>
      <c r="DO128" s="209">
        <f t="shared" si="356"/>
        <v>-4785.8392141022005</v>
      </c>
    </row>
    <row r="134" spans="2:118" x14ac:dyDescent="0.3">
      <c r="B134" s="212" t="s">
        <v>260</v>
      </c>
      <c r="C134" s="763" t="s">
        <v>394</v>
      </c>
      <c r="D134" s="269" t="s">
        <v>405</v>
      </c>
      <c r="E134" s="913">
        <v>1</v>
      </c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Z134" s="212" t="s">
        <v>260</v>
      </c>
      <c r="AA134" s="763" t="s">
        <v>395</v>
      </c>
      <c r="AB134" s="269" t="s">
        <v>405</v>
      </c>
      <c r="AC134" s="913">
        <v>1.5</v>
      </c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X134" s="212" t="s">
        <v>260</v>
      </c>
      <c r="AY134" s="763" t="s">
        <v>396</v>
      </c>
      <c r="AZ134" s="269" t="s">
        <v>405</v>
      </c>
      <c r="BA134" s="913">
        <v>0.5</v>
      </c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V134" s="212" t="s">
        <v>260</v>
      </c>
      <c r="BW134" s="763" t="s">
        <v>397</v>
      </c>
      <c r="BX134" s="269" t="s">
        <v>405</v>
      </c>
      <c r="BY134" s="913">
        <v>2</v>
      </c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T134" s="212" t="s">
        <v>260</v>
      </c>
      <c r="CU134" s="763" t="s">
        <v>398</v>
      </c>
      <c r="CV134" s="269" t="s">
        <v>405</v>
      </c>
      <c r="CW134" s="913">
        <v>0</v>
      </c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</row>
    <row r="135" spans="2:118" x14ac:dyDescent="0.3">
      <c r="B135" s="203"/>
      <c r="D135" s="158"/>
      <c r="E135" s="758"/>
      <c r="F135" s="758"/>
      <c r="G135" s="758"/>
      <c r="H135" s="148"/>
      <c r="I135" s="148"/>
      <c r="J135" s="758"/>
      <c r="K135" s="148"/>
      <c r="L135" s="148"/>
      <c r="M135" s="894" t="s">
        <v>275</v>
      </c>
      <c r="N135" s="895"/>
      <c r="O135" s="895"/>
      <c r="P135" s="895"/>
      <c r="Q135" s="896"/>
      <c r="R135" s="894" t="s">
        <v>276</v>
      </c>
      <c r="S135" s="895"/>
      <c r="T135" s="895"/>
      <c r="U135" s="895"/>
      <c r="V135" s="896"/>
      <c r="Z135" s="203"/>
      <c r="AB135" s="158"/>
      <c r="AC135" s="758"/>
      <c r="AD135" s="758"/>
      <c r="AE135" s="758"/>
      <c r="AF135" s="148"/>
      <c r="AG135" s="148"/>
      <c r="AH135" s="758"/>
      <c r="AI135" s="148"/>
      <c r="AJ135" s="148"/>
      <c r="AK135" s="894" t="s">
        <v>275</v>
      </c>
      <c r="AL135" s="895"/>
      <c r="AM135" s="895"/>
      <c r="AN135" s="895"/>
      <c r="AO135" s="896"/>
      <c r="AP135" s="894" t="s">
        <v>276</v>
      </c>
      <c r="AQ135" s="895"/>
      <c r="AR135" s="895"/>
      <c r="AS135" s="895"/>
      <c r="AT135" s="896"/>
      <c r="AX135" s="203"/>
      <c r="AZ135" s="158"/>
      <c r="BA135" s="758"/>
      <c r="BB135" s="758"/>
      <c r="BC135" s="758"/>
      <c r="BD135" s="148"/>
      <c r="BE135" s="148"/>
      <c r="BF135" s="758"/>
      <c r="BG135" s="148"/>
      <c r="BH135" s="148"/>
      <c r="BI135" s="894" t="s">
        <v>275</v>
      </c>
      <c r="BJ135" s="895"/>
      <c r="BK135" s="895"/>
      <c r="BL135" s="895"/>
      <c r="BM135" s="896"/>
      <c r="BN135" s="894" t="s">
        <v>276</v>
      </c>
      <c r="BO135" s="895"/>
      <c r="BP135" s="895"/>
      <c r="BQ135" s="895"/>
      <c r="BR135" s="896"/>
      <c r="BV135" s="203"/>
      <c r="BX135" s="158"/>
      <c r="BY135" s="758"/>
      <c r="BZ135" s="758"/>
      <c r="CA135" s="758"/>
      <c r="CB135" s="148"/>
      <c r="CC135" s="148"/>
      <c r="CD135" s="758"/>
      <c r="CE135" s="148"/>
      <c r="CF135" s="148"/>
      <c r="CG135" s="894" t="s">
        <v>275</v>
      </c>
      <c r="CH135" s="895"/>
      <c r="CI135" s="895"/>
      <c r="CJ135" s="895"/>
      <c r="CK135" s="896"/>
      <c r="CL135" s="894" t="s">
        <v>276</v>
      </c>
      <c r="CM135" s="895"/>
      <c r="CN135" s="895"/>
      <c r="CO135" s="895"/>
      <c r="CP135" s="896"/>
      <c r="CT135" s="203"/>
      <c r="CV135" s="158"/>
      <c r="CW135" s="758"/>
      <c r="CX135" s="758"/>
      <c r="CY135" s="758"/>
      <c r="CZ135" s="148"/>
      <c r="DA135" s="148"/>
      <c r="DB135" s="758"/>
      <c r="DC135" s="148"/>
      <c r="DD135" s="148"/>
      <c r="DE135" s="894" t="s">
        <v>275</v>
      </c>
      <c r="DF135" s="895"/>
      <c r="DG135" s="895"/>
      <c r="DH135" s="895"/>
      <c r="DI135" s="896"/>
      <c r="DJ135" s="894" t="s">
        <v>276</v>
      </c>
      <c r="DK135" s="895"/>
      <c r="DL135" s="895"/>
      <c r="DM135" s="895"/>
      <c r="DN135" s="896"/>
    </row>
    <row r="136" spans="2:118" ht="51" x14ac:dyDescent="0.3">
      <c r="B136" s="204" t="s">
        <v>277</v>
      </c>
      <c r="C136" s="205" t="s">
        <v>303</v>
      </c>
      <c r="D136" s="205" t="s">
        <v>304</v>
      </c>
      <c r="E136" s="171" t="s">
        <v>675</v>
      </c>
      <c r="F136" s="171" t="s">
        <v>666</v>
      </c>
      <c r="G136" s="171" t="s">
        <v>676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283</v>
      </c>
      <c r="K136" s="171" t="s">
        <v>677</v>
      </c>
      <c r="L136" s="171" t="s">
        <v>678</v>
      </c>
      <c r="M136" s="195" t="s">
        <v>286</v>
      </c>
      <c r="N136" s="171" t="s">
        <v>679</v>
      </c>
      <c r="O136" s="171" t="s">
        <v>288</v>
      </c>
      <c r="P136" s="171" t="s">
        <v>680</v>
      </c>
      <c r="Q136" s="198" t="s">
        <v>290</v>
      </c>
      <c r="R136" s="195" t="s">
        <v>291</v>
      </c>
      <c r="S136" s="171" t="s">
        <v>681</v>
      </c>
      <c r="T136" s="171" t="s">
        <v>293</v>
      </c>
      <c r="U136" s="171" t="s">
        <v>682</v>
      </c>
      <c r="V136" s="198" t="s">
        <v>295</v>
      </c>
      <c r="Z136" s="204" t="s">
        <v>277</v>
      </c>
      <c r="AA136" s="205" t="s">
        <v>303</v>
      </c>
      <c r="AB136" s="205" t="s">
        <v>304</v>
      </c>
      <c r="AC136" s="171" t="s">
        <v>675</v>
      </c>
      <c r="AD136" s="171" t="s">
        <v>666</v>
      </c>
      <c r="AE136" s="171" t="s">
        <v>676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283</v>
      </c>
      <c r="AI136" s="171" t="s">
        <v>677</v>
      </c>
      <c r="AJ136" s="171" t="s">
        <v>678</v>
      </c>
      <c r="AK136" s="195" t="s">
        <v>286</v>
      </c>
      <c r="AL136" s="171" t="s">
        <v>679</v>
      </c>
      <c r="AM136" s="171" t="s">
        <v>288</v>
      </c>
      <c r="AN136" s="171" t="s">
        <v>680</v>
      </c>
      <c r="AO136" s="198" t="s">
        <v>290</v>
      </c>
      <c r="AP136" s="195" t="s">
        <v>291</v>
      </c>
      <c r="AQ136" s="171" t="s">
        <v>681</v>
      </c>
      <c r="AR136" s="171" t="s">
        <v>293</v>
      </c>
      <c r="AS136" s="171" t="s">
        <v>682</v>
      </c>
      <c r="AT136" s="198" t="s">
        <v>295</v>
      </c>
      <c r="AX136" s="204" t="s">
        <v>277</v>
      </c>
      <c r="AY136" s="205" t="s">
        <v>303</v>
      </c>
      <c r="AZ136" s="205" t="s">
        <v>304</v>
      </c>
      <c r="BA136" s="171" t="s">
        <v>675</v>
      </c>
      <c r="BB136" s="171" t="s">
        <v>666</v>
      </c>
      <c r="BC136" s="171" t="s">
        <v>676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283</v>
      </c>
      <c r="BG136" s="171" t="s">
        <v>677</v>
      </c>
      <c r="BH136" s="171" t="s">
        <v>678</v>
      </c>
      <c r="BI136" s="195" t="s">
        <v>286</v>
      </c>
      <c r="BJ136" s="171" t="s">
        <v>679</v>
      </c>
      <c r="BK136" s="171" t="s">
        <v>288</v>
      </c>
      <c r="BL136" s="171" t="s">
        <v>680</v>
      </c>
      <c r="BM136" s="198" t="s">
        <v>290</v>
      </c>
      <c r="BN136" s="195" t="s">
        <v>291</v>
      </c>
      <c r="BO136" s="171" t="s">
        <v>681</v>
      </c>
      <c r="BP136" s="171" t="s">
        <v>293</v>
      </c>
      <c r="BQ136" s="171" t="s">
        <v>682</v>
      </c>
      <c r="BR136" s="198" t="s">
        <v>295</v>
      </c>
      <c r="BV136" s="204" t="s">
        <v>277</v>
      </c>
      <c r="BW136" s="205" t="s">
        <v>303</v>
      </c>
      <c r="BX136" s="205" t="s">
        <v>304</v>
      </c>
      <c r="BY136" s="171" t="s">
        <v>675</v>
      </c>
      <c r="BZ136" s="171" t="s">
        <v>666</v>
      </c>
      <c r="CA136" s="171" t="s">
        <v>676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283</v>
      </c>
      <c r="CE136" s="171" t="s">
        <v>677</v>
      </c>
      <c r="CF136" s="171" t="s">
        <v>678</v>
      </c>
      <c r="CG136" s="195" t="s">
        <v>286</v>
      </c>
      <c r="CH136" s="171" t="s">
        <v>679</v>
      </c>
      <c r="CI136" s="171" t="s">
        <v>288</v>
      </c>
      <c r="CJ136" s="171" t="s">
        <v>680</v>
      </c>
      <c r="CK136" s="198" t="s">
        <v>290</v>
      </c>
      <c r="CL136" s="195" t="s">
        <v>291</v>
      </c>
      <c r="CM136" s="171" t="s">
        <v>681</v>
      </c>
      <c r="CN136" s="171" t="s">
        <v>293</v>
      </c>
      <c r="CO136" s="171" t="s">
        <v>682</v>
      </c>
      <c r="CP136" s="198" t="s">
        <v>295</v>
      </c>
      <c r="CT136" s="204" t="s">
        <v>277</v>
      </c>
      <c r="CU136" s="205" t="s">
        <v>303</v>
      </c>
      <c r="CV136" s="205" t="s">
        <v>304</v>
      </c>
      <c r="CW136" s="171" t="s">
        <v>675</v>
      </c>
      <c r="CX136" s="171" t="s">
        <v>666</v>
      </c>
      <c r="CY136" s="171" t="s">
        <v>676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283</v>
      </c>
      <c r="DC136" s="171" t="s">
        <v>677</v>
      </c>
      <c r="DD136" s="171" t="s">
        <v>678</v>
      </c>
      <c r="DE136" s="195" t="s">
        <v>286</v>
      </c>
      <c r="DF136" s="171" t="s">
        <v>679</v>
      </c>
      <c r="DG136" s="171" t="s">
        <v>288</v>
      </c>
      <c r="DH136" s="171" t="s">
        <v>680</v>
      </c>
      <c r="DI136" s="198" t="s">
        <v>290</v>
      </c>
      <c r="DJ136" s="195" t="s">
        <v>291</v>
      </c>
      <c r="DK136" s="171" t="s">
        <v>681</v>
      </c>
      <c r="DL136" s="171" t="s">
        <v>293</v>
      </c>
      <c r="DM136" s="171" t="s">
        <v>682</v>
      </c>
      <c r="DN136" s="198" t="s">
        <v>295</v>
      </c>
    </row>
    <row r="137" spans="2:118" x14ac:dyDescent="0.3">
      <c r="B137" s="173"/>
      <c r="C137" s="226" t="s">
        <v>341</v>
      </c>
      <c r="D137" s="226" t="s">
        <v>601</v>
      </c>
      <c r="E137" s="201" t="s">
        <v>599</v>
      </c>
      <c r="F137" s="201" t="s">
        <v>599</v>
      </c>
      <c r="G137" s="201" t="s">
        <v>599</v>
      </c>
      <c r="H137" s="201" t="s">
        <v>599</v>
      </c>
      <c r="I137" s="201" t="s">
        <v>599</v>
      </c>
      <c r="J137" s="201" t="s">
        <v>599</v>
      </c>
      <c r="K137" s="201" t="s">
        <v>599</v>
      </c>
      <c r="L137" s="202" t="s">
        <v>599</v>
      </c>
      <c r="M137" s="201" t="s">
        <v>599</v>
      </c>
      <c r="N137" s="201" t="s">
        <v>599</v>
      </c>
      <c r="O137" s="201" t="s">
        <v>599</v>
      </c>
      <c r="P137" s="201" t="s">
        <v>599</v>
      </c>
      <c r="Q137" s="202" t="s">
        <v>599</v>
      </c>
      <c r="R137" s="201" t="s">
        <v>599</v>
      </c>
      <c r="S137" s="201" t="s">
        <v>599</v>
      </c>
      <c r="T137" s="201" t="s">
        <v>599</v>
      </c>
      <c r="U137" s="201" t="s">
        <v>599</v>
      </c>
      <c r="V137" s="202" t="s">
        <v>599</v>
      </c>
      <c r="Z137" s="173"/>
      <c r="AA137" s="226" t="s">
        <v>341</v>
      </c>
      <c r="AB137" s="226" t="s">
        <v>601</v>
      </c>
      <c r="AC137" s="201" t="s">
        <v>599</v>
      </c>
      <c r="AD137" s="201" t="s">
        <v>599</v>
      </c>
      <c r="AE137" s="201" t="s">
        <v>599</v>
      </c>
      <c r="AF137" s="201" t="s">
        <v>599</v>
      </c>
      <c r="AG137" s="201" t="s">
        <v>599</v>
      </c>
      <c r="AH137" s="201" t="s">
        <v>599</v>
      </c>
      <c r="AI137" s="201" t="s">
        <v>599</v>
      </c>
      <c r="AJ137" s="202" t="s">
        <v>599</v>
      </c>
      <c r="AK137" s="201" t="s">
        <v>599</v>
      </c>
      <c r="AL137" s="201" t="s">
        <v>599</v>
      </c>
      <c r="AM137" s="201" t="s">
        <v>599</v>
      </c>
      <c r="AN137" s="201" t="s">
        <v>599</v>
      </c>
      <c r="AO137" s="202" t="s">
        <v>599</v>
      </c>
      <c r="AP137" s="201" t="s">
        <v>599</v>
      </c>
      <c r="AQ137" s="201" t="s">
        <v>599</v>
      </c>
      <c r="AR137" s="201" t="s">
        <v>599</v>
      </c>
      <c r="AS137" s="201" t="s">
        <v>599</v>
      </c>
      <c r="AT137" s="202" t="s">
        <v>599</v>
      </c>
      <c r="AX137" s="173"/>
      <c r="AY137" s="226" t="s">
        <v>341</v>
      </c>
      <c r="AZ137" s="226" t="s">
        <v>601</v>
      </c>
      <c r="BA137" s="201" t="s">
        <v>599</v>
      </c>
      <c r="BB137" s="201" t="s">
        <v>599</v>
      </c>
      <c r="BC137" s="201" t="s">
        <v>599</v>
      </c>
      <c r="BD137" s="201" t="s">
        <v>599</v>
      </c>
      <c r="BE137" s="201" t="s">
        <v>599</v>
      </c>
      <c r="BF137" s="201" t="s">
        <v>599</v>
      </c>
      <c r="BG137" s="201" t="s">
        <v>599</v>
      </c>
      <c r="BH137" s="202" t="s">
        <v>599</v>
      </c>
      <c r="BI137" s="201" t="s">
        <v>599</v>
      </c>
      <c r="BJ137" s="201" t="s">
        <v>599</v>
      </c>
      <c r="BK137" s="201" t="s">
        <v>599</v>
      </c>
      <c r="BL137" s="201" t="s">
        <v>599</v>
      </c>
      <c r="BM137" s="202" t="s">
        <v>599</v>
      </c>
      <c r="BN137" s="201" t="s">
        <v>599</v>
      </c>
      <c r="BO137" s="201" t="s">
        <v>599</v>
      </c>
      <c r="BP137" s="201" t="s">
        <v>599</v>
      </c>
      <c r="BQ137" s="201" t="s">
        <v>599</v>
      </c>
      <c r="BR137" s="202" t="s">
        <v>599</v>
      </c>
      <c r="BV137" s="173"/>
      <c r="BW137" s="226" t="s">
        <v>341</v>
      </c>
      <c r="BX137" s="226" t="s">
        <v>601</v>
      </c>
      <c r="BY137" s="201" t="s">
        <v>599</v>
      </c>
      <c r="BZ137" s="201" t="s">
        <v>599</v>
      </c>
      <c r="CA137" s="201" t="s">
        <v>599</v>
      </c>
      <c r="CB137" s="201" t="s">
        <v>599</v>
      </c>
      <c r="CC137" s="201" t="s">
        <v>599</v>
      </c>
      <c r="CD137" s="201" t="s">
        <v>599</v>
      </c>
      <c r="CE137" s="201" t="s">
        <v>599</v>
      </c>
      <c r="CF137" s="202" t="s">
        <v>599</v>
      </c>
      <c r="CG137" s="201" t="s">
        <v>599</v>
      </c>
      <c r="CH137" s="201" t="s">
        <v>599</v>
      </c>
      <c r="CI137" s="201" t="s">
        <v>599</v>
      </c>
      <c r="CJ137" s="201" t="s">
        <v>599</v>
      </c>
      <c r="CK137" s="202" t="s">
        <v>599</v>
      </c>
      <c r="CL137" s="201" t="s">
        <v>599</v>
      </c>
      <c r="CM137" s="201" t="s">
        <v>599</v>
      </c>
      <c r="CN137" s="201" t="s">
        <v>599</v>
      </c>
      <c r="CO137" s="201" t="s">
        <v>599</v>
      </c>
      <c r="CP137" s="202" t="s">
        <v>599</v>
      </c>
      <c r="CT137" s="173"/>
      <c r="CU137" s="226" t="s">
        <v>341</v>
      </c>
      <c r="CV137" s="226" t="s">
        <v>601</v>
      </c>
      <c r="CW137" s="201" t="s">
        <v>599</v>
      </c>
      <c r="CX137" s="201" t="s">
        <v>599</v>
      </c>
      <c r="CY137" s="201" t="s">
        <v>599</v>
      </c>
      <c r="CZ137" s="201" t="s">
        <v>599</v>
      </c>
      <c r="DA137" s="201" t="s">
        <v>599</v>
      </c>
      <c r="DB137" s="201" t="s">
        <v>599</v>
      </c>
      <c r="DC137" s="201" t="s">
        <v>599</v>
      </c>
      <c r="DD137" s="202" t="s">
        <v>599</v>
      </c>
      <c r="DE137" s="201" t="s">
        <v>599</v>
      </c>
      <c r="DF137" s="201" t="s">
        <v>599</v>
      </c>
      <c r="DG137" s="201" t="s">
        <v>599</v>
      </c>
      <c r="DH137" s="201" t="s">
        <v>599</v>
      </c>
      <c r="DI137" s="202" t="s">
        <v>599</v>
      </c>
      <c r="DJ137" s="201" t="s">
        <v>599</v>
      </c>
      <c r="DK137" s="201" t="s">
        <v>599</v>
      </c>
      <c r="DL137" s="201" t="s">
        <v>599</v>
      </c>
      <c r="DM137" s="201" t="s">
        <v>599</v>
      </c>
      <c r="DN137" s="202" t="s">
        <v>599</v>
      </c>
    </row>
    <row r="138" spans="2:118" x14ac:dyDescent="0.3">
      <c r="B138" s="899">
        <v>1</v>
      </c>
      <c r="C138" s="911">
        <f>'Arable Inputs'!$H$18</f>
        <v>8.14</v>
      </c>
      <c r="D138" s="760">
        <f>'Arable Inputs'!$H$25*$E$134</f>
        <v>182.8</v>
      </c>
      <c r="E138" s="762">
        <f>C138*D138</f>
        <v>1487.9920000000002</v>
      </c>
      <c r="F138" s="197">
        <f>'Arable NPV'!$D117</f>
        <v>175.95</v>
      </c>
      <c r="G138" s="197">
        <f>E138+F138</f>
        <v>1663.9420000000002</v>
      </c>
      <c r="H138" s="197">
        <f>'Arable NPV'!$F117</f>
        <v>574.23049999999989</v>
      </c>
      <c r="I138" s="197">
        <f>'Arable NPV'!$G117</f>
        <v>636.366536</v>
      </c>
      <c r="J138" s="197">
        <f>H138+I138</f>
        <v>1210.5970359999999</v>
      </c>
      <c r="K138" s="197">
        <f>E138-J138</f>
        <v>277.3949640000003</v>
      </c>
      <c r="L138" s="197">
        <f>G138-J138</f>
        <v>453.34496400000035</v>
      </c>
      <c r="M138" s="196">
        <f>E138/(1+$B$4)^(B138-1)</f>
        <v>1487.9920000000002</v>
      </c>
      <c r="N138" s="197">
        <f>F138/(1+$B$4)^(B138-1)</f>
        <v>175.95</v>
      </c>
      <c r="O138" s="197">
        <f>J138/(1+$B$4)^(B138-1)</f>
        <v>1210.5970359999999</v>
      </c>
      <c r="P138" s="197">
        <f>K138/(1+$B$4)^(B138-1)</f>
        <v>277.3949640000003</v>
      </c>
      <c r="Q138" s="197">
        <f>L138/(1+$B$4)^(B138-1)</f>
        <v>453.34496400000035</v>
      </c>
      <c r="R138" s="196">
        <f>M138</f>
        <v>1487.9920000000002</v>
      </c>
      <c r="S138" s="197">
        <f>N138</f>
        <v>175.95</v>
      </c>
      <c r="T138" s="197">
        <f>O138</f>
        <v>1210.5970359999999</v>
      </c>
      <c r="U138" s="197">
        <f>P138</f>
        <v>277.3949640000003</v>
      </c>
      <c r="V138" s="199">
        <f>Q138</f>
        <v>453.34496400000035</v>
      </c>
      <c r="Z138" s="899">
        <v>1</v>
      </c>
      <c r="AA138" s="911">
        <f>'Arable Inputs'!$H$18</f>
        <v>8.14</v>
      </c>
      <c r="AB138" s="760">
        <f>'Arable Inputs'!$H$25*$AC$134</f>
        <v>274.20000000000005</v>
      </c>
      <c r="AC138" s="762">
        <f>AA138*AB138</f>
        <v>2231.9880000000007</v>
      </c>
      <c r="AD138" s="197">
        <f>'Arable NPV'!$D117</f>
        <v>175.95</v>
      </c>
      <c r="AE138" s="197">
        <f>AC138+AD138</f>
        <v>2407.9380000000006</v>
      </c>
      <c r="AF138" s="197">
        <f>'Arable NPV'!$F117</f>
        <v>574.23049999999989</v>
      </c>
      <c r="AG138" s="197">
        <f>'Arable NPV'!$G117</f>
        <v>636.366536</v>
      </c>
      <c r="AH138" s="197">
        <f>AF138+AG138</f>
        <v>1210.5970359999999</v>
      </c>
      <c r="AI138" s="197">
        <f>AC138-AH138</f>
        <v>1021.3909640000008</v>
      </c>
      <c r="AJ138" s="197">
        <f>AE138-AH138</f>
        <v>1197.3409640000007</v>
      </c>
      <c r="AK138" s="196">
        <f>AC138/(1+$B$4)^(Z138-1)</f>
        <v>2231.9880000000007</v>
      </c>
      <c r="AL138" s="197">
        <f>AD138/(1+$B$4)^(Z138-1)</f>
        <v>175.95</v>
      </c>
      <c r="AM138" s="197">
        <f>AH138/(1+$B$4)^(Z138-1)</f>
        <v>1210.5970359999999</v>
      </c>
      <c r="AN138" s="197">
        <f>AI138/(1+$B$4)^(Z138-1)</f>
        <v>1021.3909640000008</v>
      </c>
      <c r="AO138" s="197">
        <f>AJ138/(1+$B$4)^(Z138-1)</f>
        <v>1197.3409640000007</v>
      </c>
      <c r="AP138" s="196">
        <f>AK138</f>
        <v>2231.9880000000007</v>
      </c>
      <c r="AQ138" s="197">
        <f>AL138</f>
        <v>175.95</v>
      </c>
      <c r="AR138" s="197">
        <f>AM138</f>
        <v>1210.5970359999999</v>
      </c>
      <c r="AS138" s="197">
        <f>AN138</f>
        <v>1021.3909640000008</v>
      </c>
      <c r="AT138" s="199">
        <f>AO138</f>
        <v>1197.3409640000007</v>
      </c>
      <c r="AX138" s="899">
        <v>1</v>
      </c>
      <c r="AY138" s="911">
        <f>'Arable Inputs'!$H$18</f>
        <v>8.14</v>
      </c>
      <c r="AZ138" s="760">
        <f>'Arable Inputs'!$H$25*$BA$134</f>
        <v>91.4</v>
      </c>
      <c r="BA138" s="762">
        <f>AY138*AZ138</f>
        <v>743.99600000000009</v>
      </c>
      <c r="BB138" s="197">
        <f>'Arable NPV'!$D117</f>
        <v>175.95</v>
      </c>
      <c r="BC138" s="197">
        <f>BA138+BB138</f>
        <v>919.94600000000014</v>
      </c>
      <c r="BD138" s="197">
        <f>'Arable NPV'!$F117</f>
        <v>574.23049999999989</v>
      </c>
      <c r="BE138" s="197">
        <f>'Arable NPV'!$G117</f>
        <v>636.366536</v>
      </c>
      <c r="BF138" s="197">
        <f>BD138+BE138</f>
        <v>1210.5970359999999</v>
      </c>
      <c r="BG138" s="197">
        <f>BA138-BF138</f>
        <v>-466.60103599999979</v>
      </c>
      <c r="BH138" s="197">
        <f>BC138-BF138</f>
        <v>-290.65103599999975</v>
      </c>
      <c r="BI138" s="196">
        <f>BA138/(1+$B$4)^(AX138-1)</f>
        <v>743.99600000000009</v>
      </c>
      <c r="BJ138" s="197">
        <f>BB138/(1+$B$4)^(AX138-1)</f>
        <v>175.95</v>
      </c>
      <c r="BK138" s="197">
        <f>BF138/(1+$B$4)^(AX138-1)</f>
        <v>1210.5970359999999</v>
      </c>
      <c r="BL138" s="197">
        <f>BG138/(1+$B$4)^(AX138-1)</f>
        <v>-466.60103599999979</v>
      </c>
      <c r="BM138" s="197">
        <f>BH138/(1+$B$4)^(AX138-1)</f>
        <v>-290.65103599999975</v>
      </c>
      <c r="BN138" s="196">
        <f>BI138</f>
        <v>743.99600000000009</v>
      </c>
      <c r="BO138" s="197">
        <f>BJ138</f>
        <v>175.95</v>
      </c>
      <c r="BP138" s="197">
        <f>BK138</f>
        <v>1210.5970359999999</v>
      </c>
      <c r="BQ138" s="197">
        <f>BL138</f>
        <v>-466.60103599999979</v>
      </c>
      <c r="BR138" s="199">
        <f>BM138</f>
        <v>-290.65103599999975</v>
      </c>
      <c r="BV138" s="899">
        <v>1</v>
      </c>
      <c r="BW138" s="911">
        <f>'Arable Inputs'!$H$18</f>
        <v>8.14</v>
      </c>
      <c r="BX138" s="760">
        <f>'Arable Inputs'!$H$25*$BY$134</f>
        <v>365.6</v>
      </c>
      <c r="BY138" s="762">
        <f>BW138*BX138</f>
        <v>2975.9840000000004</v>
      </c>
      <c r="BZ138" s="197">
        <f>'Arable NPV'!$D117</f>
        <v>175.95</v>
      </c>
      <c r="CA138" s="197">
        <f>BY138+BZ138</f>
        <v>3151.9340000000002</v>
      </c>
      <c r="CB138" s="197">
        <f>'Arable NPV'!$F117</f>
        <v>574.23049999999989</v>
      </c>
      <c r="CC138" s="197">
        <f>'Arable NPV'!$G117</f>
        <v>636.366536</v>
      </c>
      <c r="CD138" s="197">
        <f>CB138+CC138</f>
        <v>1210.5970359999999</v>
      </c>
      <c r="CE138" s="197">
        <f>BY138-CD138</f>
        <v>1765.3869640000005</v>
      </c>
      <c r="CF138" s="197">
        <f>CA138-CD138</f>
        <v>1941.3369640000003</v>
      </c>
      <c r="CG138" s="196">
        <f>BY138/(1+$B$4)^(BV138-1)</f>
        <v>2975.9840000000004</v>
      </c>
      <c r="CH138" s="197">
        <f>BZ138/(1+$B$4)^(BV138-1)</f>
        <v>175.95</v>
      </c>
      <c r="CI138" s="197">
        <f>CD138/(1+$B$4)^(BV138-1)</f>
        <v>1210.5970359999999</v>
      </c>
      <c r="CJ138" s="197">
        <f>CE138/(1+$B$4)^(BV138-1)</f>
        <v>1765.3869640000005</v>
      </c>
      <c r="CK138" s="197">
        <f>CF138/(1+$B$4)^(BV138-1)</f>
        <v>1941.3369640000003</v>
      </c>
      <c r="CL138" s="196">
        <f>CG138</f>
        <v>2975.9840000000004</v>
      </c>
      <c r="CM138" s="197">
        <f>CH138</f>
        <v>175.95</v>
      </c>
      <c r="CN138" s="197">
        <f>CI138</f>
        <v>1210.5970359999999</v>
      </c>
      <c r="CO138" s="197">
        <f>CJ138</f>
        <v>1765.3869640000005</v>
      </c>
      <c r="CP138" s="199">
        <f>CK138</f>
        <v>1941.3369640000003</v>
      </c>
      <c r="CT138" s="899">
        <v>1</v>
      </c>
      <c r="CU138" s="911">
        <f>'Arable Inputs'!$H$18</f>
        <v>8.14</v>
      </c>
      <c r="CV138" s="760">
        <f>'Arable Inputs'!$H$25*$CW$134</f>
        <v>0</v>
      </c>
      <c r="CW138" s="762">
        <f>CU138*CV138</f>
        <v>0</v>
      </c>
      <c r="CX138" s="197">
        <f>'Arable NPV'!$D117</f>
        <v>175.95</v>
      </c>
      <c r="CY138" s="197">
        <f>CW138+CX138</f>
        <v>175.95</v>
      </c>
      <c r="CZ138" s="197">
        <f>'Arable NPV'!$F117</f>
        <v>574.23049999999989</v>
      </c>
      <c r="DA138" s="197">
        <f>'Arable NPV'!$G117</f>
        <v>636.366536</v>
      </c>
      <c r="DB138" s="197">
        <f>CZ138+DA138</f>
        <v>1210.5970359999999</v>
      </c>
      <c r="DC138" s="197">
        <f>CW138-DB138</f>
        <v>-1210.5970359999999</v>
      </c>
      <c r="DD138" s="197">
        <f>CY138-DB138</f>
        <v>-1034.6470359999998</v>
      </c>
      <c r="DE138" s="196">
        <f>CW138/(1+$B$4)^(CT138-1)</f>
        <v>0</v>
      </c>
      <c r="DF138" s="197">
        <f>CX138/(1+$B$4)^(CT138-1)</f>
        <v>175.95</v>
      </c>
      <c r="DG138" s="197">
        <f>DB138/(1+$B$4)^(CT138-1)</f>
        <v>1210.5970359999999</v>
      </c>
      <c r="DH138" s="197">
        <f>DC138/(1+$B$4)^(CT138-1)</f>
        <v>-1210.5970359999999</v>
      </c>
      <c r="DI138" s="197">
        <f>DD138/(1+$B$4)^(CT138-1)</f>
        <v>-1034.6470359999998</v>
      </c>
      <c r="DJ138" s="196">
        <f>DE138</f>
        <v>0</v>
      </c>
      <c r="DK138" s="197">
        <f>DF138</f>
        <v>175.95</v>
      </c>
      <c r="DL138" s="197">
        <f>DG138</f>
        <v>1210.5970359999999</v>
      </c>
      <c r="DM138" s="197">
        <f>DH138</f>
        <v>-1210.5970359999999</v>
      </c>
      <c r="DN138" s="199">
        <f>DI138</f>
        <v>-1034.6470359999998</v>
      </c>
    </row>
    <row r="139" spans="2:118" x14ac:dyDescent="0.3">
      <c r="B139" s="900">
        <v>2</v>
      </c>
      <c r="C139" s="911">
        <f>'Arable Inputs'!$H$18</f>
        <v>8.14</v>
      </c>
      <c r="D139" s="760">
        <f>'Arable Inputs'!$H$25*$E$134</f>
        <v>182.8</v>
      </c>
      <c r="E139" s="762">
        <f t="shared" ref="E139:E153" si="368">C139*D139</f>
        <v>1487.9920000000002</v>
      </c>
      <c r="F139" s="197">
        <f>'Arable NPV'!$D118</f>
        <v>175.95</v>
      </c>
      <c r="G139" s="197">
        <f>E139+F139</f>
        <v>1663.9420000000002</v>
      </c>
      <c r="H139" s="197">
        <f>'Arable NPV'!$F118</f>
        <v>574.23049999999989</v>
      </c>
      <c r="I139" s="197">
        <f>'Arable NPV'!$G118</f>
        <v>636.366536</v>
      </c>
      <c r="J139" s="197">
        <f>H139+I139</f>
        <v>1210.5970359999999</v>
      </c>
      <c r="K139" s="197">
        <f t="shared" ref="K139:K153" si="369">E139-J139</f>
        <v>277.3949640000003</v>
      </c>
      <c r="L139" s="197">
        <f t="shared" ref="L139:L153" si="370">G139-J139</f>
        <v>453.34496400000035</v>
      </c>
      <c r="M139" s="196">
        <f t="shared" ref="M139:M153" si="371">E139/(1+$B$4)^(B139-1)</f>
        <v>1430.7615384615385</v>
      </c>
      <c r="N139" s="197">
        <f t="shared" ref="N139:N153" si="372">F139/(1+$B$4)^(B139-1)</f>
        <v>169.18269230769229</v>
      </c>
      <c r="O139" s="197">
        <f t="shared" ref="O139:O152" si="373">J139/(1+$B$4)^(B139-1)</f>
        <v>1164.0356115384614</v>
      </c>
      <c r="P139" s="197">
        <f t="shared" ref="P139:P152" si="374">K139/(1+$B$4)^(B139-1)</f>
        <v>266.72592692307722</v>
      </c>
      <c r="Q139" s="197">
        <f t="shared" ref="Q139:Q152" si="375">L139/(1+$B$4)^(B139-1)</f>
        <v>435.90861923076955</v>
      </c>
      <c r="R139" s="196">
        <f t="shared" ref="R139:R153" si="376">R138+M139</f>
        <v>2918.7535384615385</v>
      </c>
      <c r="S139" s="197">
        <f t="shared" ref="S139:S153" si="377">S138+N139</f>
        <v>345.13269230769231</v>
      </c>
      <c r="T139" s="197">
        <f t="shared" ref="T139:T153" si="378">T138+O139</f>
        <v>2374.6326475384612</v>
      </c>
      <c r="U139" s="197">
        <f t="shared" ref="U139:U153" si="379">U138+P139</f>
        <v>544.12089092307747</v>
      </c>
      <c r="V139" s="199">
        <f t="shared" ref="V139:V153" si="380">V138+Q139</f>
        <v>889.25358323076989</v>
      </c>
      <c r="Z139" s="900">
        <v>2</v>
      </c>
      <c r="AA139" s="911">
        <f>'Arable Inputs'!$H$18</f>
        <v>8.14</v>
      </c>
      <c r="AB139" s="760">
        <f>'Arable Inputs'!$H$25*$AC$134</f>
        <v>274.20000000000005</v>
      </c>
      <c r="AC139" s="762">
        <f t="shared" ref="AC139:AC153" si="381">AA139*AB139</f>
        <v>2231.9880000000007</v>
      </c>
      <c r="AD139" s="197">
        <f>'Arable NPV'!$D118</f>
        <v>175.95</v>
      </c>
      <c r="AE139" s="197">
        <f>AC139+AD139</f>
        <v>2407.9380000000006</v>
      </c>
      <c r="AF139" s="197">
        <f>'Arable NPV'!$F118</f>
        <v>574.23049999999989</v>
      </c>
      <c r="AG139" s="197">
        <f>'Arable NPV'!$G118</f>
        <v>636.366536</v>
      </c>
      <c r="AH139" s="197">
        <f>AF139+AG139</f>
        <v>1210.5970359999999</v>
      </c>
      <c r="AI139" s="197">
        <f t="shared" ref="AI139:AI153" si="382">AC139-AH139</f>
        <v>1021.3909640000008</v>
      </c>
      <c r="AJ139" s="197">
        <f t="shared" ref="AJ139:AJ153" si="383">AE139-AH139</f>
        <v>1197.3409640000007</v>
      </c>
      <c r="AK139" s="196">
        <f t="shared" ref="AK139:AK153" si="384">AC139/(1+$B$4)^(Z139-1)</f>
        <v>2146.1423076923083</v>
      </c>
      <c r="AL139" s="197">
        <f t="shared" ref="AL139:AL153" si="385">AD139/(1+$B$4)^(Z139-1)</f>
        <v>169.18269230769229</v>
      </c>
      <c r="AM139" s="197">
        <f t="shared" ref="AM139:AM152" si="386">AH139/(1+$B$4)^(Z139-1)</f>
        <v>1164.0356115384614</v>
      </c>
      <c r="AN139" s="197">
        <f t="shared" ref="AN139:AN152" si="387">AI139/(1+$B$4)^(Z139-1)</f>
        <v>982.10669615384688</v>
      </c>
      <c r="AO139" s="197">
        <f t="shared" ref="AO139:AO152" si="388">AJ139/(1+$B$4)^(Z139-1)</f>
        <v>1151.2893884615391</v>
      </c>
      <c r="AP139" s="196">
        <f t="shared" ref="AP139:AP153" si="389">AP138+AK139</f>
        <v>4378.1303076923086</v>
      </c>
      <c r="AQ139" s="197">
        <f t="shared" ref="AQ139:AQ153" si="390">AQ138+AL139</f>
        <v>345.13269230769231</v>
      </c>
      <c r="AR139" s="197">
        <f t="shared" ref="AR139:AR153" si="391">AR138+AM139</f>
        <v>2374.6326475384612</v>
      </c>
      <c r="AS139" s="197">
        <f t="shared" ref="AS139:AS153" si="392">AS138+AN139</f>
        <v>2003.4976601538478</v>
      </c>
      <c r="AT139" s="199">
        <f t="shared" ref="AT139:AT153" si="393">AT138+AO139</f>
        <v>2348.6303524615396</v>
      </c>
      <c r="AX139" s="900">
        <v>2</v>
      </c>
      <c r="AY139" s="911">
        <f>'Arable Inputs'!$H$18</f>
        <v>8.14</v>
      </c>
      <c r="AZ139" s="760">
        <f>'Arable Inputs'!$H$25*$BA$134</f>
        <v>91.4</v>
      </c>
      <c r="BA139" s="762">
        <f t="shared" ref="BA139:BA153" si="394">AY139*AZ139</f>
        <v>743.99600000000009</v>
      </c>
      <c r="BB139" s="197">
        <f>'Arable NPV'!$D118</f>
        <v>175.95</v>
      </c>
      <c r="BC139" s="197">
        <f>BA139+BB139</f>
        <v>919.94600000000014</v>
      </c>
      <c r="BD139" s="197">
        <f>'Arable NPV'!$F118</f>
        <v>574.23049999999989</v>
      </c>
      <c r="BE139" s="197">
        <f>'Arable NPV'!$G118</f>
        <v>636.366536</v>
      </c>
      <c r="BF139" s="197">
        <f>BD139+BE139</f>
        <v>1210.5970359999999</v>
      </c>
      <c r="BG139" s="197">
        <f t="shared" ref="BG139:BG153" si="395">BA139-BF139</f>
        <v>-466.60103599999979</v>
      </c>
      <c r="BH139" s="197">
        <f t="shared" ref="BH139:BH153" si="396">BC139-BF139</f>
        <v>-290.65103599999975</v>
      </c>
      <c r="BI139" s="196">
        <f t="shared" ref="BI139:BI153" si="397">BA139/(1+$B$4)^(AX139-1)</f>
        <v>715.38076923076926</v>
      </c>
      <c r="BJ139" s="197">
        <f t="shared" ref="BJ139:BJ153" si="398">BB139/(1+$B$4)^(AX139-1)</f>
        <v>169.18269230769229</v>
      </c>
      <c r="BK139" s="197">
        <f t="shared" ref="BK139:BK152" si="399">BF139/(1+$B$4)^(AX139-1)</f>
        <v>1164.0356115384614</v>
      </c>
      <c r="BL139" s="197">
        <f t="shared" ref="BL139:BL152" si="400">BG139/(1+$B$4)^(AX139-1)</f>
        <v>-448.65484230769209</v>
      </c>
      <c r="BM139" s="197">
        <f t="shared" ref="BM139:BM152" si="401">BH139/(1+$B$4)^(AX139-1)</f>
        <v>-279.47214999999977</v>
      </c>
      <c r="BN139" s="196">
        <f t="shared" ref="BN139:BN153" si="402">BN138+BI139</f>
        <v>1459.3767692307692</v>
      </c>
      <c r="BO139" s="197">
        <f t="shared" ref="BO139:BO153" si="403">BO138+BJ139</f>
        <v>345.13269230769231</v>
      </c>
      <c r="BP139" s="197">
        <f t="shared" ref="BP139:BP153" si="404">BP138+BK139</f>
        <v>2374.6326475384612</v>
      </c>
      <c r="BQ139" s="197">
        <f t="shared" ref="BQ139:BQ153" si="405">BQ138+BL139</f>
        <v>-915.25587830769189</v>
      </c>
      <c r="BR139" s="199">
        <f t="shared" ref="BR139:BR153" si="406">BR138+BM139</f>
        <v>-570.12318599999958</v>
      </c>
      <c r="BV139" s="900">
        <v>2</v>
      </c>
      <c r="BW139" s="911">
        <f>'Arable Inputs'!$H$18</f>
        <v>8.14</v>
      </c>
      <c r="BX139" s="760">
        <f>'Arable Inputs'!$H$25*$BY$134</f>
        <v>365.6</v>
      </c>
      <c r="BY139" s="762">
        <f t="shared" ref="BY139:BY153" si="407">BW139*BX139</f>
        <v>2975.9840000000004</v>
      </c>
      <c r="BZ139" s="197">
        <f>'Arable NPV'!$D118</f>
        <v>175.95</v>
      </c>
      <c r="CA139" s="197">
        <f>BY139+BZ139</f>
        <v>3151.9340000000002</v>
      </c>
      <c r="CB139" s="197">
        <f>'Arable NPV'!$F118</f>
        <v>574.23049999999989</v>
      </c>
      <c r="CC139" s="197">
        <f>'Arable NPV'!$G118</f>
        <v>636.366536</v>
      </c>
      <c r="CD139" s="197">
        <f>CB139+CC139</f>
        <v>1210.5970359999999</v>
      </c>
      <c r="CE139" s="197">
        <f t="shared" ref="CE139:CE153" si="408">BY139-CD139</f>
        <v>1765.3869640000005</v>
      </c>
      <c r="CF139" s="197">
        <f t="shared" ref="CF139:CF153" si="409">CA139-CD139</f>
        <v>1941.3369640000003</v>
      </c>
      <c r="CG139" s="196">
        <f t="shared" ref="CG139:CG153" si="410">BY139/(1+$B$4)^(BV139-1)</f>
        <v>2861.523076923077</v>
      </c>
      <c r="CH139" s="197">
        <f t="shared" ref="CH139:CH153" si="411">BZ139/(1+$B$4)^(BV139-1)</f>
        <v>169.18269230769229</v>
      </c>
      <c r="CI139" s="197">
        <f t="shared" ref="CI139:CI152" si="412">CD139/(1+$B$4)^(BV139-1)</f>
        <v>1164.0356115384614</v>
      </c>
      <c r="CJ139" s="197">
        <f t="shared" ref="CJ139:CJ152" si="413">CE139/(1+$B$4)^(BV139-1)</f>
        <v>1697.4874653846157</v>
      </c>
      <c r="CK139" s="197">
        <f t="shared" ref="CK139:CK152" si="414">CF139/(1+$B$4)^(BV139-1)</f>
        <v>1866.6701576923078</v>
      </c>
      <c r="CL139" s="196">
        <f t="shared" ref="CL139:CL153" si="415">CL138+CG139</f>
        <v>5837.507076923077</v>
      </c>
      <c r="CM139" s="197">
        <f t="shared" ref="CM139:CM153" si="416">CM138+CH139</f>
        <v>345.13269230769231</v>
      </c>
      <c r="CN139" s="197">
        <f t="shared" ref="CN139:CN153" si="417">CN138+CI139</f>
        <v>2374.6326475384612</v>
      </c>
      <c r="CO139" s="197">
        <f t="shared" ref="CO139:CO153" si="418">CO138+CJ139</f>
        <v>3462.8744293846162</v>
      </c>
      <c r="CP139" s="199">
        <f t="shared" ref="CP139:CP153" si="419">CP138+CK139</f>
        <v>3808.0071216923079</v>
      </c>
      <c r="CT139" s="900">
        <v>2</v>
      </c>
      <c r="CU139" s="911">
        <f>'Arable Inputs'!$H$18</f>
        <v>8.14</v>
      </c>
      <c r="CV139" s="760">
        <f>'Arable Inputs'!$H$25*$CW$134</f>
        <v>0</v>
      </c>
      <c r="CW139" s="762">
        <f t="shared" ref="CW139:CW153" si="420">CU139*CV139</f>
        <v>0</v>
      </c>
      <c r="CX139" s="197">
        <f>'Arable NPV'!$D118</f>
        <v>175.95</v>
      </c>
      <c r="CY139" s="197">
        <f>CW139+CX139</f>
        <v>175.95</v>
      </c>
      <c r="CZ139" s="197">
        <f>'Arable NPV'!$F118</f>
        <v>574.23049999999989</v>
      </c>
      <c r="DA139" s="197">
        <f>'Arable NPV'!$G118</f>
        <v>636.366536</v>
      </c>
      <c r="DB139" s="197">
        <f>CZ139+DA139</f>
        <v>1210.5970359999999</v>
      </c>
      <c r="DC139" s="197">
        <f t="shared" ref="DC139:DC153" si="421">CW139-DB139</f>
        <v>-1210.5970359999999</v>
      </c>
      <c r="DD139" s="197">
        <f t="shared" ref="DD139:DD153" si="422">CY139-DB139</f>
        <v>-1034.6470359999998</v>
      </c>
      <c r="DE139" s="196">
        <f t="shared" ref="DE139:DE152" si="423">CW139/(1+$B$4)^(CT139-1)</f>
        <v>0</v>
      </c>
      <c r="DF139" s="197">
        <f t="shared" ref="DF139:DF152" si="424">CX139/(1+$B$4)^(CT139-1)</f>
        <v>169.18269230769229</v>
      </c>
      <c r="DG139" s="197">
        <f t="shared" ref="DG139:DG152" si="425">DB139/(1+$B$4)^(CT139-1)</f>
        <v>1164.0356115384614</v>
      </c>
      <c r="DH139" s="197">
        <f t="shared" ref="DH139:DH152" si="426">DC139/(1+$B$4)^(CT139-1)</f>
        <v>-1164.0356115384614</v>
      </c>
      <c r="DI139" s="197">
        <f t="shared" ref="DI139:DI152" si="427">DD139/(1+$B$4)^(CT139-1)</f>
        <v>-994.85291923076909</v>
      </c>
      <c r="DJ139" s="196">
        <f t="shared" ref="DJ139:DJ153" si="428">DJ138+DE139</f>
        <v>0</v>
      </c>
      <c r="DK139" s="197">
        <f t="shared" ref="DK139:DK153" si="429">DK138+DF139</f>
        <v>345.13269230769231</v>
      </c>
      <c r="DL139" s="197">
        <f t="shared" ref="DL139:DL153" si="430">DL138+DG139</f>
        <v>2374.6326475384612</v>
      </c>
      <c r="DM139" s="197">
        <f t="shared" ref="DM139:DM153" si="431">DM138+DH139</f>
        <v>-2374.6326475384612</v>
      </c>
      <c r="DN139" s="199">
        <f t="shared" ref="DN139:DN153" si="432">DN138+DI139</f>
        <v>-2029.499955230769</v>
      </c>
    </row>
    <row r="140" spans="2:118" x14ac:dyDescent="0.3">
      <c r="B140" s="900">
        <v>3</v>
      </c>
      <c r="C140" s="911">
        <f>'Arable Inputs'!$H$18</f>
        <v>8.14</v>
      </c>
      <c r="D140" s="760">
        <f>'Arable Inputs'!$H$25*$E$134</f>
        <v>182.8</v>
      </c>
      <c r="E140" s="762">
        <f t="shared" si="368"/>
        <v>1487.9920000000002</v>
      </c>
      <c r="F140" s="197">
        <f>'Arable NPV'!$D119</f>
        <v>175.95</v>
      </c>
      <c r="G140" s="197">
        <f t="shared" ref="G140:G152" si="433">E140+F140</f>
        <v>1663.9420000000002</v>
      </c>
      <c r="H140" s="197">
        <f>'Arable NPV'!$F119</f>
        <v>574.23049999999989</v>
      </c>
      <c r="I140" s="197">
        <f>'Arable NPV'!$G119</f>
        <v>636.366536</v>
      </c>
      <c r="J140" s="197">
        <f t="shared" ref="J140:J153" si="434">H140+I140</f>
        <v>1210.5970359999999</v>
      </c>
      <c r="K140" s="197">
        <f t="shared" si="369"/>
        <v>277.3949640000003</v>
      </c>
      <c r="L140" s="197">
        <f t="shared" si="370"/>
        <v>453.34496400000035</v>
      </c>
      <c r="M140" s="196">
        <f t="shared" si="371"/>
        <v>1375.7322485207101</v>
      </c>
      <c r="N140" s="197">
        <f t="shared" si="372"/>
        <v>162.67566568047334</v>
      </c>
      <c r="O140" s="197">
        <f t="shared" si="373"/>
        <v>1119.2650110946743</v>
      </c>
      <c r="P140" s="197">
        <f t="shared" si="374"/>
        <v>256.46723742603575</v>
      </c>
      <c r="Q140" s="197">
        <f t="shared" si="375"/>
        <v>419.14290310650915</v>
      </c>
      <c r="R140" s="196">
        <f t="shared" si="376"/>
        <v>4294.4857869822481</v>
      </c>
      <c r="S140" s="197">
        <f t="shared" si="377"/>
        <v>507.80835798816565</v>
      </c>
      <c r="T140" s="197">
        <f t="shared" si="378"/>
        <v>3493.8976586331355</v>
      </c>
      <c r="U140" s="197">
        <f t="shared" si="379"/>
        <v>800.58812834911328</v>
      </c>
      <c r="V140" s="199">
        <f t="shared" si="380"/>
        <v>1308.3964863372789</v>
      </c>
      <c r="Z140" s="900">
        <v>3</v>
      </c>
      <c r="AA140" s="911">
        <f>'Arable Inputs'!$H$18</f>
        <v>8.14</v>
      </c>
      <c r="AB140" s="760">
        <f>'Arable Inputs'!$H$25*$AC$134</f>
        <v>274.20000000000005</v>
      </c>
      <c r="AC140" s="762">
        <f t="shared" si="381"/>
        <v>2231.9880000000007</v>
      </c>
      <c r="AD140" s="197">
        <f>'Arable NPV'!$D119</f>
        <v>175.95</v>
      </c>
      <c r="AE140" s="197">
        <f t="shared" ref="AE140:AE152" si="435">AC140+AD140</f>
        <v>2407.9380000000006</v>
      </c>
      <c r="AF140" s="197">
        <f>'Arable NPV'!$F119</f>
        <v>574.23049999999989</v>
      </c>
      <c r="AG140" s="197">
        <f>'Arable NPV'!$G119</f>
        <v>636.366536</v>
      </c>
      <c r="AH140" s="197">
        <f t="shared" ref="AH140:AH153" si="436">AF140+AG140</f>
        <v>1210.5970359999999</v>
      </c>
      <c r="AI140" s="197">
        <f t="shared" si="382"/>
        <v>1021.3909640000008</v>
      </c>
      <c r="AJ140" s="197">
        <f t="shared" si="383"/>
        <v>1197.3409640000007</v>
      </c>
      <c r="AK140" s="196">
        <f t="shared" si="384"/>
        <v>2063.5983727810653</v>
      </c>
      <c r="AL140" s="197">
        <f t="shared" si="385"/>
        <v>162.67566568047334</v>
      </c>
      <c r="AM140" s="197">
        <f t="shared" si="386"/>
        <v>1119.2650110946743</v>
      </c>
      <c r="AN140" s="197">
        <f t="shared" si="387"/>
        <v>944.33336168639119</v>
      </c>
      <c r="AO140" s="197">
        <f t="shared" si="388"/>
        <v>1107.0090273668643</v>
      </c>
      <c r="AP140" s="196">
        <f t="shared" si="389"/>
        <v>6441.728680473374</v>
      </c>
      <c r="AQ140" s="197">
        <f t="shared" si="390"/>
        <v>507.80835798816565</v>
      </c>
      <c r="AR140" s="197">
        <f t="shared" si="391"/>
        <v>3493.8976586331355</v>
      </c>
      <c r="AS140" s="197">
        <f t="shared" si="392"/>
        <v>2947.8310218402389</v>
      </c>
      <c r="AT140" s="199">
        <f t="shared" si="393"/>
        <v>3455.6393798284039</v>
      </c>
      <c r="AX140" s="900">
        <v>3</v>
      </c>
      <c r="AY140" s="911">
        <f>'Arable Inputs'!$H$18</f>
        <v>8.14</v>
      </c>
      <c r="AZ140" s="760">
        <f>'Arable Inputs'!$H$25*$BA$134</f>
        <v>91.4</v>
      </c>
      <c r="BA140" s="762">
        <f t="shared" si="394"/>
        <v>743.99600000000009</v>
      </c>
      <c r="BB140" s="197">
        <f>'Arable NPV'!$D119</f>
        <v>175.95</v>
      </c>
      <c r="BC140" s="197">
        <f t="shared" ref="BC140:BC152" si="437">BA140+BB140</f>
        <v>919.94600000000014</v>
      </c>
      <c r="BD140" s="197">
        <f>'Arable NPV'!$F119</f>
        <v>574.23049999999989</v>
      </c>
      <c r="BE140" s="197">
        <f>'Arable NPV'!$G119</f>
        <v>636.366536</v>
      </c>
      <c r="BF140" s="197">
        <f t="shared" ref="BF140:BF153" si="438">BD140+BE140</f>
        <v>1210.5970359999999</v>
      </c>
      <c r="BG140" s="197">
        <f t="shared" si="395"/>
        <v>-466.60103599999979</v>
      </c>
      <c r="BH140" s="197">
        <f t="shared" si="396"/>
        <v>-290.65103599999975</v>
      </c>
      <c r="BI140" s="196">
        <f t="shared" si="397"/>
        <v>687.86612426035504</v>
      </c>
      <c r="BJ140" s="197">
        <f t="shared" si="398"/>
        <v>162.67566568047334</v>
      </c>
      <c r="BK140" s="197">
        <f t="shared" si="399"/>
        <v>1119.2650110946743</v>
      </c>
      <c r="BL140" s="197">
        <f t="shared" si="400"/>
        <v>-431.39888683431928</v>
      </c>
      <c r="BM140" s="197">
        <f t="shared" si="401"/>
        <v>-268.72322115384588</v>
      </c>
      <c r="BN140" s="196">
        <f t="shared" si="402"/>
        <v>2147.2428934911241</v>
      </c>
      <c r="BO140" s="197">
        <f t="shared" si="403"/>
        <v>507.80835798816565</v>
      </c>
      <c r="BP140" s="197">
        <f t="shared" si="404"/>
        <v>3493.8976586331355</v>
      </c>
      <c r="BQ140" s="197">
        <f t="shared" si="405"/>
        <v>-1346.6547651420112</v>
      </c>
      <c r="BR140" s="199">
        <f t="shared" si="406"/>
        <v>-838.84640715384546</v>
      </c>
      <c r="BV140" s="900">
        <v>3</v>
      </c>
      <c r="BW140" s="911">
        <f>'Arable Inputs'!$H$18</f>
        <v>8.14</v>
      </c>
      <c r="BX140" s="760">
        <f>'Arable Inputs'!$H$25*$BY$134</f>
        <v>365.6</v>
      </c>
      <c r="BY140" s="762">
        <f t="shared" si="407"/>
        <v>2975.9840000000004</v>
      </c>
      <c r="BZ140" s="197">
        <f>'Arable NPV'!$D119</f>
        <v>175.95</v>
      </c>
      <c r="CA140" s="197">
        <f t="shared" ref="CA140:CA152" si="439">BY140+BZ140</f>
        <v>3151.9340000000002</v>
      </c>
      <c r="CB140" s="197">
        <f>'Arable NPV'!$F119</f>
        <v>574.23049999999989</v>
      </c>
      <c r="CC140" s="197">
        <f>'Arable NPV'!$G119</f>
        <v>636.366536</v>
      </c>
      <c r="CD140" s="197">
        <f t="shared" ref="CD140:CD153" si="440">CB140+CC140</f>
        <v>1210.5970359999999</v>
      </c>
      <c r="CE140" s="197">
        <f t="shared" si="408"/>
        <v>1765.3869640000005</v>
      </c>
      <c r="CF140" s="197">
        <f t="shared" si="409"/>
        <v>1941.3369640000003</v>
      </c>
      <c r="CG140" s="196">
        <f t="shared" si="410"/>
        <v>2751.4644970414201</v>
      </c>
      <c r="CH140" s="197">
        <f t="shared" si="411"/>
        <v>162.67566568047334</v>
      </c>
      <c r="CI140" s="197">
        <f t="shared" si="412"/>
        <v>1119.2650110946743</v>
      </c>
      <c r="CJ140" s="197">
        <f t="shared" si="413"/>
        <v>1632.1994859467459</v>
      </c>
      <c r="CK140" s="197">
        <f t="shared" si="414"/>
        <v>1794.8751516272191</v>
      </c>
      <c r="CL140" s="196">
        <f t="shared" si="415"/>
        <v>8588.9715739644962</v>
      </c>
      <c r="CM140" s="197">
        <f t="shared" si="416"/>
        <v>507.80835798816565</v>
      </c>
      <c r="CN140" s="197">
        <f t="shared" si="417"/>
        <v>3493.8976586331355</v>
      </c>
      <c r="CO140" s="197">
        <f t="shared" si="418"/>
        <v>5095.0739153313625</v>
      </c>
      <c r="CP140" s="199">
        <f t="shared" si="419"/>
        <v>5602.8822733195266</v>
      </c>
      <c r="CT140" s="900">
        <v>3</v>
      </c>
      <c r="CU140" s="911">
        <f>'Arable Inputs'!$H$18</f>
        <v>8.14</v>
      </c>
      <c r="CV140" s="760">
        <f>'Arable Inputs'!$H$25*$CW$134</f>
        <v>0</v>
      </c>
      <c r="CW140" s="762">
        <f t="shared" si="420"/>
        <v>0</v>
      </c>
      <c r="CX140" s="197">
        <f>'Arable NPV'!$D119</f>
        <v>175.95</v>
      </c>
      <c r="CY140" s="197">
        <f t="shared" ref="CY140:CY152" si="441">CW140+CX140</f>
        <v>175.95</v>
      </c>
      <c r="CZ140" s="197">
        <f>'Arable NPV'!$F119</f>
        <v>574.23049999999989</v>
      </c>
      <c r="DA140" s="197">
        <f>'Arable NPV'!$G119</f>
        <v>636.366536</v>
      </c>
      <c r="DB140" s="197">
        <f t="shared" ref="DB140:DB153" si="442">CZ140+DA140</f>
        <v>1210.5970359999999</v>
      </c>
      <c r="DC140" s="197">
        <f t="shared" si="421"/>
        <v>-1210.5970359999999</v>
      </c>
      <c r="DD140" s="197">
        <f t="shared" si="422"/>
        <v>-1034.6470359999998</v>
      </c>
      <c r="DE140" s="196">
        <f t="shared" si="423"/>
        <v>0</v>
      </c>
      <c r="DF140" s="197">
        <f t="shared" si="424"/>
        <v>162.67566568047334</v>
      </c>
      <c r="DG140" s="197">
        <f t="shared" si="425"/>
        <v>1119.2650110946743</v>
      </c>
      <c r="DH140" s="197">
        <f t="shared" si="426"/>
        <v>-1119.2650110946743</v>
      </c>
      <c r="DI140" s="197">
        <f t="shared" si="427"/>
        <v>-956.58934541420092</v>
      </c>
      <c r="DJ140" s="196">
        <f t="shared" si="428"/>
        <v>0</v>
      </c>
      <c r="DK140" s="197">
        <f t="shared" si="429"/>
        <v>507.80835798816565</v>
      </c>
      <c r="DL140" s="197">
        <f t="shared" si="430"/>
        <v>3493.8976586331355</v>
      </c>
      <c r="DM140" s="197">
        <f t="shared" si="431"/>
        <v>-3493.8976586331355</v>
      </c>
      <c r="DN140" s="199">
        <f t="shared" si="432"/>
        <v>-2986.0893006449701</v>
      </c>
    </row>
    <row r="141" spans="2:118" x14ac:dyDescent="0.3">
      <c r="B141" s="900">
        <v>4</v>
      </c>
      <c r="C141" s="911">
        <f>'Arable Inputs'!$H$18</f>
        <v>8.14</v>
      </c>
      <c r="D141" s="760">
        <f>'Arable Inputs'!$H$25*$E$134</f>
        <v>182.8</v>
      </c>
      <c r="E141" s="762">
        <f t="shared" si="368"/>
        <v>1487.9920000000002</v>
      </c>
      <c r="F141" s="197">
        <f>'Arable NPV'!$D120</f>
        <v>175.95</v>
      </c>
      <c r="G141" s="197">
        <f t="shared" si="433"/>
        <v>1663.9420000000002</v>
      </c>
      <c r="H141" s="197">
        <f>'Arable NPV'!$F120</f>
        <v>574.23049999999989</v>
      </c>
      <c r="I141" s="197">
        <f>'Arable NPV'!$G120</f>
        <v>636.366536</v>
      </c>
      <c r="J141" s="197">
        <f t="shared" si="434"/>
        <v>1210.5970359999999</v>
      </c>
      <c r="K141" s="197">
        <f t="shared" si="369"/>
        <v>277.3949640000003</v>
      </c>
      <c r="L141" s="197">
        <f t="shared" si="370"/>
        <v>453.34496400000035</v>
      </c>
      <c r="M141" s="196">
        <f t="shared" si="371"/>
        <v>1322.819469731452</v>
      </c>
      <c r="N141" s="197">
        <f t="shared" si="372"/>
        <v>156.41890930814745</v>
      </c>
      <c r="O141" s="197">
        <f t="shared" si="373"/>
        <v>1076.2163568218023</v>
      </c>
      <c r="P141" s="197">
        <f t="shared" si="374"/>
        <v>246.60311290964978</v>
      </c>
      <c r="Q141" s="197">
        <f t="shared" si="375"/>
        <v>403.02202221779726</v>
      </c>
      <c r="R141" s="196">
        <f t="shared" si="376"/>
        <v>5617.3052567137001</v>
      </c>
      <c r="S141" s="197">
        <f t="shared" si="377"/>
        <v>664.22726729631313</v>
      </c>
      <c r="T141" s="197">
        <f t="shared" si="378"/>
        <v>4570.1140154549375</v>
      </c>
      <c r="U141" s="197">
        <f t="shared" si="379"/>
        <v>1047.1912412587631</v>
      </c>
      <c r="V141" s="199">
        <f t="shared" si="380"/>
        <v>1711.4185085550762</v>
      </c>
      <c r="Z141" s="900">
        <v>4</v>
      </c>
      <c r="AA141" s="911">
        <f>'Arable Inputs'!$H$18</f>
        <v>8.14</v>
      </c>
      <c r="AB141" s="760">
        <f>'Arable Inputs'!$H$25*$AC$134</f>
        <v>274.20000000000005</v>
      </c>
      <c r="AC141" s="762">
        <f t="shared" si="381"/>
        <v>2231.9880000000007</v>
      </c>
      <c r="AD141" s="197">
        <f>'Arable NPV'!$D120</f>
        <v>175.95</v>
      </c>
      <c r="AE141" s="197">
        <f t="shared" si="435"/>
        <v>2407.9380000000006</v>
      </c>
      <c r="AF141" s="197">
        <f>'Arable NPV'!$F120</f>
        <v>574.23049999999989</v>
      </c>
      <c r="AG141" s="197">
        <f>'Arable NPV'!$G120</f>
        <v>636.366536</v>
      </c>
      <c r="AH141" s="197">
        <f t="shared" si="436"/>
        <v>1210.5970359999999</v>
      </c>
      <c r="AI141" s="197">
        <f t="shared" si="382"/>
        <v>1021.3909640000008</v>
      </c>
      <c r="AJ141" s="197">
        <f t="shared" si="383"/>
        <v>1197.3409640000007</v>
      </c>
      <c r="AK141" s="196">
        <f t="shared" si="384"/>
        <v>1984.2292045971785</v>
      </c>
      <c r="AL141" s="197">
        <f t="shared" si="385"/>
        <v>156.41890930814745</v>
      </c>
      <c r="AM141" s="197">
        <f t="shared" si="386"/>
        <v>1076.2163568218023</v>
      </c>
      <c r="AN141" s="197">
        <f t="shared" si="387"/>
        <v>908.01284777537614</v>
      </c>
      <c r="AO141" s="197">
        <f t="shared" si="388"/>
        <v>1064.4317570835235</v>
      </c>
      <c r="AP141" s="196">
        <f t="shared" si="389"/>
        <v>8425.9578850705529</v>
      </c>
      <c r="AQ141" s="197">
        <f t="shared" si="390"/>
        <v>664.22726729631313</v>
      </c>
      <c r="AR141" s="197">
        <f t="shared" si="391"/>
        <v>4570.1140154549375</v>
      </c>
      <c r="AS141" s="197">
        <f t="shared" si="392"/>
        <v>3855.8438696156149</v>
      </c>
      <c r="AT141" s="199">
        <f t="shared" si="393"/>
        <v>4520.0711369119272</v>
      </c>
      <c r="AX141" s="900">
        <v>4</v>
      </c>
      <c r="AY141" s="911">
        <f>'Arable Inputs'!$H$18</f>
        <v>8.14</v>
      </c>
      <c r="AZ141" s="760">
        <f>'Arable Inputs'!$H$25*$BA$134</f>
        <v>91.4</v>
      </c>
      <c r="BA141" s="762">
        <f t="shared" si="394"/>
        <v>743.99600000000009</v>
      </c>
      <c r="BB141" s="197">
        <f>'Arable NPV'!$D120</f>
        <v>175.95</v>
      </c>
      <c r="BC141" s="197">
        <f t="shared" si="437"/>
        <v>919.94600000000014</v>
      </c>
      <c r="BD141" s="197">
        <f>'Arable NPV'!$F120</f>
        <v>574.23049999999989</v>
      </c>
      <c r="BE141" s="197">
        <f>'Arable NPV'!$G120</f>
        <v>636.366536</v>
      </c>
      <c r="BF141" s="197">
        <f t="shared" si="438"/>
        <v>1210.5970359999999</v>
      </c>
      <c r="BG141" s="197">
        <f t="shared" si="395"/>
        <v>-466.60103599999979</v>
      </c>
      <c r="BH141" s="197">
        <f t="shared" si="396"/>
        <v>-290.65103599999975</v>
      </c>
      <c r="BI141" s="196">
        <f t="shared" si="397"/>
        <v>661.40973486572602</v>
      </c>
      <c r="BJ141" s="197">
        <f t="shared" si="398"/>
        <v>156.41890930814745</v>
      </c>
      <c r="BK141" s="197">
        <f t="shared" si="399"/>
        <v>1076.2163568218023</v>
      </c>
      <c r="BL141" s="197">
        <f t="shared" si="400"/>
        <v>-414.80662195607624</v>
      </c>
      <c r="BM141" s="197">
        <f t="shared" si="401"/>
        <v>-258.38771264792877</v>
      </c>
      <c r="BN141" s="196">
        <f t="shared" si="402"/>
        <v>2808.6526283568501</v>
      </c>
      <c r="BO141" s="197">
        <f t="shared" si="403"/>
        <v>664.22726729631313</v>
      </c>
      <c r="BP141" s="197">
        <f t="shared" si="404"/>
        <v>4570.1140154549375</v>
      </c>
      <c r="BQ141" s="197">
        <f t="shared" si="405"/>
        <v>-1761.4613870980875</v>
      </c>
      <c r="BR141" s="199">
        <f t="shared" si="406"/>
        <v>-1097.2341198017743</v>
      </c>
      <c r="BV141" s="900">
        <v>4</v>
      </c>
      <c r="BW141" s="911">
        <f>'Arable Inputs'!$H$18</f>
        <v>8.14</v>
      </c>
      <c r="BX141" s="760">
        <f>'Arable Inputs'!$H$25*$BY$134</f>
        <v>365.6</v>
      </c>
      <c r="BY141" s="762">
        <f t="shared" si="407"/>
        <v>2975.9840000000004</v>
      </c>
      <c r="BZ141" s="197">
        <f>'Arable NPV'!$D120</f>
        <v>175.95</v>
      </c>
      <c r="CA141" s="197">
        <f t="shared" si="439"/>
        <v>3151.9340000000002</v>
      </c>
      <c r="CB141" s="197">
        <f>'Arable NPV'!$F120</f>
        <v>574.23049999999989</v>
      </c>
      <c r="CC141" s="197">
        <f>'Arable NPV'!$G120</f>
        <v>636.366536</v>
      </c>
      <c r="CD141" s="197">
        <f t="shared" si="440"/>
        <v>1210.5970359999999</v>
      </c>
      <c r="CE141" s="197">
        <f t="shared" si="408"/>
        <v>1765.3869640000005</v>
      </c>
      <c r="CF141" s="197">
        <f t="shared" si="409"/>
        <v>1941.3369640000003</v>
      </c>
      <c r="CG141" s="196">
        <f t="shared" si="410"/>
        <v>2645.6389394629041</v>
      </c>
      <c r="CH141" s="197">
        <f t="shared" si="411"/>
        <v>156.41890930814745</v>
      </c>
      <c r="CI141" s="197">
        <f t="shared" si="412"/>
        <v>1076.2163568218023</v>
      </c>
      <c r="CJ141" s="197">
        <f t="shared" si="413"/>
        <v>1569.4225826411018</v>
      </c>
      <c r="CK141" s="197">
        <f t="shared" si="414"/>
        <v>1725.8414919492491</v>
      </c>
      <c r="CL141" s="196">
        <f t="shared" si="415"/>
        <v>11234.6105134274</v>
      </c>
      <c r="CM141" s="197">
        <f t="shared" si="416"/>
        <v>664.22726729631313</v>
      </c>
      <c r="CN141" s="197">
        <f t="shared" si="417"/>
        <v>4570.1140154549375</v>
      </c>
      <c r="CO141" s="197">
        <f t="shared" si="418"/>
        <v>6664.4964979724646</v>
      </c>
      <c r="CP141" s="199">
        <f t="shared" si="419"/>
        <v>7328.7237652687754</v>
      </c>
      <c r="CT141" s="900">
        <v>4</v>
      </c>
      <c r="CU141" s="911">
        <f>'Arable Inputs'!$H$18</f>
        <v>8.14</v>
      </c>
      <c r="CV141" s="760">
        <f>'Arable Inputs'!$H$25*$CW$134</f>
        <v>0</v>
      </c>
      <c r="CW141" s="762">
        <f t="shared" si="420"/>
        <v>0</v>
      </c>
      <c r="CX141" s="197">
        <f>'Arable NPV'!$D120</f>
        <v>175.95</v>
      </c>
      <c r="CY141" s="197">
        <f t="shared" si="441"/>
        <v>175.95</v>
      </c>
      <c r="CZ141" s="197">
        <f>'Arable NPV'!$F120</f>
        <v>574.23049999999989</v>
      </c>
      <c r="DA141" s="197">
        <f>'Arable NPV'!$G120</f>
        <v>636.366536</v>
      </c>
      <c r="DB141" s="197">
        <f t="shared" si="442"/>
        <v>1210.5970359999999</v>
      </c>
      <c r="DC141" s="197">
        <f t="shared" si="421"/>
        <v>-1210.5970359999999</v>
      </c>
      <c r="DD141" s="197">
        <f t="shared" si="422"/>
        <v>-1034.6470359999998</v>
      </c>
      <c r="DE141" s="196">
        <f t="shared" si="423"/>
        <v>0</v>
      </c>
      <c r="DF141" s="197">
        <f t="shared" si="424"/>
        <v>156.41890930814745</v>
      </c>
      <c r="DG141" s="197">
        <f t="shared" si="425"/>
        <v>1076.2163568218023</v>
      </c>
      <c r="DH141" s="197">
        <f t="shared" si="426"/>
        <v>-1076.2163568218023</v>
      </c>
      <c r="DI141" s="197">
        <f t="shared" si="427"/>
        <v>-919.79744751365479</v>
      </c>
      <c r="DJ141" s="196">
        <f t="shared" si="428"/>
        <v>0</v>
      </c>
      <c r="DK141" s="197">
        <f t="shared" si="429"/>
        <v>664.22726729631313</v>
      </c>
      <c r="DL141" s="197">
        <f t="shared" si="430"/>
        <v>4570.1140154549375</v>
      </c>
      <c r="DM141" s="197">
        <f t="shared" si="431"/>
        <v>-4570.1140154549375</v>
      </c>
      <c r="DN141" s="199">
        <f t="shared" si="432"/>
        <v>-3905.8867481586249</v>
      </c>
    </row>
    <row r="142" spans="2:118" x14ac:dyDescent="0.3">
      <c r="B142" s="900">
        <v>5</v>
      </c>
      <c r="C142" s="911">
        <f>'Arable Inputs'!$H$18</f>
        <v>8.14</v>
      </c>
      <c r="D142" s="760">
        <f>'Arable Inputs'!$H$25*$E$134</f>
        <v>182.8</v>
      </c>
      <c r="E142" s="762">
        <f t="shared" si="368"/>
        <v>1487.9920000000002</v>
      </c>
      <c r="F142" s="197">
        <f>'Arable NPV'!$D121</f>
        <v>175.95</v>
      </c>
      <c r="G142" s="197">
        <f t="shared" si="433"/>
        <v>1663.9420000000002</v>
      </c>
      <c r="H142" s="197">
        <f>'Arable NPV'!$F121</f>
        <v>574.23049999999989</v>
      </c>
      <c r="I142" s="197">
        <f>'Arable NPV'!$G121</f>
        <v>636.366536</v>
      </c>
      <c r="J142" s="197">
        <f t="shared" si="434"/>
        <v>1210.5970359999999</v>
      </c>
      <c r="K142" s="197">
        <f t="shared" si="369"/>
        <v>277.3949640000003</v>
      </c>
      <c r="L142" s="197">
        <f t="shared" si="370"/>
        <v>453.34496400000035</v>
      </c>
      <c r="M142" s="196">
        <f t="shared" si="371"/>
        <v>1271.9417978187037</v>
      </c>
      <c r="N142" s="197">
        <f t="shared" si="372"/>
        <v>150.40279741168024</v>
      </c>
      <c r="O142" s="197">
        <f t="shared" si="373"/>
        <v>1034.8234200209636</v>
      </c>
      <c r="P142" s="197">
        <f t="shared" si="374"/>
        <v>237.11837779774015</v>
      </c>
      <c r="Q142" s="197">
        <f t="shared" si="375"/>
        <v>387.52117520942039</v>
      </c>
      <c r="R142" s="196">
        <f t="shared" si="376"/>
        <v>6889.247054532404</v>
      </c>
      <c r="S142" s="197">
        <f t="shared" si="377"/>
        <v>814.63006470799337</v>
      </c>
      <c r="T142" s="197">
        <f t="shared" si="378"/>
        <v>5604.9374354759011</v>
      </c>
      <c r="U142" s="197">
        <f t="shared" si="379"/>
        <v>1284.3096190565032</v>
      </c>
      <c r="V142" s="199">
        <f t="shared" si="380"/>
        <v>2098.9396837644967</v>
      </c>
      <c r="Z142" s="900">
        <v>5</v>
      </c>
      <c r="AA142" s="911">
        <f>'Arable Inputs'!$H$18</f>
        <v>8.14</v>
      </c>
      <c r="AB142" s="760">
        <f>'Arable Inputs'!$H$25*$AC$134</f>
        <v>274.20000000000005</v>
      </c>
      <c r="AC142" s="762">
        <f t="shared" si="381"/>
        <v>2231.9880000000007</v>
      </c>
      <c r="AD142" s="197">
        <f>'Arable NPV'!$D121</f>
        <v>175.95</v>
      </c>
      <c r="AE142" s="197">
        <f t="shared" si="435"/>
        <v>2407.9380000000006</v>
      </c>
      <c r="AF142" s="197">
        <f>'Arable NPV'!$F121</f>
        <v>574.23049999999989</v>
      </c>
      <c r="AG142" s="197">
        <f>'Arable NPV'!$G121</f>
        <v>636.366536</v>
      </c>
      <c r="AH142" s="197">
        <f t="shared" si="436"/>
        <v>1210.5970359999999</v>
      </c>
      <c r="AI142" s="197">
        <f t="shared" si="382"/>
        <v>1021.3909640000008</v>
      </c>
      <c r="AJ142" s="197">
        <f t="shared" si="383"/>
        <v>1197.3409640000007</v>
      </c>
      <c r="AK142" s="196">
        <f t="shared" si="384"/>
        <v>1907.9126967280561</v>
      </c>
      <c r="AL142" s="197">
        <f t="shared" si="385"/>
        <v>150.40279741168024</v>
      </c>
      <c r="AM142" s="197">
        <f t="shared" si="386"/>
        <v>1034.8234200209636</v>
      </c>
      <c r="AN142" s="197">
        <f t="shared" si="387"/>
        <v>873.08927670709238</v>
      </c>
      <c r="AO142" s="197">
        <f t="shared" si="388"/>
        <v>1023.4920741187725</v>
      </c>
      <c r="AP142" s="196">
        <f t="shared" si="389"/>
        <v>10333.870581798608</v>
      </c>
      <c r="AQ142" s="197">
        <f t="shared" si="390"/>
        <v>814.63006470799337</v>
      </c>
      <c r="AR142" s="197">
        <f t="shared" si="391"/>
        <v>5604.9374354759011</v>
      </c>
      <c r="AS142" s="197">
        <f t="shared" si="392"/>
        <v>4728.9331463227072</v>
      </c>
      <c r="AT142" s="199">
        <f t="shared" si="393"/>
        <v>5543.5632110306997</v>
      </c>
      <c r="AX142" s="900">
        <v>5</v>
      </c>
      <c r="AY142" s="911">
        <f>'Arable Inputs'!$H$18</f>
        <v>8.14</v>
      </c>
      <c r="AZ142" s="760">
        <f>'Arable Inputs'!$H$25*$BA$134</f>
        <v>91.4</v>
      </c>
      <c r="BA142" s="762">
        <f t="shared" si="394"/>
        <v>743.99600000000009</v>
      </c>
      <c r="BB142" s="197">
        <f>'Arable NPV'!$D121</f>
        <v>175.95</v>
      </c>
      <c r="BC142" s="197">
        <f t="shared" si="437"/>
        <v>919.94600000000014</v>
      </c>
      <c r="BD142" s="197">
        <f>'Arable NPV'!$F121</f>
        <v>574.23049999999989</v>
      </c>
      <c r="BE142" s="197">
        <f>'Arable NPV'!$G121</f>
        <v>636.366536</v>
      </c>
      <c r="BF142" s="197">
        <f t="shared" si="438"/>
        <v>1210.5970359999999</v>
      </c>
      <c r="BG142" s="197">
        <f t="shared" si="395"/>
        <v>-466.60103599999979</v>
      </c>
      <c r="BH142" s="197">
        <f t="shared" si="396"/>
        <v>-290.65103599999975</v>
      </c>
      <c r="BI142" s="196">
        <f t="shared" si="397"/>
        <v>635.97089890935183</v>
      </c>
      <c r="BJ142" s="197">
        <f t="shared" si="398"/>
        <v>150.40279741168024</v>
      </c>
      <c r="BK142" s="197">
        <f t="shared" si="399"/>
        <v>1034.8234200209636</v>
      </c>
      <c r="BL142" s="197">
        <f t="shared" si="400"/>
        <v>-398.85252111161174</v>
      </c>
      <c r="BM142" s="197">
        <f t="shared" si="401"/>
        <v>-248.44972369993147</v>
      </c>
      <c r="BN142" s="196">
        <f t="shared" si="402"/>
        <v>3444.623527266202</v>
      </c>
      <c r="BO142" s="197">
        <f t="shared" si="403"/>
        <v>814.63006470799337</v>
      </c>
      <c r="BP142" s="197">
        <f t="shared" si="404"/>
        <v>5604.9374354759011</v>
      </c>
      <c r="BQ142" s="197">
        <f t="shared" si="405"/>
        <v>-2160.3139082096991</v>
      </c>
      <c r="BR142" s="199">
        <f t="shared" si="406"/>
        <v>-1345.6838435017057</v>
      </c>
      <c r="BV142" s="900">
        <v>5</v>
      </c>
      <c r="BW142" s="911">
        <f>'Arable Inputs'!$H$18</f>
        <v>8.14</v>
      </c>
      <c r="BX142" s="760">
        <f>'Arable Inputs'!$H$25*$BY$134</f>
        <v>365.6</v>
      </c>
      <c r="BY142" s="762">
        <f t="shared" si="407"/>
        <v>2975.9840000000004</v>
      </c>
      <c r="BZ142" s="197">
        <f>'Arable NPV'!$D121</f>
        <v>175.95</v>
      </c>
      <c r="CA142" s="197">
        <f t="shared" si="439"/>
        <v>3151.9340000000002</v>
      </c>
      <c r="CB142" s="197">
        <f>'Arable NPV'!$F121</f>
        <v>574.23049999999989</v>
      </c>
      <c r="CC142" s="197">
        <f>'Arable NPV'!$G121</f>
        <v>636.366536</v>
      </c>
      <c r="CD142" s="197">
        <f t="shared" si="440"/>
        <v>1210.5970359999999</v>
      </c>
      <c r="CE142" s="197">
        <f t="shared" si="408"/>
        <v>1765.3869640000005</v>
      </c>
      <c r="CF142" s="197">
        <f t="shared" si="409"/>
        <v>1941.3369640000003</v>
      </c>
      <c r="CG142" s="196">
        <f t="shared" si="410"/>
        <v>2543.8835956374073</v>
      </c>
      <c r="CH142" s="197">
        <f t="shared" si="411"/>
        <v>150.40279741168024</v>
      </c>
      <c r="CI142" s="197">
        <f t="shared" si="412"/>
        <v>1034.8234200209636</v>
      </c>
      <c r="CJ142" s="197">
        <f t="shared" si="413"/>
        <v>1509.060175616444</v>
      </c>
      <c r="CK142" s="197">
        <f t="shared" si="414"/>
        <v>1659.462973028124</v>
      </c>
      <c r="CL142" s="196">
        <f t="shared" si="415"/>
        <v>13778.494109064808</v>
      </c>
      <c r="CM142" s="197">
        <f t="shared" si="416"/>
        <v>814.63006470799337</v>
      </c>
      <c r="CN142" s="197">
        <f t="shared" si="417"/>
        <v>5604.9374354759011</v>
      </c>
      <c r="CO142" s="197">
        <f t="shared" si="418"/>
        <v>8173.5566735889088</v>
      </c>
      <c r="CP142" s="199">
        <f t="shared" si="419"/>
        <v>8988.1867382968994</v>
      </c>
      <c r="CT142" s="900">
        <v>5</v>
      </c>
      <c r="CU142" s="911">
        <f>'Arable Inputs'!$H$18</f>
        <v>8.14</v>
      </c>
      <c r="CV142" s="760">
        <f>'Arable Inputs'!$H$25*$CW$134</f>
        <v>0</v>
      </c>
      <c r="CW142" s="762">
        <f t="shared" si="420"/>
        <v>0</v>
      </c>
      <c r="CX142" s="197">
        <f>'Arable NPV'!$D121</f>
        <v>175.95</v>
      </c>
      <c r="CY142" s="197">
        <f t="shared" si="441"/>
        <v>175.95</v>
      </c>
      <c r="CZ142" s="197">
        <f>'Arable NPV'!$F121</f>
        <v>574.23049999999989</v>
      </c>
      <c r="DA142" s="197">
        <f>'Arable NPV'!$G121</f>
        <v>636.366536</v>
      </c>
      <c r="DB142" s="197">
        <f t="shared" si="442"/>
        <v>1210.5970359999999</v>
      </c>
      <c r="DC142" s="197">
        <f t="shared" si="421"/>
        <v>-1210.5970359999999</v>
      </c>
      <c r="DD142" s="197">
        <f t="shared" si="422"/>
        <v>-1034.6470359999998</v>
      </c>
      <c r="DE142" s="196">
        <f t="shared" si="423"/>
        <v>0</v>
      </c>
      <c r="DF142" s="197">
        <f t="shared" si="424"/>
        <v>150.40279741168024</v>
      </c>
      <c r="DG142" s="197">
        <f t="shared" si="425"/>
        <v>1034.8234200209636</v>
      </c>
      <c r="DH142" s="197">
        <f t="shared" si="426"/>
        <v>-1034.8234200209636</v>
      </c>
      <c r="DI142" s="197">
        <f t="shared" si="427"/>
        <v>-884.42062260928333</v>
      </c>
      <c r="DJ142" s="196">
        <f t="shared" si="428"/>
        <v>0</v>
      </c>
      <c r="DK142" s="197">
        <f t="shared" si="429"/>
        <v>814.63006470799337</v>
      </c>
      <c r="DL142" s="197">
        <f t="shared" si="430"/>
        <v>5604.9374354759011</v>
      </c>
      <c r="DM142" s="197">
        <f t="shared" si="431"/>
        <v>-5604.9374354759011</v>
      </c>
      <c r="DN142" s="199">
        <f t="shared" si="432"/>
        <v>-4790.3073707679087</v>
      </c>
    </row>
    <row r="143" spans="2:118" x14ac:dyDescent="0.3">
      <c r="B143" s="900">
        <v>6</v>
      </c>
      <c r="C143" s="911">
        <f>'Arable Inputs'!$H$18</f>
        <v>8.14</v>
      </c>
      <c r="D143" s="760">
        <f>'Arable Inputs'!$H$25*$E$134</f>
        <v>182.8</v>
      </c>
      <c r="E143" s="762">
        <f t="shared" si="368"/>
        <v>1487.9920000000002</v>
      </c>
      <c r="F143" s="197">
        <f>'Arable NPV'!$D122</f>
        <v>175.95</v>
      </c>
      <c r="G143" s="197">
        <f t="shared" si="433"/>
        <v>1663.9420000000002</v>
      </c>
      <c r="H143" s="197">
        <f>'Arable NPV'!$F122</f>
        <v>574.23049999999989</v>
      </c>
      <c r="I143" s="197">
        <f>'Arable NPV'!$G122</f>
        <v>636.366536</v>
      </c>
      <c r="J143" s="197">
        <f t="shared" si="434"/>
        <v>1210.5970359999999</v>
      </c>
      <c r="K143" s="197">
        <f t="shared" si="369"/>
        <v>277.3949640000003</v>
      </c>
      <c r="L143" s="197">
        <f t="shared" si="370"/>
        <v>453.34496400000035</v>
      </c>
      <c r="M143" s="196">
        <f t="shared" si="371"/>
        <v>1223.0209594410612</v>
      </c>
      <c r="N143" s="197">
        <f t="shared" si="372"/>
        <v>144.61807443430789</v>
      </c>
      <c r="O143" s="197">
        <f t="shared" si="373"/>
        <v>995.02251925092651</v>
      </c>
      <c r="P143" s="197">
        <f t="shared" si="374"/>
        <v>227.99844019013472</v>
      </c>
      <c r="Q143" s="197">
        <f t="shared" si="375"/>
        <v>372.61651462444269</v>
      </c>
      <c r="R143" s="196">
        <f t="shared" si="376"/>
        <v>8112.2680139734657</v>
      </c>
      <c r="S143" s="197">
        <f t="shared" si="377"/>
        <v>959.24813914230128</v>
      </c>
      <c r="T143" s="197">
        <f t="shared" si="378"/>
        <v>6599.9599547268281</v>
      </c>
      <c r="U143" s="197">
        <f t="shared" si="379"/>
        <v>1512.3080592466379</v>
      </c>
      <c r="V143" s="199">
        <f t="shared" si="380"/>
        <v>2471.5561983889393</v>
      </c>
      <c r="Z143" s="900">
        <v>6</v>
      </c>
      <c r="AA143" s="911">
        <f>'Arable Inputs'!$H$18</f>
        <v>8.14</v>
      </c>
      <c r="AB143" s="760">
        <f>'Arable Inputs'!$H$25*$AC$134</f>
        <v>274.20000000000005</v>
      </c>
      <c r="AC143" s="762">
        <f t="shared" si="381"/>
        <v>2231.9880000000007</v>
      </c>
      <c r="AD143" s="197">
        <f>'Arable NPV'!$D122</f>
        <v>175.95</v>
      </c>
      <c r="AE143" s="197">
        <f t="shared" si="435"/>
        <v>2407.9380000000006</v>
      </c>
      <c r="AF143" s="197">
        <f>'Arable NPV'!$F122</f>
        <v>574.23049999999989</v>
      </c>
      <c r="AG143" s="197">
        <f>'Arable NPV'!$G122</f>
        <v>636.366536</v>
      </c>
      <c r="AH143" s="197">
        <f t="shared" si="436"/>
        <v>1210.5970359999999</v>
      </c>
      <c r="AI143" s="197">
        <f t="shared" si="382"/>
        <v>1021.3909640000008</v>
      </c>
      <c r="AJ143" s="197">
        <f t="shared" si="383"/>
        <v>1197.3409640000007</v>
      </c>
      <c r="AK143" s="196">
        <f t="shared" si="384"/>
        <v>1834.5314391615921</v>
      </c>
      <c r="AL143" s="197">
        <f t="shared" si="385"/>
        <v>144.61807443430789</v>
      </c>
      <c r="AM143" s="197">
        <f t="shared" si="386"/>
        <v>995.02251925092651</v>
      </c>
      <c r="AN143" s="197">
        <f t="shared" si="387"/>
        <v>839.50891991066567</v>
      </c>
      <c r="AO143" s="197">
        <f t="shared" si="388"/>
        <v>984.12699434497347</v>
      </c>
      <c r="AP143" s="196">
        <f t="shared" si="389"/>
        <v>12168.4020209602</v>
      </c>
      <c r="AQ143" s="197">
        <f t="shared" si="390"/>
        <v>959.24813914230128</v>
      </c>
      <c r="AR143" s="197">
        <f t="shared" si="391"/>
        <v>6599.9599547268281</v>
      </c>
      <c r="AS143" s="197">
        <f t="shared" si="392"/>
        <v>5568.4420662333732</v>
      </c>
      <c r="AT143" s="199">
        <f t="shared" si="393"/>
        <v>6527.690205375673</v>
      </c>
      <c r="AX143" s="900">
        <v>6</v>
      </c>
      <c r="AY143" s="911">
        <f>'Arable Inputs'!$H$18</f>
        <v>8.14</v>
      </c>
      <c r="AZ143" s="760">
        <f>'Arable Inputs'!$H$25*$BA$134</f>
        <v>91.4</v>
      </c>
      <c r="BA143" s="762">
        <f t="shared" si="394"/>
        <v>743.99600000000009</v>
      </c>
      <c r="BB143" s="197">
        <f>'Arable NPV'!$D122</f>
        <v>175.95</v>
      </c>
      <c r="BC143" s="197">
        <f t="shared" si="437"/>
        <v>919.94600000000014</v>
      </c>
      <c r="BD143" s="197">
        <f>'Arable NPV'!$F122</f>
        <v>574.23049999999989</v>
      </c>
      <c r="BE143" s="197">
        <f>'Arable NPV'!$G122</f>
        <v>636.366536</v>
      </c>
      <c r="BF143" s="197">
        <f t="shared" si="438"/>
        <v>1210.5970359999999</v>
      </c>
      <c r="BG143" s="197">
        <f t="shared" si="395"/>
        <v>-466.60103599999979</v>
      </c>
      <c r="BH143" s="197">
        <f t="shared" si="396"/>
        <v>-290.65103599999975</v>
      </c>
      <c r="BI143" s="196">
        <f t="shared" si="397"/>
        <v>611.51047972053061</v>
      </c>
      <c r="BJ143" s="197">
        <f t="shared" si="398"/>
        <v>144.61807443430789</v>
      </c>
      <c r="BK143" s="197">
        <f t="shared" si="399"/>
        <v>995.02251925092651</v>
      </c>
      <c r="BL143" s="197">
        <f t="shared" si="400"/>
        <v>-383.51203953039584</v>
      </c>
      <c r="BM143" s="197">
        <f t="shared" si="401"/>
        <v>-238.89396509608792</v>
      </c>
      <c r="BN143" s="196">
        <f t="shared" si="402"/>
        <v>4056.1340069867329</v>
      </c>
      <c r="BO143" s="197">
        <f t="shared" si="403"/>
        <v>959.24813914230128</v>
      </c>
      <c r="BP143" s="197">
        <f t="shared" si="404"/>
        <v>6599.9599547268281</v>
      </c>
      <c r="BQ143" s="197">
        <f t="shared" si="405"/>
        <v>-2543.8259477400948</v>
      </c>
      <c r="BR143" s="199">
        <f t="shared" si="406"/>
        <v>-1584.5778085977936</v>
      </c>
      <c r="BV143" s="900">
        <v>6</v>
      </c>
      <c r="BW143" s="911">
        <f>'Arable Inputs'!$H$18</f>
        <v>8.14</v>
      </c>
      <c r="BX143" s="760">
        <f>'Arable Inputs'!$H$25*$BY$134</f>
        <v>365.6</v>
      </c>
      <c r="BY143" s="762">
        <f t="shared" si="407"/>
        <v>2975.9840000000004</v>
      </c>
      <c r="BZ143" s="197">
        <f>'Arable NPV'!$D122</f>
        <v>175.95</v>
      </c>
      <c r="CA143" s="197">
        <f t="shared" si="439"/>
        <v>3151.9340000000002</v>
      </c>
      <c r="CB143" s="197">
        <f>'Arable NPV'!$F122</f>
        <v>574.23049999999989</v>
      </c>
      <c r="CC143" s="197">
        <f>'Arable NPV'!$G122</f>
        <v>636.366536</v>
      </c>
      <c r="CD143" s="197">
        <f t="shared" si="440"/>
        <v>1210.5970359999999</v>
      </c>
      <c r="CE143" s="197">
        <f t="shared" si="408"/>
        <v>1765.3869640000005</v>
      </c>
      <c r="CF143" s="197">
        <f t="shared" si="409"/>
        <v>1941.3369640000003</v>
      </c>
      <c r="CG143" s="196">
        <f t="shared" si="410"/>
        <v>2446.0419188821224</v>
      </c>
      <c r="CH143" s="197">
        <f t="shared" si="411"/>
        <v>144.61807443430789</v>
      </c>
      <c r="CI143" s="197">
        <f t="shared" si="412"/>
        <v>995.02251925092651</v>
      </c>
      <c r="CJ143" s="197">
        <f t="shared" si="413"/>
        <v>1451.0193996311959</v>
      </c>
      <c r="CK143" s="197">
        <f t="shared" si="414"/>
        <v>1595.6374740655037</v>
      </c>
      <c r="CL143" s="196">
        <f t="shared" si="415"/>
        <v>16224.536027946931</v>
      </c>
      <c r="CM143" s="197">
        <f t="shared" si="416"/>
        <v>959.24813914230128</v>
      </c>
      <c r="CN143" s="197">
        <f t="shared" si="417"/>
        <v>6599.9599547268281</v>
      </c>
      <c r="CO143" s="197">
        <f t="shared" si="418"/>
        <v>9624.5760732201052</v>
      </c>
      <c r="CP143" s="199">
        <f t="shared" si="419"/>
        <v>10583.824212362404</v>
      </c>
      <c r="CT143" s="900">
        <v>6</v>
      </c>
      <c r="CU143" s="911">
        <f>'Arable Inputs'!$H$18</f>
        <v>8.14</v>
      </c>
      <c r="CV143" s="760">
        <f>'Arable Inputs'!$H$25*$CW$134</f>
        <v>0</v>
      </c>
      <c r="CW143" s="762">
        <f t="shared" si="420"/>
        <v>0</v>
      </c>
      <c r="CX143" s="197">
        <f>'Arable NPV'!$D122</f>
        <v>175.95</v>
      </c>
      <c r="CY143" s="197">
        <f t="shared" si="441"/>
        <v>175.95</v>
      </c>
      <c r="CZ143" s="197">
        <f>'Arable NPV'!$F122</f>
        <v>574.23049999999989</v>
      </c>
      <c r="DA143" s="197">
        <f>'Arable NPV'!$G122</f>
        <v>636.366536</v>
      </c>
      <c r="DB143" s="197">
        <f t="shared" si="442"/>
        <v>1210.5970359999999</v>
      </c>
      <c r="DC143" s="197">
        <f t="shared" si="421"/>
        <v>-1210.5970359999999</v>
      </c>
      <c r="DD143" s="197">
        <f t="shared" si="422"/>
        <v>-1034.6470359999998</v>
      </c>
      <c r="DE143" s="196">
        <f t="shared" si="423"/>
        <v>0</v>
      </c>
      <c r="DF143" s="197">
        <f t="shared" si="424"/>
        <v>144.61807443430789</v>
      </c>
      <c r="DG143" s="197">
        <f t="shared" si="425"/>
        <v>995.02251925092651</v>
      </c>
      <c r="DH143" s="197">
        <f t="shared" si="426"/>
        <v>-995.02251925092651</v>
      </c>
      <c r="DI143" s="197">
        <f t="shared" si="427"/>
        <v>-850.40444481661848</v>
      </c>
      <c r="DJ143" s="196">
        <f t="shared" si="428"/>
        <v>0</v>
      </c>
      <c r="DK143" s="197">
        <f t="shared" si="429"/>
        <v>959.24813914230128</v>
      </c>
      <c r="DL143" s="197">
        <f t="shared" si="430"/>
        <v>6599.9599547268281</v>
      </c>
      <c r="DM143" s="197">
        <f t="shared" si="431"/>
        <v>-6599.9599547268281</v>
      </c>
      <c r="DN143" s="199">
        <f t="shared" si="432"/>
        <v>-5640.7118155845274</v>
      </c>
    </row>
    <row r="144" spans="2:118" x14ac:dyDescent="0.3">
      <c r="B144" s="900">
        <v>7</v>
      </c>
      <c r="C144" s="911">
        <f>'Arable Inputs'!$H$18</f>
        <v>8.14</v>
      </c>
      <c r="D144" s="760">
        <f>'Arable Inputs'!$H$25*$E$134</f>
        <v>182.8</v>
      </c>
      <c r="E144" s="762">
        <f t="shared" si="368"/>
        <v>1487.9920000000002</v>
      </c>
      <c r="F144" s="197">
        <f>'Arable NPV'!$D123</f>
        <v>175.95</v>
      </c>
      <c r="G144" s="197">
        <f t="shared" si="433"/>
        <v>1663.9420000000002</v>
      </c>
      <c r="H144" s="197">
        <f>'Arable NPV'!$F123</f>
        <v>574.23049999999989</v>
      </c>
      <c r="I144" s="197">
        <f>'Arable NPV'!$G123</f>
        <v>636.366536</v>
      </c>
      <c r="J144" s="197">
        <f t="shared" si="434"/>
        <v>1210.5970359999999</v>
      </c>
      <c r="K144" s="197">
        <f t="shared" si="369"/>
        <v>277.3949640000003</v>
      </c>
      <c r="L144" s="197">
        <f t="shared" si="370"/>
        <v>453.34496400000035</v>
      </c>
      <c r="M144" s="196">
        <f t="shared" si="371"/>
        <v>1175.981691770251</v>
      </c>
      <c r="N144" s="197">
        <f t="shared" si="372"/>
        <v>139.05584080221914</v>
      </c>
      <c r="O144" s="197">
        <f t="shared" si="373"/>
        <v>956.75242235666008</v>
      </c>
      <c r="P144" s="197">
        <f t="shared" si="374"/>
        <v>219.22926941359108</v>
      </c>
      <c r="Q144" s="197">
        <f t="shared" si="375"/>
        <v>358.28511021581028</v>
      </c>
      <c r="R144" s="196">
        <f t="shared" si="376"/>
        <v>9288.2497057437176</v>
      </c>
      <c r="S144" s="197">
        <f t="shared" si="377"/>
        <v>1098.3039799445205</v>
      </c>
      <c r="T144" s="197">
        <f t="shared" si="378"/>
        <v>7556.7123770834878</v>
      </c>
      <c r="U144" s="197">
        <f t="shared" si="379"/>
        <v>1731.5373286602289</v>
      </c>
      <c r="V144" s="199">
        <f t="shared" si="380"/>
        <v>2829.8413086047494</v>
      </c>
      <c r="Z144" s="900">
        <v>7</v>
      </c>
      <c r="AA144" s="911">
        <f>'Arable Inputs'!$H$18</f>
        <v>8.14</v>
      </c>
      <c r="AB144" s="760">
        <f>'Arable Inputs'!$H$25*$AC$134</f>
        <v>274.20000000000005</v>
      </c>
      <c r="AC144" s="762">
        <f t="shared" si="381"/>
        <v>2231.9880000000007</v>
      </c>
      <c r="AD144" s="197">
        <f>'Arable NPV'!$D123</f>
        <v>175.95</v>
      </c>
      <c r="AE144" s="197">
        <f t="shared" si="435"/>
        <v>2407.9380000000006</v>
      </c>
      <c r="AF144" s="197">
        <f>'Arable NPV'!$F123</f>
        <v>574.23049999999989</v>
      </c>
      <c r="AG144" s="197">
        <f>'Arable NPV'!$G123</f>
        <v>636.366536</v>
      </c>
      <c r="AH144" s="197">
        <f t="shared" si="436"/>
        <v>1210.5970359999999</v>
      </c>
      <c r="AI144" s="197">
        <f t="shared" si="382"/>
        <v>1021.3909640000008</v>
      </c>
      <c r="AJ144" s="197">
        <f t="shared" si="383"/>
        <v>1197.3409640000007</v>
      </c>
      <c r="AK144" s="196">
        <f t="shared" si="384"/>
        <v>1763.972537655377</v>
      </c>
      <c r="AL144" s="197">
        <f t="shared" si="385"/>
        <v>139.05584080221914</v>
      </c>
      <c r="AM144" s="197">
        <f t="shared" si="386"/>
        <v>956.75242235666008</v>
      </c>
      <c r="AN144" s="197">
        <f t="shared" si="387"/>
        <v>807.22011529871702</v>
      </c>
      <c r="AO144" s="197">
        <f t="shared" si="388"/>
        <v>946.27595610093601</v>
      </c>
      <c r="AP144" s="196">
        <f t="shared" si="389"/>
        <v>13932.374558615578</v>
      </c>
      <c r="AQ144" s="197">
        <f t="shared" si="390"/>
        <v>1098.3039799445205</v>
      </c>
      <c r="AR144" s="197">
        <f t="shared" si="391"/>
        <v>7556.7123770834878</v>
      </c>
      <c r="AS144" s="197">
        <f t="shared" si="392"/>
        <v>6375.6621815320905</v>
      </c>
      <c r="AT144" s="199">
        <f t="shared" si="393"/>
        <v>7473.9661614766092</v>
      </c>
      <c r="AX144" s="900">
        <v>7</v>
      </c>
      <c r="AY144" s="911">
        <f>'Arable Inputs'!$H$18</f>
        <v>8.14</v>
      </c>
      <c r="AZ144" s="760">
        <f>'Arable Inputs'!$H$25*$BA$134</f>
        <v>91.4</v>
      </c>
      <c r="BA144" s="762">
        <f t="shared" si="394"/>
        <v>743.99600000000009</v>
      </c>
      <c r="BB144" s="197">
        <f>'Arable NPV'!$D123</f>
        <v>175.95</v>
      </c>
      <c r="BC144" s="197">
        <f t="shared" si="437"/>
        <v>919.94600000000014</v>
      </c>
      <c r="BD144" s="197">
        <f>'Arable NPV'!$F123</f>
        <v>574.23049999999989</v>
      </c>
      <c r="BE144" s="197">
        <f>'Arable NPV'!$G123</f>
        <v>636.366536</v>
      </c>
      <c r="BF144" s="197">
        <f t="shared" si="438"/>
        <v>1210.5970359999999</v>
      </c>
      <c r="BG144" s="197">
        <f t="shared" si="395"/>
        <v>-466.60103599999979</v>
      </c>
      <c r="BH144" s="197">
        <f t="shared" si="396"/>
        <v>-290.65103599999975</v>
      </c>
      <c r="BI144" s="196">
        <f t="shared" si="397"/>
        <v>587.99084588512551</v>
      </c>
      <c r="BJ144" s="197">
        <f t="shared" si="398"/>
        <v>139.05584080221914</v>
      </c>
      <c r="BK144" s="197">
        <f t="shared" si="399"/>
        <v>956.75242235666008</v>
      </c>
      <c r="BL144" s="197">
        <f t="shared" si="400"/>
        <v>-368.76157647153451</v>
      </c>
      <c r="BM144" s="197">
        <f t="shared" si="401"/>
        <v>-229.70573566931532</v>
      </c>
      <c r="BN144" s="196">
        <f t="shared" si="402"/>
        <v>4644.1248528718588</v>
      </c>
      <c r="BO144" s="197">
        <f t="shared" si="403"/>
        <v>1098.3039799445205</v>
      </c>
      <c r="BP144" s="197">
        <f t="shared" si="404"/>
        <v>7556.7123770834878</v>
      </c>
      <c r="BQ144" s="197">
        <f t="shared" si="405"/>
        <v>-2912.5875242116294</v>
      </c>
      <c r="BR144" s="199">
        <f t="shared" si="406"/>
        <v>-1814.2835442671089</v>
      </c>
      <c r="BV144" s="900">
        <v>7</v>
      </c>
      <c r="BW144" s="911">
        <f>'Arable Inputs'!$H$18</f>
        <v>8.14</v>
      </c>
      <c r="BX144" s="760">
        <f>'Arable Inputs'!$H$25*$BY$134</f>
        <v>365.6</v>
      </c>
      <c r="BY144" s="762">
        <f t="shared" si="407"/>
        <v>2975.9840000000004</v>
      </c>
      <c r="BZ144" s="197">
        <f>'Arable NPV'!$D123</f>
        <v>175.95</v>
      </c>
      <c r="CA144" s="197">
        <f t="shared" si="439"/>
        <v>3151.9340000000002</v>
      </c>
      <c r="CB144" s="197">
        <f>'Arable NPV'!$F123</f>
        <v>574.23049999999989</v>
      </c>
      <c r="CC144" s="197">
        <f>'Arable NPV'!$G123</f>
        <v>636.366536</v>
      </c>
      <c r="CD144" s="197">
        <f t="shared" si="440"/>
        <v>1210.5970359999999</v>
      </c>
      <c r="CE144" s="197">
        <f t="shared" si="408"/>
        <v>1765.3869640000005</v>
      </c>
      <c r="CF144" s="197">
        <f t="shared" si="409"/>
        <v>1941.3369640000003</v>
      </c>
      <c r="CG144" s="196">
        <f t="shared" si="410"/>
        <v>2351.963383540502</v>
      </c>
      <c r="CH144" s="197">
        <f t="shared" si="411"/>
        <v>139.05584080221914</v>
      </c>
      <c r="CI144" s="197">
        <f t="shared" si="412"/>
        <v>956.75242235666008</v>
      </c>
      <c r="CJ144" s="197">
        <f t="shared" si="413"/>
        <v>1395.2109611838423</v>
      </c>
      <c r="CK144" s="197">
        <f t="shared" si="414"/>
        <v>1534.2668019860612</v>
      </c>
      <c r="CL144" s="196">
        <f t="shared" si="415"/>
        <v>18576.499411487435</v>
      </c>
      <c r="CM144" s="197">
        <f t="shared" si="416"/>
        <v>1098.3039799445205</v>
      </c>
      <c r="CN144" s="197">
        <f t="shared" si="417"/>
        <v>7556.7123770834878</v>
      </c>
      <c r="CO144" s="197">
        <f t="shared" si="418"/>
        <v>11019.787034403947</v>
      </c>
      <c r="CP144" s="199">
        <f t="shared" si="419"/>
        <v>12118.091014348465</v>
      </c>
      <c r="CT144" s="900">
        <v>7</v>
      </c>
      <c r="CU144" s="911">
        <f>'Arable Inputs'!$H$18</f>
        <v>8.14</v>
      </c>
      <c r="CV144" s="760">
        <f>'Arable Inputs'!$H$25*$CW$134</f>
        <v>0</v>
      </c>
      <c r="CW144" s="762">
        <f t="shared" si="420"/>
        <v>0</v>
      </c>
      <c r="CX144" s="197">
        <f>'Arable NPV'!$D123</f>
        <v>175.95</v>
      </c>
      <c r="CY144" s="197">
        <f t="shared" si="441"/>
        <v>175.95</v>
      </c>
      <c r="CZ144" s="197">
        <f>'Arable NPV'!$F123</f>
        <v>574.23049999999989</v>
      </c>
      <c r="DA144" s="197">
        <f>'Arable NPV'!$G123</f>
        <v>636.366536</v>
      </c>
      <c r="DB144" s="197">
        <f t="shared" si="442"/>
        <v>1210.5970359999999</v>
      </c>
      <c r="DC144" s="197">
        <f t="shared" si="421"/>
        <v>-1210.5970359999999</v>
      </c>
      <c r="DD144" s="197">
        <f t="shared" si="422"/>
        <v>-1034.6470359999998</v>
      </c>
      <c r="DE144" s="196">
        <f t="shared" si="423"/>
        <v>0</v>
      </c>
      <c r="DF144" s="197">
        <f t="shared" si="424"/>
        <v>139.05584080221914</v>
      </c>
      <c r="DG144" s="197">
        <f t="shared" si="425"/>
        <v>956.75242235666008</v>
      </c>
      <c r="DH144" s="197">
        <f t="shared" si="426"/>
        <v>-956.75242235666008</v>
      </c>
      <c r="DI144" s="197">
        <f t="shared" si="427"/>
        <v>-817.69658155444085</v>
      </c>
      <c r="DJ144" s="196">
        <f t="shared" si="428"/>
        <v>0</v>
      </c>
      <c r="DK144" s="197">
        <f t="shared" si="429"/>
        <v>1098.3039799445205</v>
      </c>
      <c r="DL144" s="197">
        <f t="shared" si="430"/>
        <v>7556.7123770834878</v>
      </c>
      <c r="DM144" s="197">
        <f t="shared" si="431"/>
        <v>-7556.7123770834878</v>
      </c>
      <c r="DN144" s="199">
        <f t="shared" si="432"/>
        <v>-6458.4083971389682</v>
      </c>
    </row>
    <row r="145" spans="2:118" x14ac:dyDescent="0.3">
      <c r="B145" s="900">
        <v>8</v>
      </c>
      <c r="C145" s="911">
        <f>'Arable Inputs'!$H$18</f>
        <v>8.14</v>
      </c>
      <c r="D145" s="760">
        <f>'Arable Inputs'!$H$25*$E$134</f>
        <v>182.8</v>
      </c>
      <c r="E145" s="762">
        <f t="shared" si="368"/>
        <v>1487.9920000000002</v>
      </c>
      <c r="F145" s="197">
        <f>'Arable NPV'!$D124</f>
        <v>175.95</v>
      </c>
      <c r="G145" s="197">
        <f t="shared" si="433"/>
        <v>1663.9420000000002</v>
      </c>
      <c r="H145" s="197">
        <f>'Arable NPV'!$F124</f>
        <v>574.23049999999989</v>
      </c>
      <c r="I145" s="197">
        <f>'Arable NPV'!$G124</f>
        <v>636.366536</v>
      </c>
      <c r="J145" s="197">
        <f t="shared" si="434"/>
        <v>1210.5970359999999</v>
      </c>
      <c r="K145" s="197">
        <f t="shared" si="369"/>
        <v>277.3949640000003</v>
      </c>
      <c r="L145" s="197">
        <f t="shared" si="370"/>
        <v>453.34496400000035</v>
      </c>
      <c r="M145" s="196">
        <f t="shared" si="371"/>
        <v>1130.7516267021647</v>
      </c>
      <c r="N145" s="197">
        <f t="shared" si="372"/>
        <v>133.70753923290303</v>
      </c>
      <c r="O145" s="197">
        <f t="shared" si="373"/>
        <v>919.95425226601935</v>
      </c>
      <c r="P145" s="197">
        <f t="shared" si="374"/>
        <v>210.79737443614528</v>
      </c>
      <c r="Q145" s="197">
        <f t="shared" si="375"/>
        <v>344.50491366904834</v>
      </c>
      <c r="R145" s="196">
        <f t="shared" si="376"/>
        <v>10419.001332445881</v>
      </c>
      <c r="S145" s="197">
        <f t="shared" si="377"/>
        <v>1232.0115191774235</v>
      </c>
      <c r="T145" s="197">
        <f t="shared" si="378"/>
        <v>8476.6666293495073</v>
      </c>
      <c r="U145" s="197">
        <f t="shared" si="379"/>
        <v>1942.3347030963741</v>
      </c>
      <c r="V145" s="199">
        <f t="shared" si="380"/>
        <v>3174.3462222737976</v>
      </c>
      <c r="Z145" s="900">
        <v>8</v>
      </c>
      <c r="AA145" s="911">
        <f>'Arable Inputs'!$H$18</f>
        <v>8.14</v>
      </c>
      <c r="AB145" s="760">
        <f>'Arable Inputs'!$H$25*$AC$134</f>
        <v>274.20000000000005</v>
      </c>
      <c r="AC145" s="762">
        <f t="shared" si="381"/>
        <v>2231.9880000000007</v>
      </c>
      <c r="AD145" s="197">
        <f>'Arable NPV'!$D124</f>
        <v>175.95</v>
      </c>
      <c r="AE145" s="197">
        <f t="shared" si="435"/>
        <v>2407.9380000000006</v>
      </c>
      <c r="AF145" s="197">
        <f>'Arable NPV'!$F124</f>
        <v>574.23049999999989</v>
      </c>
      <c r="AG145" s="197">
        <f>'Arable NPV'!$G124</f>
        <v>636.366536</v>
      </c>
      <c r="AH145" s="197">
        <f t="shared" si="436"/>
        <v>1210.5970359999999</v>
      </c>
      <c r="AI145" s="197">
        <f t="shared" si="382"/>
        <v>1021.3909640000008</v>
      </c>
      <c r="AJ145" s="197">
        <f t="shared" si="383"/>
        <v>1197.3409640000007</v>
      </c>
      <c r="AK145" s="196">
        <f t="shared" si="384"/>
        <v>1696.1274400532473</v>
      </c>
      <c r="AL145" s="197">
        <f t="shared" si="385"/>
        <v>133.70753923290303</v>
      </c>
      <c r="AM145" s="197">
        <f t="shared" si="386"/>
        <v>919.95425226601935</v>
      </c>
      <c r="AN145" s="197">
        <f t="shared" si="387"/>
        <v>776.17318778722802</v>
      </c>
      <c r="AO145" s="197">
        <f t="shared" si="388"/>
        <v>909.88072702013085</v>
      </c>
      <c r="AP145" s="196">
        <f t="shared" si="389"/>
        <v>15628.501998668826</v>
      </c>
      <c r="AQ145" s="197">
        <f t="shared" si="390"/>
        <v>1232.0115191774235</v>
      </c>
      <c r="AR145" s="197">
        <f t="shared" si="391"/>
        <v>8476.6666293495073</v>
      </c>
      <c r="AS145" s="197">
        <f t="shared" si="392"/>
        <v>7151.8353693193185</v>
      </c>
      <c r="AT145" s="199">
        <f t="shared" si="393"/>
        <v>8383.8468884967406</v>
      </c>
      <c r="AX145" s="900">
        <v>8</v>
      </c>
      <c r="AY145" s="911">
        <f>'Arable Inputs'!$H$18</f>
        <v>8.14</v>
      </c>
      <c r="AZ145" s="760">
        <f>'Arable Inputs'!$H$25*$BA$134</f>
        <v>91.4</v>
      </c>
      <c r="BA145" s="762">
        <f t="shared" si="394"/>
        <v>743.99600000000009</v>
      </c>
      <c r="BB145" s="197">
        <f>'Arable NPV'!$D124</f>
        <v>175.95</v>
      </c>
      <c r="BC145" s="197">
        <f t="shared" si="437"/>
        <v>919.94600000000014</v>
      </c>
      <c r="BD145" s="197">
        <f>'Arable NPV'!$F124</f>
        <v>574.23049999999989</v>
      </c>
      <c r="BE145" s="197">
        <f>'Arable NPV'!$G124</f>
        <v>636.366536</v>
      </c>
      <c r="BF145" s="197">
        <f t="shared" si="438"/>
        <v>1210.5970359999999</v>
      </c>
      <c r="BG145" s="197">
        <f t="shared" si="395"/>
        <v>-466.60103599999979</v>
      </c>
      <c r="BH145" s="197">
        <f t="shared" si="396"/>
        <v>-290.65103599999975</v>
      </c>
      <c r="BI145" s="196">
        <f t="shared" si="397"/>
        <v>565.37581335108234</v>
      </c>
      <c r="BJ145" s="197">
        <f t="shared" si="398"/>
        <v>133.70753923290303</v>
      </c>
      <c r="BK145" s="197">
        <f t="shared" si="399"/>
        <v>919.95425226601935</v>
      </c>
      <c r="BL145" s="197">
        <f t="shared" si="400"/>
        <v>-354.57843891493701</v>
      </c>
      <c r="BM145" s="197">
        <f t="shared" si="401"/>
        <v>-220.87089968203398</v>
      </c>
      <c r="BN145" s="196">
        <f t="shared" si="402"/>
        <v>5209.5006662229407</v>
      </c>
      <c r="BO145" s="197">
        <f t="shared" si="403"/>
        <v>1232.0115191774235</v>
      </c>
      <c r="BP145" s="197">
        <f t="shared" si="404"/>
        <v>8476.6666293495073</v>
      </c>
      <c r="BQ145" s="197">
        <f t="shared" si="405"/>
        <v>-3267.1659631265666</v>
      </c>
      <c r="BR145" s="199">
        <f t="shared" si="406"/>
        <v>-2035.1544439491429</v>
      </c>
      <c r="BV145" s="900">
        <v>8</v>
      </c>
      <c r="BW145" s="911">
        <f>'Arable Inputs'!$H$18</f>
        <v>8.14</v>
      </c>
      <c r="BX145" s="760">
        <f>'Arable Inputs'!$H$25*$BY$134</f>
        <v>365.6</v>
      </c>
      <c r="BY145" s="762">
        <f t="shared" si="407"/>
        <v>2975.9840000000004</v>
      </c>
      <c r="BZ145" s="197">
        <f>'Arable NPV'!$D124</f>
        <v>175.95</v>
      </c>
      <c r="CA145" s="197">
        <f t="shared" si="439"/>
        <v>3151.9340000000002</v>
      </c>
      <c r="CB145" s="197">
        <f>'Arable NPV'!$F124</f>
        <v>574.23049999999989</v>
      </c>
      <c r="CC145" s="197">
        <f>'Arable NPV'!$G124</f>
        <v>636.366536</v>
      </c>
      <c r="CD145" s="197">
        <f t="shared" si="440"/>
        <v>1210.5970359999999</v>
      </c>
      <c r="CE145" s="197">
        <f t="shared" si="408"/>
        <v>1765.3869640000005</v>
      </c>
      <c r="CF145" s="197">
        <f t="shared" si="409"/>
        <v>1941.3369640000003</v>
      </c>
      <c r="CG145" s="196">
        <f t="shared" si="410"/>
        <v>2261.5032534043294</v>
      </c>
      <c r="CH145" s="197">
        <f t="shared" si="411"/>
        <v>133.70753923290303</v>
      </c>
      <c r="CI145" s="197">
        <f t="shared" si="412"/>
        <v>919.95425226601935</v>
      </c>
      <c r="CJ145" s="197">
        <f t="shared" si="413"/>
        <v>1341.5490011383099</v>
      </c>
      <c r="CK145" s="197">
        <f t="shared" si="414"/>
        <v>1475.2565403712129</v>
      </c>
      <c r="CL145" s="196">
        <f t="shared" si="415"/>
        <v>20838.002664891763</v>
      </c>
      <c r="CM145" s="197">
        <f t="shared" si="416"/>
        <v>1232.0115191774235</v>
      </c>
      <c r="CN145" s="197">
        <f t="shared" si="417"/>
        <v>8476.6666293495073</v>
      </c>
      <c r="CO145" s="197">
        <f t="shared" si="418"/>
        <v>12361.336035542257</v>
      </c>
      <c r="CP145" s="199">
        <f t="shared" si="419"/>
        <v>13593.347554719678</v>
      </c>
      <c r="CT145" s="900">
        <v>8</v>
      </c>
      <c r="CU145" s="911">
        <f>'Arable Inputs'!$H$18</f>
        <v>8.14</v>
      </c>
      <c r="CV145" s="760">
        <f>'Arable Inputs'!$H$25*$CW$134</f>
        <v>0</v>
      </c>
      <c r="CW145" s="762">
        <f t="shared" si="420"/>
        <v>0</v>
      </c>
      <c r="CX145" s="197">
        <f>'Arable NPV'!$D124</f>
        <v>175.95</v>
      </c>
      <c r="CY145" s="197">
        <f t="shared" si="441"/>
        <v>175.95</v>
      </c>
      <c r="CZ145" s="197">
        <f>'Arable NPV'!$F124</f>
        <v>574.23049999999989</v>
      </c>
      <c r="DA145" s="197">
        <f>'Arable NPV'!$G124</f>
        <v>636.366536</v>
      </c>
      <c r="DB145" s="197">
        <f t="shared" si="442"/>
        <v>1210.5970359999999</v>
      </c>
      <c r="DC145" s="197">
        <f t="shared" si="421"/>
        <v>-1210.5970359999999</v>
      </c>
      <c r="DD145" s="197">
        <f t="shared" si="422"/>
        <v>-1034.6470359999998</v>
      </c>
      <c r="DE145" s="196">
        <f t="shared" si="423"/>
        <v>0</v>
      </c>
      <c r="DF145" s="197">
        <f t="shared" si="424"/>
        <v>133.70753923290303</v>
      </c>
      <c r="DG145" s="197">
        <f t="shared" si="425"/>
        <v>919.95425226601935</v>
      </c>
      <c r="DH145" s="197">
        <f t="shared" si="426"/>
        <v>-919.95425226601935</v>
      </c>
      <c r="DI145" s="197">
        <f t="shared" si="427"/>
        <v>-786.24671303311629</v>
      </c>
      <c r="DJ145" s="196">
        <f t="shared" si="428"/>
        <v>0</v>
      </c>
      <c r="DK145" s="197">
        <f t="shared" si="429"/>
        <v>1232.0115191774235</v>
      </c>
      <c r="DL145" s="197">
        <f t="shared" si="430"/>
        <v>8476.6666293495073</v>
      </c>
      <c r="DM145" s="197">
        <f t="shared" si="431"/>
        <v>-8476.6666293495073</v>
      </c>
      <c r="DN145" s="199">
        <f t="shared" si="432"/>
        <v>-7244.6551101720843</v>
      </c>
    </row>
    <row r="146" spans="2:118" x14ac:dyDescent="0.3">
      <c r="B146" s="900">
        <v>9</v>
      </c>
      <c r="C146" s="911">
        <f>'Arable Inputs'!$H$18</f>
        <v>8.14</v>
      </c>
      <c r="D146" s="760">
        <f>'Arable Inputs'!$H$25*$E$134</f>
        <v>182.8</v>
      </c>
      <c r="E146" s="762">
        <f t="shared" si="368"/>
        <v>1487.9920000000002</v>
      </c>
      <c r="F146" s="197">
        <f>'Arable NPV'!$D125</f>
        <v>175.95</v>
      </c>
      <c r="G146" s="197">
        <f t="shared" si="433"/>
        <v>1663.9420000000002</v>
      </c>
      <c r="H146" s="197">
        <f>'Arable NPV'!$F125</f>
        <v>574.23049999999989</v>
      </c>
      <c r="I146" s="197">
        <f>'Arable NPV'!$G125</f>
        <v>636.366536</v>
      </c>
      <c r="J146" s="197">
        <f t="shared" si="434"/>
        <v>1210.5970359999999</v>
      </c>
      <c r="K146" s="197">
        <f t="shared" si="369"/>
        <v>277.3949640000003</v>
      </c>
      <c r="L146" s="197">
        <f t="shared" si="370"/>
        <v>453.34496400000035</v>
      </c>
      <c r="M146" s="196">
        <f t="shared" si="371"/>
        <v>1087.261179521312</v>
      </c>
      <c r="N146" s="197">
        <f t="shared" si="372"/>
        <v>128.56494157009902</v>
      </c>
      <c r="O146" s="197">
        <f t="shared" si="373"/>
        <v>884.57139640963385</v>
      </c>
      <c r="P146" s="197">
        <f t="shared" si="374"/>
        <v>202.68978311167814</v>
      </c>
      <c r="Q146" s="197">
        <f t="shared" si="375"/>
        <v>331.25472468177719</v>
      </c>
      <c r="R146" s="196">
        <f t="shared" si="376"/>
        <v>11506.262511967194</v>
      </c>
      <c r="S146" s="197">
        <f t="shared" si="377"/>
        <v>1360.5764607475226</v>
      </c>
      <c r="T146" s="197">
        <f t="shared" si="378"/>
        <v>9361.2380257591412</v>
      </c>
      <c r="U146" s="197">
        <f t="shared" si="379"/>
        <v>2145.0244862080522</v>
      </c>
      <c r="V146" s="199">
        <f t="shared" si="380"/>
        <v>3505.6009469555747</v>
      </c>
      <c r="Z146" s="900">
        <v>9</v>
      </c>
      <c r="AA146" s="911">
        <f>'Arable Inputs'!$H$18</f>
        <v>8.14</v>
      </c>
      <c r="AB146" s="760">
        <f>'Arable Inputs'!$H$25*$AC$134</f>
        <v>274.20000000000005</v>
      </c>
      <c r="AC146" s="762">
        <f t="shared" si="381"/>
        <v>2231.9880000000007</v>
      </c>
      <c r="AD146" s="197">
        <f>'Arable NPV'!$D125</f>
        <v>175.95</v>
      </c>
      <c r="AE146" s="197">
        <f t="shared" si="435"/>
        <v>2407.9380000000006</v>
      </c>
      <c r="AF146" s="197">
        <f>'Arable NPV'!$F125</f>
        <v>574.23049999999989</v>
      </c>
      <c r="AG146" s="197">
        <f>'Arable NPV'!$G125</f>
        <v>636.366536</v>
      </c>
      <c r="AH146" s="197">
        <f t="shared" si="436"/>
        <v>1210.5970359999999</v>
      </c>
      <c r="AI146" s="197">
        <f t="shared" si="382"/>
        <v>1021.3909640000008</v>
      </c>
      <c r="AJ146" s="197">
        <f t="shared" si="383"/>
        <v>1197.3409640000007</v>
      </c>
      <c r="AK146" s="196">
        <f t="shared" si="384"/>
        <v>1630.8917692819682</v>
      </c>
      <c r="AL146" s="197">
        <f t="shared" si="385"/>
        <v>128.56494157009902</v>
      </c>
      <c r="AM146" s="197">
        <f t="shared" si="386"/>
        <v>884.57139640963385</v>
      </c>
      <c r="AN146" s="197">
        <f t="shared" si="387"/>
        <v>746.32037287233447</v>
      </c>
      <c r="AO146" s="197">
        <f t="shared" si="388"/>
        <v>874.88531444243335</v>
      </c>
      <c r="AP146" s="196">
        <f t="shared" si="389"/>
        <v>17259.393767950794</v>
      </c>
      <c r="AQ146" s="197">
        <f t="shared" si="390"/>
        <v>1360.5764607475226</v>
      </c>
      <c r="AR146" s="197">
        <f t="shared" si="391"/>
        <v>9361.2380257591412</v>
      </c>
      <c r="AS146" s="197">
        <f t="shared" si="392"/>
        <v>7898.1557421916532</v>
      </c>
      <c r="AT146" s="199">
        <f t="shared" si="393"/>
        <v>9258.7322029391744</v>
      </c>
      <c r="AX146" s="900">
        <v>9</v>
      </c>
      <c r="AY146" s="911">
        <f>'Arable Inputs'!$H$18</f>
        <v>8.14</v>
      </c>
      <c r="AZ146" s="760">
        <f>'Arable Inputs'!$H$25*$BA$134</f>
        <v>91.4</v>
      </c>
      <c r="BA146" s="762">
        <f t="shared" si="394"/>
        <v>743.99600000000009</v>
      </c>
      <c r="BB146" s="197">
        <f>'Arable NPV'!$D125</f>
        <v>175.95</v>
      </c>
      <c r="BC146" s="197">
        <f t="shared" si="437"/>
        <v>919.94600000000014</v>
      </c>
      <c r="BD146" s="197">
        <f>'Arable NPV'!$F125</f>
        <v>574.23049999999989</v>
      </c>
      <c r="BE146" s="197">
        <f>'Arable NPV'!$G125</f>
        <v>636.366536</v>
      </c>
      <c r="BF146" s="197">
        <f t="shared" si="438"/>
        <v>1210.5970359999999</v>
      </c>
      <c r="BG146" s="197">
        <f t="shared" si="395"/>
        <v>-466.60103599999979</v>
      </c>
      <c r="BH146" s="197">
        <f t="shared" si="396"/>
        <v>-290.65103599999975</v>
      </c>
      <c r="BI146" s="196">
        <f t="shared" si="397"/>
        <v>543.63058976065599</v>
      </c>
      <c r="BJ146" s="197">
        <f t="shared" si="398"/>
        <v>128.56494157009902</v>
      </c>
      <c r="BK146" s="197">
        <f t="shared" si="399"/>
        <v>884.57139640963385</v>
      </c>
      <c r="BL146" s="197">
        <f t="shared" si="400"/>
        <v>-340.94080664897785</v>
      </c>
      <c r="BM146" s="197">
        <f t="shared" si="401"/>
        <v>-212.37586507887877</v>
      </c>
      <c r="BN146" s="196">
        <f t="shared" si="402"/>
        <v>5753.1312559835969</v>
      </c>
      <c r="BO146" s="197">
        <f t="shared" si="403"/>
        <v>1360.5764607475226</v>
      </c>
      <c r="BP146" s="197">
        <f t="shared" si="404"/>
        <v>9361.2380257591412</v>
      </c>
      <c r="BQ146" s="197">
        <f t="shared" si="405"/>
        <v>-3608.1067697755443</v>
      </c>
      <c r="BR146" s="199">
        <f t="shared" si="406"/>
        <v>-2247.5303090280217</v>
      </c>
      <c r="BV146" s="900">
        <v>9</v>
      </c>
      <c r="BW146" s="911">
        <f>'Arable Inputs'!$H$18</f>
        <v>8.14</v>
      </c>
      <c r="BX146" s="760">
        <f>'Arable Inputs'!$H$25*$BY$134</f>
        <v>365.6</v>
      </c>
      <c r="BY146" s="762">
        <f t="shared" si="407"/>
        <v>2975.9840000000004</v>
      </c>
      <c r="BZ146" s="197">
        <f>'Arable NPV'!$D125</f>
        <v>175.95</v>
      </c>
      <c r="CA146" s="197">
        <f t="shared" si="439"/>
        <v>3151.9340000000002</v>
      </c>
      <c r="CB146" s="197">
        <f>'Arable NPV'!$F125</f>
        <v>574.23049999999989</v>
      </c>
      <c r="CC146" s="197">
        <f>'Arable NPV'!$G125</f>
        <v>636.366536</v>
      </c>
      <c r="CD146" s="197">
        <f t="shared" si="440"/>
        <v>1210.5970359999999</v>
      </c>
      <c r="CE146" s="197">
        <f t="shared" si="408"/>
        <v>1765.3869640000005</v>
      </c>
      <c r="CF146" s="197">
        <f t="shared" si="409"/>
        <v>1941.3369640000003</v>
      </c>
      <c r="CG146" s="196">
        <f t="shared" si="410"/>
        <v>2174.522359042624</v>
      </c>
      <c r="CH146" s="197">
        <f t="shared" si="411"/>
        <v>128.56494157009902</v>
      </c>
      <c r="CI146" s="197">
        <f t="shared" si="412"/>
        <v>884.57139640963385</v>
      </c>
      <c r="CJ146" s="197">
        <f t="shared" si="413"/>
        <v>1289.95096263299</v>
      </c>
      <c r="CK146" s="197">
        <f t="shared" si="414"/>
        <v>1418.5159042030891</v>
      </c>
      <c r="CL146" s="196">
        <f t="shared" si="415"/>
        <v>23012.525023934388</v>
      </c>
      <c r="CM146" s="197">
        <f t="shared" si="416"/>
        <v>1360.5764607475226</v>
      </c>
      <c r="CN146" s="197">
        <f t="shared" si="417"/>
        <v>9361.2380257591412</v>
      </c>
      <c r="CO146" s="197">
        <f t="shared" si="418"/>
        <v>13651.286998175248</v>
      </c>
      <c r="CP146" s="199">
        <f t="shared" si="419"/>
        <v>15011.863458922766</v>
      </c>
      <c r="CT146" s="900">
        <v>9</v>
      </c>
      <c r="CU146" s="911">
        <f>'Arable Inputs'!$H$18</f>
        <v>8.14</v>
      </c>
      <c r="CV146" s="760">
        <f>'Arable Inputs'!$H$25*$CW$134</f>
        <v>0</v>
      </c>
      <c r="CW146" s="762">
        <f t="shared" si="420"/>
        <v>0</v>
      </c>
      <c r="CX146" s="197">
        <f>'Arable NPV'!$D125</f>
        <v>175.95</v>
      </c>
      <c r="CY146" s="197">
        <f t="shared" si="441"/>
        <v>175.95</v>
      </c>
      <c r="CZ146" s="197">
        <f>'Arable NPV'!$F125</f>
        <v>574.23049999999989</v>
      </c>
      <c r="DA146" s="197">
        <f>'Arable NPV'!$G125</f>
        <v>636.366536</v>
      </c>
      <c r="DB146" s="197">
        <f t="shared" si="442"/>
        <v>1210.5970359999999</v>
      </c>
      <c r="DC146" s="197">
        <f t="shared" si="421"/>
        <v>-1210.5970359999999</v>
      </c>
      <c r="DD146" s="197">
        <f t="shared" si="422"/>
        <v>-1034.6470359999998</v>
      </c>
      <c r="DE146" s="196">
        <f t="shared" si="423"/>
        <v>0</v>
      </c>
      <c r="DF146" s="197">
        <f t="shared" si="424"/>
        <v>128.56494157009902</v>
      </c>
      <c r="DG146" s="197">
        <f t="shared" si="425"/>
        <v>884.57139640963385</v>
      </c>
      <c r="DH146" s="197">
        <f t="shared" si="426"/>
        <v>-884.57139640963385</v>
      </c>
      <c r="DI146" s="197">
        <f t="shared" si="427"/>
        <v>-756.00645483953474</v>
      </c>
      <c r="DJ146" s="196">
        <f t="shared" si="428"/>
        <v>0</v>
      </c>
      <c r="DK146" s="197">
        <f t="shared" si="429"/>
        <v>1360.5764607475226</v>
      </c>
      <c r="DL146" s="197">
        <f t="shared" si="430"/>
        <v>9361.2380257591412</v>
      </c>
      <c r="DM146" s="197">
        <f t="shared" si="431"/>
        <v>-9361.2380257591412</v>
      </c>
      <c r="DN146" s="199">
        <f t="shared" si="432"/>
        <v>-8000.6615650116191</v>
      </c>
    </row>
    <row r="147" spans="2:118" x14ac:dyDescent="0.3">
      <c r="B147" s="900">
        <v>10</v>
      </c>
      <c r="C147" s="911">
        <f>'Arable Inputs'!$H$18</f>
        <v>8.14</v>
      </c>
      <c r="D147" s="760">
        <f>'Arable Inputs'!$H$25*$E$134</f>
        <v>182.8</v>
      </c>
      <c r="E147" s="762">
        <f t="shared" si="368"/>
        <v>1487.9920000000002</v>
      </c>
      <c r="F147" s="197">
        <f>'Arable NPV'!$D126</f>
        <v>175.95</v>
      </c>
      <c r="G147" s="197">
        <f t="shared" si="433"/>
        <v>1663.9420000000002</v>
      </c>
      <c r="H147" s="197">
        <f>'Arable NPV'!$F126</f>
        <v>574.23049999999989</v>
      </c>
      <c r="I147" s="197">
        <f>'Arable NPV'!$G126</f>
        <v>636.366536</v>
      </c>
      <c r="J147" s="197">
        <f t="shared" si="434"/>
        <v>1210.5970359999999</v>
      </c>
      <c r="K147" s="197">
        <f t="shared" si="369"/>
        <v>277.3949640000003</v>
      </c>
      <c r="L147" s="197">
        <f t="shared" si="370"/>
        <v>453.34496400000035</v>
      </c>
      <c r="M147" s="196">
        <f t="shared" si="371"/>
        <v>1045.4434418474152</v>
      </c>
      <c r="N147" s="197">
        <f t="shared" si="372"/>
        <v>123.62013612509521</v>
      </c>
      <c r="O147" s="197">
        <f t="shared" si="373"/>
        <v>850.54941962464784</v>
      </c>
      <c r="P147" s="197">
        <f t="shared" si="374"/>
        <v>194.8940222227674</v>
      </c>
      <c r="Q147" s="197">
        <f t="shared" si="375"/>
        <v>318.51415834786269</v>
      </c>
      <c r="R147" s="196">
        <f t="shared" si="376"/>
        <v>12551.70595381461</v>
      </c>
      <c r="S147" s="197">
        <f t="shared" si="377"/>
        <v>1484.1965968726179</v>
      </c>
      <c r="T147" s="197">
        <f t="shared" si="378"/>
        <v>10211.787445383789</v>
      </c>
      <c r="U147" s="197">
        <f t="shared" si="379"/>
        <v>2339.9185084308197</v>
      </c>
      <c r="V147" s="199">
        <f t="shared" si="380"/>
        <v>3824.1151053034373</v>
      </c>
      <c r="Z147" s="900">
        <v>10</v>
      </c>
      <c r="AA147" s="911">
        <f>'Arable Inputs'!$H$18</f>
        <v>8.14</v>
      </c>
      <c r="AB147" s="760">
        <f>'Arable Inputs'!$H$25*$AC$134</f>
        <v>274.20000000000005</v>
      </c>
      <c r="AC147" s="762">
        <f t="shared" si="381"/>
        <v>2231.9880000000007</v>
      </c>
      <c r="AD147" s="197">
        <f>'Arable NPV'!$D126</f>
        <v>175.95</v>
      </c>
      <c r="AE147" s="197">
        <f t="shared" si="435"/>
        <v>2407.9380000000006</v>
      </c>
      <c r="AF147" s="197">
        <f>'Arable NPV'!$F126</f>
        <v>574.23049999999989</v>
      </c>
      <c r="AG147" s="197">
        <f>'Arable NPV'!$G126</f>
        <v>636.366536</v>
      </c>
      <c r="AH147" s="197">
        <f t="shared" si="436"/>
        <v>1210.5970359999999</v>
      </c>
      <c r="AI147" s="197">
        <f t="shared" si="382"/>
        <v>1021.3909640000008</v>
      </c>
      <c r="AJ147" s="197">
        <f t="shared" si="383"/>
        <v>1197.3409640000007</v>
      </c>
      <c r="AK147" s="196">
        <f t="shared" si="384"/>
        <v>1568.1651627711233</v>
      </c>
      <c r="AL147" s="197">
        <f t="shared" si="385"/>
        <v>123.62013612509521</v>
      </c>
      <c r="AM147" s="197">
        <f t="shared" si="386"/>
        <v>850.54941962464784</v>
      </c>
      <c r="AN147" s="197">
        <f t="shared" si="387"/>
        <v>717.61574314647532</v>
      </c>
      <c r="AO147" s="197">
        <f t="shared" si="388"/>
        <v>841.23587927157052</v>
      </c>
      <c r="AP147" s="196">
        <f t="shared" si="389"/>
        <v>18827.558930721916</v>
      </c>
      <c r="AQ147" s="197">
        <f t="shared" si="390"/>
        <v>1484.1965968726179</v>
      </c>
      <c r="AR147" s="197">
        <f t="shared" si="391"/>
        <v>10211.787445383789</v>
      </c>
      <c r="AS147" s="197">
        <f t="shared" si="392"/>
        <v>8615.7714853381294</v>
      </c>
      <c r="AT147" s="199">
        <f t="shared" si="393"/>
        <v>10099.968082210746</v>
      </c>
      <c r="AX147" s="900">
        <v>10</v>
      </c>
      <c r="AY147" s="911">
        <f>'Arable Inputs'!$H$18</f>
        <v>8.14</v>
      </c>
      <c r="AZ147" s="760">
        <f>'Arable Inputs'!$H$25*$BA$134</f>
        <v>91.4</v>
      </c>
      <c r="BA147" s="762">
        <f t="shared" si="394"/>
        <v>743.99600000000009</v>
      </c>
      <c r="BB147" s="197">
        <f>'Arable NPV'!$D126</f>
        <v>175.95</v>
      </c>
      <c r="BC147" s="197">
        <f t="shared" si="437"/>
        <v>919.94600000000014</v>
      </c>
      <c r="BD147" s="197">
        <f>'Arable NPV'!$F126</f>
        <v>574.23049999999989</v>
      </c>
      <c r="BE147" s="197">
        <f>'Arable NPV'!$G126</f>
        <v>636.366536</v>
      </c>
      <c r="BF147" s="197">
        <f t="shared" si="438"/>
        <v>1210.5970359999999</v>
      </c>
      <c r="BG147" s="197">
        <f t="shared" si="395"/>
        <v>-466.60103599999979</v>
      </c>
      <c r="BH147" s="197">
        <f t="shared" si="396"/>
        <v>-290.65103599999975</v>
      </c>
      <c r="BI147" s="196">
        <f t="shared" si="397"/>
        <v>522.72172092370761</v>
      </c>
      <c r="BJ147" s="197">
        <f t="shared" si="398"/>
        <v>123.62013612509521</v>
      </c>
      <c r="BK147" s="197">
        <f t="shared" si="399"/>
        <v>850.54941962464784</v>
      </c>
      <c r="BL147" s="197">
        <f t="shared" si="400"/>
        <v>-327.82769870094023</v>
      </c>
      <c r="BM147" s="197">
        <f t="shared" si="401"/>
        <v>-204.20756257584497</v>
      </c>
      <c r="BN147" s="196">
        <f t="shared" si="402"/>
        <v>6275.8529769073048</v>
      </c>
      <c r="BO147" s="197">
        <f t="shared" si="403"/>
        <v>1484.1965968726179</v>
      </c>
      <c r="BP147" s="197">
        <f t="shared" si="404"/>
        <v>10211.787445383789</v>
      </c>
      <c r="BQ147" s="197">
        <f t="shared" si="405"/>
        <v>-3935.9344684764847</v>
      </c>
      <c r="BR147" s="199">
        <f t="shared" si="406"/>
        <v>-2451.7378716038666</v>
      </c>
      <c r="BV147" s="900">
        <v>10</v>
      </c>
      <c r="BW147" s="911">
        <f>'Arable Inputs'!$H$18</f>
        <v>8.14</v>
      </c>
      <c r="BX147" s="760">
        <f>'Arable Inputs'!$H$25*$BY$134</f>
        <v>365.6</v>
      </c>
      <c r="BY147" s="762">
        <f t="shared" si="407"/>
        <v>2975.9840000000004</v>
      </c>
      <c r="BZ147" s="197">
        <f>'Arable NPV'!$D126</f>
        <v>175.95</v>
      </c>
      <c r="CA147" s="197">
        <f t="shared" si="439"/>
        <v>3151.9340000000002</v>
      </c>
      <c r="CB147" s="197">
        <f>'Arable NPV'!$F126</f>
        <v>574.23049999999989</v>
      </c>
      <c r="CC147" s="197">
        <f>'Arable NPV'!$G126</f>
        <v>636.366536</v>
      </c>
      <c r="CD147" s="197">
        <f t="shared" si="440"/>
        <v>1210.5970359999999</v>
      </c>
      <c r="CE147" s="197">
        <f t="shared" si="408"/>
        <v>1765.3869640000005</v>
      </c>
      <c r="CF147" s="197">
        <f t="shared" si="409"/>
        <v>1941.3369640000003</v>
      </c>
      <c r="CG147" s="196">
        <f t="shared" si="410"/>
        <v>2090.8868836948304</v>
      </c>
      <c r="CH147" s="197">
        <f t="shared" si="411"/>
        <v>123.62013612509521</v>
      </c>
      <c r="CI147" s="197">
        <f t="shared" si="412"/>
        <v>850.54941962464784</v>
      </c>
      <c r="CJ147" s="197">
        <f t="shared" si="413"/>
        <v>1240.3374640701827</v>
      </c>
      <c r="CK147" s="197">
        <f t="shared" si="414"/>
        <v>1363.9576001952778</v>
      </c>
      <c r="CL147" s="196">
        <f t="shared" si="415"/>
        <v>25103.411907629219</v>
      </c>
      <c r="CM147" s="197">
        <f t="shared" si="416"/>
        <v>1484.1965968726179</v>
      </c>
      <c r="CN147" s="197">
        <f t="shared" si="417"/>
        <v>10211.787445383789</v>
      </c>
      <c r="CO147" s="197">
        <f t="shared" si="418"/>
        <v>14891.624462245431</v>
      </c>
      <c r="CP147" s="199">
        <f t="shared" si="419"/>
        <v>16375.821059118043</v>
      </c>
      <c r="CT147" s="900">
        <v>10</v>
      </c>
      <c r="CU147" s="911">
        <f>'Arable Inputs'!$H$18</f>
        <v>8.14</v>
      </c>
      <c r="CV147" s="760">
        <f>'Arable Inputs'!$H$25*$CW$134</f>
        <v>0</v>
      </c>
      <c r="CW147" s="762">
        <f t="shared" si="420"/>
        <v>0</v>
      </c>
      <c r="CX147" s="197">
        <f>'Arable NPV'!$D126</f>
        <v>175.95</v>
      </c>
      <c r="CY147" s="197">
        <f t="shared" si="441"/>
        <v>175.95</v>
      </c>
      <c r="CZ147" s="197">
        <f>'Arable NPV'!$F126</f>
        <v>574.23049999999989</v>
      </c>
      <c r="DA147" s="197">
        <f>'Arable NPV'!$G126</f>
        <v>636.366536</v>
      </c>
      <c r="DB147" s="197">
        <f t="shared" si="442"/>
        <v>1210.5970359999999</v>
      </c>
      <c r="DC147" s="197">
        <f t="shared" si="421"/>
        <v>-1210.5970359999999</v>
      </c>
      <c r="DD147" s="197">
        <f t="shared" si="422"/>
        <v>-1034.6470359999998</v>
      </c>
      <c r="DE147" s="196">
        <f t="shared" si="423"/>
        <v>0</v>
      </c>
      <c r="DF147" s="197">
        <f t="shared" si="424"/>
        <v>123.62013612509521</v>
      </c>
      <c r="DG147" s="197">
        <f t="shared" si="425"/>
        <v>850.54941962464784</v>
      </c>
      <c r="DH147" s="197">
        <f t="shared" si="426"/>
        <v>-850.54941962464784</v>
      </c>
      <c r="DI147" s="197">
        <f t="shared" si="427"/>
        <v>-726.92928349955264</v>
      </c>
      <c r="DJ147" s="196">
        <f t="shared" si="428"/>
        <v>0</v>
      </c>
      <c r="DK147" s="197">
        <f t="shared" si="429"/>
        <v>1484.1965968726179</v>
      </c>
      <c r="DL147" s="197">
        <f t="shared" si="430"/>
        <v>10211.787445383789</v>
      </c>
      <c r="DM147" s="197">
        <f t="shared" si="431"/>
        <v>-10211.787445383789</v>
      </c>
      <c r="DN147" s="199">
        <f t="shared" si="432"/>
        <v>-8727.5908485111722</v>
      </c>
    </row>
    <row r="148" spans="2:118" x14ac:dyDescent="0.3">
      <c r="B148" s="900">
        <v>11</v>
      </c>
      <c r="C148" s="911">
        <f>'Arable Inputs'!$H$18</f>
        <v>8.14</v>
      </c>
      <c r="D148" s="760">
        <f>'Arable Inputs'!$H$25*$E$134</f>
        <v>182.8</v>
      </c>
      <c r="E148" s="762">
        <f t="shared" si="368"/>
        <v>1487.9920000000002</v>
      </c>
      <c r="F148" s="197">
        <f>'Arable NPV'!$D127</f>
        <v>175.95</v>
      </c>
      <c r="G148" s="197">
        <f t="shared" si="433"/>
        <v>1663.9420000000002</v>
      </c>
      <c r="H148" s="197">
        <f>'Arable NPV'!$F127</f>
        <v>574.23049999999989</v>
      </c>
      <c r="I148" s="197">
        <f>'Arable NPV'!$G127</f>
        <v>636.366536</v>
      </c>
      <c r="J148" s="197">
        <f t="shared" si="434"/>
        <v>1210.5970359999999</v>
      </c>
      <c r="K148" s="197">
        <f t="shared" si="369"/>
        <v>277.3949640000003</v>
      </c>
      <c r="L148" s="197">
        <f t="shared" si="370"/>
        <v>453.34496400000035</v>
      </c>
      <c r="M148" s="196">
        <f t="shared" si="371"/>
        <v>1005.2340786994378</v>
      </c>
      <c r="N148" s="197">
        <f t="shared" si="372"/>
        <v>118.86551550489925</v>
      </c>
      <c r="O148" s="197">
        <f t="shared" si="373"/>
        <v>817.83598040831521</v>
      </c>
      <c r="P148" s="197">
        <f t="shared" si="374"/>
        <v>187.39809829112252</v>
      </c>
      <c r="Q148" s="197">
        <f t="shared" si="375"/>
        <v>306.26361379602179</v>
      </c>
      <c r="R148" s="196">
        <f t="shared" si="376"/>
        <v>13556.940032514047</v>
      </c>
      <c r="S148" s="197">
        <f t="shared" si="377"/>
        <v>1603.0621123775172</v>
      </c>
      <c r="T148" s="197">
        <f t="shared" si="378"/>
        <v>11029.623425792104</v>
      </c>
      <c r="U148" s="197">
        <f t="shared" si="379"/>
        <v>2527.3166067219422</v>
      </c>
      <c r="V148" s="199">
        <f t="shared" si="380"/>
        <v>4130.378719099459</v>
      </c>
      <c r="Z148" s="900">
        <v>11</v>
      </c>
      <c r="AA148" s="911">
        <f>'Arable Inputs'!$H$18</f>
        <v>8.14</v>
      </c>
      <c r="AB148" s="760">
        <f>'Arable Inputs'!$H$25*$AC$134</f>
        <v>274.20000000000005</v>
      </c>
      <c r="AC148" s="762">
        <f t="shared" si="381"/>
        <v>2231.9880000000007</v>
      </c>
      <c r="AD148" s="197">
        <f>'Arable NPV'!$D127</f>
        <v>175.95</v>
      </c>
      <c r="AE148" s="197">
        <f t="shared" si="435"/>
        <v>2407.9380000000006</v>
      </c>
      <c r="AF148" s="197">
        <f>'Arable NPV'!$F127</f>
        <v>574.23049999999989</v>
      </c>
      <c r="AG148" s="197">
        <f>'Arable NPV'!$G127</f>
        <v>636.366536</v>
      </c>
      <c r="AH148" s="197">
        <f t="shared" si="436"/>
        <v>1210.5970359999999</v>
      </c>
      <c r="AI148" s="197">
        <f t="shared" si="382"/>
        <v>1021.3909640000008</v>
      </c>
      <c r="AJ148" s="197">
        <f t="shared" si="383"/>
        <v>1197.3409640000007</v>
      </c>
      <c r="AK148" s="196">
        <f t="shared" si="384"/>
        <v>1507.8511180491569</v>
      </c>
      <c r="AL148" s="197">
        <f t="shared" si="385"/>
        <v>118.86551550489925</v>
      </c>
      <c r="AM148" s="197">
        <f t="shared" si="386"/>
        <v>817.83598040831521</v>
      </c>
      <c r="AN148" s="197">
        <f t="shared" si="387"/>
        <v>690.01513764084166</v>
      </c>
      <c r="AO148" s="197">
        <f t="shared" si="388"/>
        <v>808.88065314574089</v>
      </c>
      <c r="AP148" s="196">
        <f t="shared" si="389"/>
        <v>20335.410048771075</v>
      </c>
      <c r="AQ148" s="197">
        <f t="shared" si="390"/>
        <v>1603.0621123775172</v>
      </c>
      <c r="AR148" s="197">
        <f t="shared" si="391"/>
        <v>11029.623425792104</v>
      </c>
      <c r="AS148" s="197">
        <f t="shared" si="392"/>
        <v>9305.7866229789706</v>
      </c>
      <c r="AT148" s="199">
        <f t="shared" si="393"/>
        <v>10908.848735356487</v>
      </c>
      <c r="AX148" s="900">
        <v>11</v>
      </c>
      <c r="AY148" s="911">
        <f>'Arable Inputs'!$H$18</f>
        <v>8.14</v>
      </c>
      <c r="AZ148" s="760">
        <f>'Arable Inputs'!$H$25*$BA$134</f>
        <v>91.4</v>
      </c>
      <c r="BA148" s="762">
        <f t="shared" si="394"/>
        <v>743.99600000000009</v>
      </c>
      <c r="BB148" s="197">
        <f>'Arable NPV'!$D127</f>
        <v>175.95</v>
      </c>
      <c r="BC148" s="197">
        <f t="shared" si="437"/>
        <v>919.94600000000014</v>
      </c>
      <c r="BD148" s="197">
        <f>'Arable NPV'!$F127</f>
        <v>574.23049999999989</v>
      </c>
      <c r="BE148" s="197">
        <f>'Arable NPV'!$G127</f>
        <v>636.366536</v>
      </c>
      <c r="BF148" s="197">
        <f t="shared" si="438"/>
        <v>1210.5970359999999</v>
      </c>
      <c r="BG148" s="197">
        <f t="shared" si="395"/>
        <v>-466.60103599999979</v>
      </c>
      <c r="BH148" s="197">
        <f t="shared" si="396"/>
        <v>-290.65103599999975</v>
      </c>
      <c r="BI148" s="196">
        <f t="shared" si="397"/>
        <v>502.61703934971888</v>
      </c>
      <c r="BJ148" s="197">
        <f t="shared" si="398"/>
        <v>118.86551550489925</v>
      </c>
      <c r="BK148" s="197">
        <f t="shared" si="399"/>
        <v>817.83598040831521</v>
      </c>
      <c r="BL148" s="197">
        <f t="shared" si="400"/>
        <v>-315.21894105859639</v>
      </c>
      <c r="BM148" s="197">
        <f t="shared" si="401"/>
        <v>-196.35342555369709</v>
      </c>
      <c r="BN148" s="196">
        <f t="shared" si="402"/>
        <v>6778.4700162570234</v>
      </c>
      <c r="BO148" s="197">
        <f t="shared" si="403"/>
        <v>1603.0621123775172</v>
      </c>
      <c r="BP148" s="197">
        <f t="shared" si="404"/>
        <v>11029.623425792104</v>
      </c>
      <c r="BQ148" s="197">
        <f t="shared" si="405"/>
        <v>-4251.1534095350808</v>
      </c>
      <c r="BR148" s="199">
        <f t="shared" si="406"/>
        <v>-2648.0912971575635</v>
      </c>
      <c r="BV148" s="900">
        <v>11</v>
      </c>
      <c r="BW148" s="911">
        <f>'Arable Inputs'!$H$18</f>
        <v>8.14</v>
      </c>
      <c r="BX148" s="760">
        <f>'Arable Inputs'!$H$25*$BY$134</f>
        <v>365.6</v>
      </c>
      <c r="BY148" s="762">
        <f t="shared" si="407"/>
        <v>2975.9840000000004</v>
      </c>
      <c r="BZ148" s="197">
        <f>'Arable NPV'!$D127</f>
        <v>175.95</v>
      </c>
      <c r="CA148" s="197">
        <f t="shared" si="439"/>
        <v>3151.9340000000002</v>
      </c>
      <c r="CB148" s="197">
        <f>'Arable NPV'!$F127</f>
        <v>574.23049999999989</v>
      </c>
      <c r="CC148" s="197">
        <f>'Arable NPV'!$G127</f>
        <v>636.366536</v>
      </c>
      <c r="CD148" s="197">
        <f t="shared" si="440"/>
        <v>1210.5970359999999</v>
      </c>
      <c r="CE148" s="197">
        <f t="shared" si="408"/>
        <v>1765.3869640000005</v>
      </c>
      <c r="CF148" s="197">
        <f t="shared" si="409"/>
        <v>1941.3369640000003</v>
      </c>
      <c r="CG148" s="196">
        <f t="shared" si="410"/>
        <v>2010.4681573988755</v>
      </c>
      <c r="CH148" s="197">
        <f t="shared" si="411"/>
        <v>118.86551550489925</v>
      </c>
      <c r="CI148" s="197">
        <f t="shared" si="412"/>
        <v>817.83598040831521</v>
      </c>
      <c r="CJ148" s="197">
        <f t="shared" si="413"/>
        <v>1192.6321769905603</v>
      </c>
      <c r="CK148" s="197">
        <f t="shared" si="414"/>
        <v>1311.4976924954594</v>
      </c>
      <c r="CL148" s="196">
        <f t="shared" si="415"/>
        <v>27113.880065028094</v>
      </c>
      <c r="CM148" s="197">
        <f t="shared" si="416"/>
        <v>1603.0621123775172</v>
      </c>
      <c r="CN148" s="197">
        <f t="shared" si="417"/>
        <v>11029.623425792104</v>
      </c>
      <c r="CO148" s="197">
        <f t="shared" si="418"/>
        <v>16084.256639235991</v>
      </c>
      <c r="CP148" s="199">
        <f t="shared" si="419"/>
        <v>17687.318751613504</v>
      </c>
      <c r="CT148" s="900">
        <v>11</v>
      </c>
      <c r="CU148" s="911">
        <f>'Arable Inputs'!$H$18</f>
        <v>8.14</v>
      </c>
      <c r="CV148" s="760">
        <f>'Arable Inputs'!$H$25*$CW$134</f>
        <v>0</v>
      </c>
      <c r="CW148" s="762">
        <f t="shared" si="420"/>
        <v>0</v>
      </c>
      <c r="CX148" s="197">
        <f>'Arable NPV'!$D127</f>
        <v>175.95</v>
      </c>
      <c r="CY148" s="197">
        <f t="shared" si="441"/>
        <v>175.95</v>
      </c>
      <c r="CZ148" s="197">
        <f>'Arable NPV'!$F127</f>
        <v>574.23049999999989</v>
      </c>
      <c r="DA148" s="197">
        <f>'Arable NPV'!$G127</f>
        <v>636.366536</v>
      </c>
      <c r="DB148" s="197">
        <f t="shared" si="442"/>
        <v>1210.5970359999999</v>
      </c>
      <c r="DC148" s="197">
        <f t="shared" si="421"/>
        <v>-1210.5970359999999</v>
      </c>
      <c r="DD148" s="197">
        <f t="shared" si="422"/>
        <v>-1034.6470359999998</v>
      </c>
      <c r="DE148" s="196">
        <f t="shared" si="423"/>
        <v>0</v>
      </c>
      <c r="DF148" s="197">
        <f t="shared" si="424"/>
        <v>118.86551550489925</v>
      </c>
      <c r="DG148" s="197">
        <f t="shared" si="425"/>
        <v>817.83598040831521</v>
      </c>
      <c r="DH148" s="197">
        <f t="shared" si="426"/>
        <v>-817.83598040831521</v>
      </c>
      <c r="DI148" s="197">
        <f t="shared" si="427"/>
        <v>-698.97046490341597</v>
      </c>
      <c r="DJ148" s="196">
        <f t="shared" si="428"/>
        <v>0</v>
      </c>
      <c r="DK148" s="197">
        <f t="shared" si="429"/>
        <v>1603.0621123775172</v>
      </c>
      <c r="DL148" s="197">
        <f t="shared" si="430"/>
        <v>11029.623425792104</v>
      </c>
      <c r="DM148" s="197">
        <f t="shared" si="431"/>
        <v>-11029.623425792104</v>
      </c>
      <c r="DN148" s="199">
        <f t="shared" si="432"/>
        <v>-9426.5613134145879</v>
      </c>
    </row>
    <row r="149" spans="2:118" x14ac:dyDescent="0.3">
      <c r="B149" s="900">
        <v>12</v>
      </c>
      <c r="C149" s="911">
        <f>'Arable Inputs'!$H$18</f>
        <v>8.14</v>
      </c>
      <c r="D149" s="760">
        <f>'Arable Inputs'!$H$25*$E$134</f>
        <v>182.8</v>
      </c>
      <c r="E149" s="762">
        <f t="shared" si="368"/>
        <v>1487.9920000000002</v>
      </c>
      <c r="F149" s="197">
        <f>'Arable NPV'!$D128</f>
        <v>175.95</v>
      </c>
      <c r="G149" s="197">
        <f t="shared" si="433"/>
        <v>1663.9420000000002</v>
      </c>
      <c r="H149" s="197">
        <f>'Arable NPV'!$F128</f>
        <v>574.23049999999989</v>
      </c>
      <c r="I149" s="197">
        <f>'Arable NPV'!$G128</f>
        <v>636.366536</v>
      </c>
      <c r="J149" s="197">
        <f t="shared" si="434"/>
        <v>1210.5970359999999</v>
      </c>
      <c r="K149" s="197">
        <f t="shared" si="369"/>
        <v>277.3949640000003</v>
      </c>
      <c r="L149" s="197">
        <f t="shared" si="370"/>
        <v>453.34496400000035</v>
      </c>
      <c r="M149" s="196">
        <f t="shared" si="371"/>
        <v>966.57122951869019</v>
      </c>
      <c r="N149" s="197">
        <f t="shared" si="372"/>
        <v>114.29376490855698</v>
      </c>
      <c r="O149" s="197">
        <f t="shared" si="373"/>
        <v>786.38075039261093</v>
      </c>
      <c r="P149" s="197">
        <f t="shared" si="374"/>
        <v>180.19047912607937</v>
      </c>
      <c r="Q149" s="197">
        <f t="shared" si="375"/>
        <v>294.48424403463639</v>
      </c>
      <c r="R149" s="196">
        <f t="shared" si="376"/>
        <v>14523.511262032736</v>
      </c>
      <c r="S149" s="197">
        <f t="shared" si="377"/>
        <v>1717.3558772860742</v>
      </c>
      <c r="T149" s="197">
        <f t="shared" si="378"/>
        <v>11816.004176184715</v>
      </c>
      <c r="U149" s="197">
        <f t="shared" si="379"/>
        <v>2707.5070858480217</v>
      </c>
      <c r="V149" s="199">
        <f t="shared" si="380"/>
        <v>4424.8629631340955</v>
      </c>
      <c r="Z149" s="900">
        <v>12</v>
      </c>
      <c r="AA149" s="911">
        <f>'Arable Inputs'!$H$18</f>
        <v>8.14</v>
      </c>
      <c r="AB149" s="760">
        <f>'Arable Inputs'!$H$25*$AC$134</f>
        <v>274.20000000000005</v>
      </c>
      <c r="AC149" s="762">
        <f t="shared" si="381"/>
        <v>2231.9880000000007</v>
      </c>
      <c r="AD149" s="197">
        <f>'Arable NPV'!$D128</f>
        <v>175.95</v>
      </c>
      <c r="AE149" s="197">
        <f t="shared" si="435"/>
        <v>2407.9380000000006</v>
      </c>
      <c r="AF149" s="197">
        <f>'Arable NPV'!$F128</f>
        <v>574.23049999999989</v>
      </c>
      <c r="AG149" s="197">
        <f>'Arable NPV'!$G128</f>
        <v>636.366536</v>
      </c>
      <c r="AH149" s="197">
        <f t="shared" si="436"/>
        <v>1210.5970359999999</v>
      </c>
      <c r="AI149" s="197">
        <f t="shared" si="382"/>
        <v>1021.3909640000008</v>
      </c>
      <c r="AJ149" s="197">
        <f t="shared" si="383"/>
        <v>1197.3409640000007</v>
      </c>
      <c r="AK149" s="196">
        <f t="shared" si="384"/>
        <v>1449.8568442780356</v>
      </c>
      <c r="AL149" s="197">
        <f t="shared" si="385"/>
        <v>114.29376490855698</v>
      </c>
      <c r="AM149" s="197">
        <f t="shared" si="386"/>
        <v>786.38075039261093</v>
      </c>
      <c r="AN149" s="197">
        <f t="shared" si="387"/>
        <v>663.4760938854248</v>
      </c>
      <c r="AO149" s="197">
        <f t="shared" si="388"/>
        <v>777.7698587939816</v>
      </c>
      <c r="AP149" s="196">
        <f t="shared" si="389"/>
        <v>21785.266893049109</v>
      </c>
      <c r="AQ149" s="197">
        <f t="shared" si="390"/>
        <v>1717.3558772860742</v>
      </c>
      <c r="AR149" s="197">
        <f t="shared" si="391"/>
        <v>11816.004176184715</v>
      </c>
      <c r="AS149" s="197">
        <f t="shared" si="392"/>
        <v>9969.2627168643958</v>
      </c>
      <c r="AT149" s="199">
        <f t="shared" si="393"/>
        <v>11686.618594150468</v>
      </c>
      <c r="AX149" s="900">
        <v>12</v>
      </c>
      <c r="AY149" s="911">
        <f>'Arable Inputs'!$H$18</f>
        <v>8.14</v>
      </c>
      <c r="AZ149" s="760">
        <f>'Arable Inputs'!$H$25*$BA$134</f>
        <v>91.4</v>
      </c>
      <c r="BA149" s="762">
        <f t="shared" si="394"/>
        <v>743.99600000000009</v>
      </c>
      <c r="BB149" s="197">
        <f>'Arable NPV'!$D128</f>
        <v>175.95</v>
      </c>
      <c r="BC149" s="197">
        <f t="shared" si="437"/>
        <v>919.94600000000014</v>
      </c>
      <c r="BD149" s="197">
        <f>'Arable NPV'!$F128</f>
        <v>574.23049999999989</v>
      </c>
      <c r="BE149" s="197">
        <f>'Arable NPV'!$G128</f>
        <v>636.366536</v>
      </c>
      <c r="BF149" s="197">
        <f t="shared" si="438"/>
        <v>1210.5970359999999</v>
      </c>
      <c r="BG149" s="197">
        <f t="shared" si="395"/>
        <v>-466.60103599999979</v>
      </c>
      <c r="BH149" s="197">
        <f t="shared" si="396"/>
        <v>-290.65103599999975</v>
      </c>
      <c r="BI149" s="196">
        <f t="shared" si="397"/>
        <v>483.28561475934509</v>
      </c>
      <c r="BJ149" s="197">
        <f t="shared" si="398"/>
        <v>114.29376490855698</v>
      </c>
      <c r="BK149" s="197">
        <f t="shared" si="399"/>
        <v>786.38075039261093</v>
      </c>
      <c r="BL149" s="197">
        <f t="shared" si="400"/>
        <v>-303.09513563326578</v>
      </c>
      <c r="BM149" s="197">
        <f t="shared" si="401"/>
        <v>-188.80137072470876</v>
      </c>
      <c r="BN149" s="196">
        <f t="shared" si="402"/>
        <v>7261.7556310163682</v>
      </c>
      <c r="BO149" s="197">
        <f t="shared" si="403"/>
        <v>1717.3558772860742</v>
      </c>
      <c r="BP149" s="197">
        <f t="shared" si="404"/>
        <v>11816.004176184715</v>
      </c>
      <c r="BQ149" s="197">
        <f t="shared" si="405"/>
        <v>-4554.2485451683469</v>
      </c>
      <c r="BR149" s="199">
        <f t="shared" si="406"/>
        <v>-2836.8926678822722</v>
      </c>
      <c r="BV149" s="900">
        <v>12</v>
      </c>
      <c r="BW149" s="911">
        <f>'Arable Inputs'!$H$18</f>
        <v>8.14</v>
      </c>
      <c r="BX149" s="760">
        <f>'Arable Inputs'!$H$25*$BY$134</f>
        <v>365.6</v>
      </c>
      <c r="BY149" s="762">
        <f t="shared" si="407"/>
        <v>2975.9840000000004</v>
      </c>
      <c r="BZ149" s="197">
        <f>'Arable NPV'!$D128</f>
        <v>175.95</v>
      </c>
      <c r="CA149" s="197">
        <f t="shared" si="439"/>
        <v>3151.9340000000002</v>
      </c>
      <c r="CB149" s="197">
        <f>'Arable NPV'!$F128</f>
        <v>574.23049999999989</v>
      </c>
      <c r="CC149" s="197">
        <f>'Arable NPV'!$G128</f>
        <v>636.366536</v>
      </c>
      <c r="CD149" s="197">
        <f t="shared" si="440"/>
        <v>1210.5970359999999</v>
      </c>
      <c r="CE149" s="197">
        <f t="shared" si="408"/>
        <v>1765.3869640000005</v>
      </c>
      <c r="CF149" s="197">
        <f t="shared" si="409"/>
        <v>1941.3369640000003</v>
      </c>
      <c r="CG149" s="196">
        <f t="shared" si="410"/>
        <v>1933.1424590373804</v>
      </c>
      <c r="CH149" s="197">
        <f t="shared" si="411"/>
        <v>114.29376490855698</v>
      </c>
      <c r="CI149" s="197">
        <f t="shared" si="412"/>
        <v>786.38075039261093</v>
      </c>
      <c r="CJ149" s="197">
        <f t="shared" si="413"/>
        <v>1146.7617086447697</v>
      </c>
      <c r="CK149" s="197">
        <f t="shared" si="414"/>
        <v>1261.0554735533265</v>
      </c>
      <c r="CL149" s="196">
        <f t="shared" si="415"/>
        <v>29047.022524065473</v>
      </c>
      <c r="CM149" s="197">
        <f t="shared" si="416"/>
        <v>1717.3558772860742</v>
      </c>
      <c r="CN149" s="197">
        <f t="shared" si="417"/>
        <v>11816.004176184715</v>
      </c>
      <c r="CO149" s="197">
        <f t="shared" si="418"/>
        <v>17231.018347880759</v>
      </c>
      <c r="CP149" s="199">
        <f t="shared" si="419"/>
        <v>18948.37422516683</v>
      </c>
      <c r="CT149" s="900">
        <v>12</v>
      </c>
      <c r="CU149" s="911">
        <f>'Arable Inputs'!$H$18</f>
        <v>8.14</v>
      </c>
      <c r="CV149" s="760">
        <f>'Arable Inputs'!$H$25*$CW$134</f>
        <v>0</v>
      </c>
      <c r="CW149" s="762">
        <f t="shared" si="420"/>
        <v>0</v>
      </c>
      <c r="CX149" s="197">
        <f>'Arable NPV'!$D128</f>
        <v>175.95</v>
      </c>
      <c r="CY149" s="197">
        <f t="shared" si="441"/>
        <v>175.95</v>
      </c>
      <c r="CZ149" s="197">
        <f>'Arable NPV'!$F128</f>
        <v>574.23049999999989</v>
      </c>
      <c r="DA149" s="197">
        <f>'Arable NPV'!$G128</f>
        <v>636.366536</v>
      </c>
      <c r="DB149" s="197">
        <f t="shared" si="442"/>
        <v>1210.5970359999999</v>
      </c>
      <c r="DC149" s="197">
        <f t="shared" si="421"/>
        <v>-1210.5970359999999</v>
      </c>
      <c r="DD149" s="197">
        <f t="shared" si="422"/>
        <v>-1034.6470359999998</v>
      </c>
      <c r="DE149" s="196">
        <f t="shared" si="423"/>
        <v>0</v>
      </c>
      <c r="DF149" s="197">
        <f t="shared" si="424"/>
        <v>114.29376490855698</v>
      </c>
      <c r="DG149" s="197">
        <f t="shared" si="425"/>
        <v>786.38075039261093</v>
      </c>
      <c r="DH149" s="197">
        <f t="shared" si="426"/>
        <v>-786.38075039261093</v>
      </c>
      <c r="DI149" s="197">
        <f t="shared" si="427"/>
        <v>-672.08698548405391</v>
      </c>
      <c r="DJ149" s="196">
        <f t="shared" si="428"/>
        <v>0</v>
      </c>
      <c r="DK149" s="197">
        <f t="shared" si="429"/>
        <v>1717.3558772860742</v>
      </c>
      <c r="DL149" s="197">
        <f t="shared" si="430"/>
        <v>11816.004176184715</v>
      </c>
      <c r="DM149" s="197">
        <f t="shared" si="431"/>
        <v>-11816.004176184715</v>
      </c>
      <c r="DN149" s="199">
        <f t="shared" si="432"/>
        <v>-10098.648298898643</v>
      </c>
    </row>
    <row r="150" spans="2:118" x14ac:dyDescent="0.3">
      <c r="B150" s="900">
        <v>13</v>
      </c>
      <c r="C150" s="911">
        <f>'Arable Inputs'!$H$18</f>
        <v>8.14</v>
      </c>
      <c r="D150" s="760">
        <f>'Arable Inputs'!$H$25*$E$134</f>
        <v>182.8</v>
      </c>
      <c r="E150" s="762">
        <f t="shared" si="368"/>
        <v>1487.9920000000002</v>
      </c>
      <c r="F150" s="197">
        <f>'Arable NPV'!$D129</f>
        <v>175.95</v>
      </c>
      <c r="G150" s="197">
        <f t="shared" si="433"/>
        <v>1663.9420000000002</v>
      </c>
      <c r="H150" s="197">
        <f>'Arable NPV'!$F129</f>
        <v>574.23049999999989</v>
      </c>
      <c r="I150" s="197">
        <f>'Arable NPV'!$G129</f>
        <v>636.366536</v>
      </c>
      <c r="J150" s="197">
        <f t="shared" si="434"/>
        <v>1210.5970359999999</v>
      </c>
      <c r="K150" s="197">
        <f t="shared" si="369"/>
        <v>277.3949640000003</v>
      </c>
      <c r="L150" s="197">
        <f t="shared" si="370"/>
        <v>453.34496400000035</v>
      </c>
      <c r="M150" s="196">
        <f t="shared" si="371"/>
        <v>929.39541299874043</v>
      </c>
      <c r="N150" s="197">
        <f t="shared" si="372"/>
        <v>109.89785087361246</v>
      </c>
      <c r="O150" s="197">
        <f t="shared" si="373"/>
        <v>756.13533691597183</v>
      </c>
      <c r="P150" s="197">
        <f t="shared" si="374"/>
        <v>173.26007608276856</v>
      </c>
      <c r="Q150" s="197">
        <f t="shared" si="375"/>
        <v>283.15792695638106</v>
      </c>
      <c r="R150" s="196">
        <f t="shared" si="376"/>
        <v>15452.906675031476</v>
      </c>
      <c r="S150" s="197">
        <f t="shared" si="377"/>
        <v>1827.2537281596867</v>
      </c>
      <c r="T150" s="197">
        <f t="shared" si="378"/>
        <v>12572.139513100687</v>
      </c>
      <c r="U150" s="197">
        <f t="shared" si="379"/>
        <v>2880.7671619307903</v>
      </c>
      <c r="V150" s="199">
        <f t="shared" si="380"/>
        <v>4708.0208900904763</v>
      </c>
      <c r="Z150" s="900">
        <v>13</v>
      </c>
      <c r="AA150" s="911">
        <f>'Arable Inputs'!$H$18</f>
        <v>8.14</v>
      </c>
      <c r="AB150" s="760">
        <f>'Arable Inputs'!$H$25*$AC$134</f>
        <v>274.20000000000005</v>
      </c>
      <c r="AC150" s="762">
        <f t="shared" si="381"/>
        <v>2231.9880000000007</v>
      </c>
      <c r="AD150" s="197">
        <f>'Arable NPV'!$D129</f>
        <v>175.95</v>
      </c>
      <c r="AE150" s="197">
        <f t="shared" si="435"/>
        <v>2407.9380000000006</v>
      </c>
      <c r="AF150" s="197">
        <f>'Arable NPV'!$F129</f>
        <v>574.23049999999989</v>
      </c>
      <c r="AG150" s="197">
        <f>'Arable NPV'!$G129</f>
        <v>636.366536</v>
      </c>
      <c r="AH150" s="197">
        <f t="shared" si="436"/>
        <v>1210.5970359999999</v>
      </c>
      <c r="AI150" s="197">
        <f t="shared" si="382"/>
        <v>1021.3909640000008</v>
      </c>
      <c r="AJ150" s="197">
        <f t="shared" si="383"/>
        <v>1197.3409640000007</v>
      </c>
      <c r="AK150" s="196">
        <f t="shared" si="384"/>
        <v>1394.0931194981108</v>
      </c>
      <c r="AL150" s="197">
        <f t="shared" si="385"/>
        <v>109.89785087361246</v>
      </c>
      <c r="AM150" s="197">
        <f t="shared" si="386"/>
        <v>756.13533691597183</v>
      </c>
      <c r="AN150" s="197">
        <f t="shared" si="387"/>
        <v>637.95778258213909</v>
      </c>
      <c r="AO150" s="197">
        <f t="shared" si="388"/>
        <v>747.85563345575144</v>
      </c>
      <c r="AP150" s="196">
        <f t="shared" si="389"/>
        <v>23179.360012547219</v>
      </c>
      <c r="AQ150" s="197">
        <f t="shared" si="390"/>
        <v>1827.2537281596867</v>
      </c>
      <c r="AR150" s="197">
        <f t="shared" si="391"/>
        <v>12572.139513100687</v>
      </c>
      <c r="AS150" s="197">
        <f t="shared" si="392"/>
        <v>10607.220499446536</v>
      </c>
      <c r="AT150" s="199">
        <f t="shared" si="393"/>
        <v>12434.474227606219</v>
      </c>
      <c r="AX150" s="900">
        <v>13</v>
      </c>
      <c r="AY150" s="911">
        <f>'Arable Inputs'!$H$18</f>
        <v>8.14</v>
      </c>
      <c r="AZ150" s="760">
        <f>'Arable Inputs'!$H$25*$BA$134</f>
        <v>91.4</v>
      </c>
      <c r="BA150" s="762">
        <f t="shared" si="394"/>
        <v>743.99600000000009</v>
      </c>
      <c r="BB150" s="197">
        <f>'Arable NPV'!$D129</f>
        <v>175.95</v>
      </c>
      <c r="BC150" s="197">
        <f t="shared" si="437"/>
        <v>919.94600000000014</v>
      </c>
      <c r="BD150" s="197">
        <f>'Arable NPV'!$F129</f>
        <v>574.23049999999989</v>
      </c>
      <c r="BE150" s="197">
        <f>'Arable NPV'!$G129</f>
        <v>636.366536</v>
      </c>
      <c r="BF150" s="197">
        <f t="shared" si="438"/>
        <v>1210.5970359999999</v>
      </c>
      <c r="BG150" s="197">
        <f t="shared" si="395"/>
        <v>-466.60103599999979</v>
      </c>
      <c r="BH150" s="197">
        <f t="shared" si="396"/>
        <v>-290.65103599999975</v>
      </c>
      <c r="BI150" s="196">
        <f t="shared" si="397"/>
        <v>464.69770649937021</v>
      </c>
      <c r="BJ150" s="197">
        <f t="shared" si="398"/>
        <v>109.89785087361246</v>
      </c>
      <c r="BK150" s="197">
        <f t="shared" si="399"/>
        <v>756.13533691597183</v>
      </c>
      <c r="BL150" s="197">
        <f t="shared" si="400"/>
        <v>-291.43763041660162</v>
      </c>
      <c r="BM150" s="197">
        <f t="shared" si="401"/>
        <v>-181.53977954298915</v>
      </c>
      <c r="BN150" s="196">
        <f t="shared" si="402"/>
        <v>7726.453337515738</v>
      </c>
      <c r="BO150" s="197">
        <f t="shared" si="403"/>
        <v>1827.2537281596867</v>
      </c>
      <c r="BP150" s="197">
        <f t="shared" si="404"/>
        <v>12572.139513100687</v>
      </c>
      <c r="BQ150" s="197">
        <f t="shared" si="405"/>
        <v>-4845.6861755849486</v>
      </c>
      <c r="BR150" s="199">
        <f t="shared" si="406"/>
        <v>-3018.4324474252612</v>
      </c>
      <c r="BV150" s="900">
        <v>13</v>
      </c>
      <c r="BW150" s="911">
        <f>'Arable Inputs'!$H$18</f>
        <v>8.14</v>
      </c>
      <c r="BX150" s="760">
        <f>'Arable Inputs'!$H$25*$BY$134</f>
        <v>365.6</v>
      </c>
      <c r="BY150" s="762">
        <f t="shared" si="407"/>
        <v>2975.9840000000004</v>
      </c>
      <c r="BZ150" s="197">
        <f>'Arable NPV'!$D129</f>
        <v>175.95</v>
      </c>
      <c r="CA150" s="197">
        <f t="shared" si="439"/>
        <v>3151.9340000000002</v>
      </c>
      <c r="CB150" s="197">
        <f>'Arable NPV'!$F129</f>
        <v>574.23049999999989</v>
      </c>
      <c r="CC150" s="197">
        <f>'Arable NPV'!$G129</f>
        <v>636.366536</v>
      </c>
      <c r="CD150" s="197">
        <f t="shared" si="440"/>
        <v>1210.5970359999999</v>
      </c>
      <c r="CE150" s="197">
        <f t="shared" si="408"/>
        <v>1765.3869640000005</v>
      </c>
      <c r="CF150" s="197">
        <f t="shared" si="409"/>
        <v>1941.3369640000003</v>
      </c>
      <c r="CG150" s="196">
        <f t="shared" si="410"/>
        <v>1858.7908259974809</v>
      </c>
      <c r="CH150" s="197">
        <f t="shared" si="411"/>
        <v>109.89785087361246</v>
      </c>
      <c r="CI150" s="197">
        <f t="shared" si="412"/>
        <v>756.13533691597183</v>
      </c>
      <c r="CJ150" s="197">
        <f t="shared" si="413"/>
        <v>1102.6554890815089</v>
      </c>
      <c r="CK150" s="197">
        <f t="shared" si="414"/>
        <v>1212.5533399551214</v>
      </c>
      <c r="CL150" s="196">
        <f t="shared" si="415"/>
        <v>30905.813350062952</v>
      </c>
      <c r="CM150" s="197">
        <f t="shared" si="416"/>
        <v>1827.2537281596867</v>
      </c>
      <c r="CN150" s="197">
        <f t="shared" si="417"/>
        <v>12572.139513100687</v>
      </c>
      <c r="CO150" s="197">
        <f t="shared" si="418"/>
        <v>18333.673836962269</v>
      </c>
      <c r="CP150" s="199">
        <f t="shared" si="419"/>
        <v>20160.92756512195</v>
      </c>
      <c r="CT150" s="900">
        <v>13</v>
      </c>
      <c r="CU150" s="911">
        <f>'Arable Inputs'!$H$18</f>
        <v>8.14</v>
      </c>
      <c r="CV150" s="760">
        <f>'Arable Inputs'!$H$25*$CW$134</f>
        <v>0</v>
      </c>
      <c r="CW150" s="762">
        <f t="shared" si="420"/>
        <v>0</v>
      </c>
      <c r="CX150" s="197">
        <f>'Arable NPV'!$D129</f>
        <v>175.95</v>
      </c>
      <c r="CY150" s="197">
        <f t="shared" si="441"/>
        <v>175.95</v>
      </c>
      <c r="CZ150" s="197">
        <f>'Arable NPV'!$F129</f>
        <v>574.23049999999989</v>
      </c>
      <c r="DA150" s="197">
        <f>'Arable NPV'!$G129</f>
        <v>636.366536</v>
      </c>
      <c r="DB150" s="197">
        <f t="shared" si="442"/>
        <v>1210.5970359999999</v>
      </c>
      <c r="DC150" s="197">
        <f t="shared" si="421"/>
        <v>-1210.5970359999999</v>
      </c>
      <c r="DD150" s="197">
        <f t="shared" si="422"/>
        <v>-1034.6470359999998</v>
      </c>
      <c r="DE150" s="196">
        <f t="shared" si="423"/>
        <v>0</v>
      </c>
      <c r="DF150" s="197">
        <f t="shared" si="424"/>
        <v>109.89785087361246</v>
      </c>
      <c r="DG150" s="197">
        <f t="shared" si="425"/>
        <v>756.13533691597183</v>
      </c>
      <c r="DH150" s="197">
        <f t="shared" si="426"/>
        <v>-756.13533691597183</v>
      </c>
      <c r="DI150" s="197">
        <f t="shared" si="427"/>
        <v>-646.23748604235936</v>
      </c>
      <c r="DJ150" s="196">
        <f t="shared" si="428"/>
        <v>0</v>
      </c>
      <c r="DK150" s="197">
        <f t="shared" si="429"/>
        <v>1827.2537281596867</v>
      </c>
      <c r="DL150" s="197">
        <f t="shared" si="430"/>
        <v>12572.139513100687</v>
      </c>
      <c r="DM150" s="197">
        <f t="shared" si="431"/>
        <v>-12572.139513100687</v>
      </c>
      <c r="DN150" s="199">
        <f t="shared" si="432"/>
        <v>-10744.885784941001</v>
      </c>
    </row>
    <row r="151" spans="2:118" x14ac:dyDescent="0.3">
      <c r="B151" s="900">
        <v>14</v>
      </c>
      <c r="C151" s="911">
        <f>'Arable Inputs'!$H$18</f>
        <v>8.14</v>
      </c>
      <c r="D151" s="760">
        <f>'Arable Inputs'!$H$25*$E$134</f>
        <v>182.8</v>
      </c>
      <c r="E151" s="762">
        <f t="shared" si="368"/>
        <v>1487.9920000000002</v>
      </c>
      <c r="F151" s="197">
        <f>'Arable NPV'!$D130</f>
        <v>175.95</v>
      </c>
      <c r="G151" s="197">
        <f t="shared" si="433"/>
        <v>1663.9420000000002</v>
      </c>
      <c r="H151" s="197">
        <f>'Arable NPV'!$F130</f>
        <v>574.23049999999989</v>
      </c>
      <c r="I151" s="197">
        <f>'Arable NPV'!$G130</f>
        <v>636.366536</v>
      </c>
      <c r="J151" s="197">
        <f t="shared" si="434"/>
        <v>1210.5970359999999</v>
      </c>
      <c r="K151" s="197">
        <f t="shared" si="369"/>
        <v>277.3949640000003</v>
      </c>
      <c r="L151" s="197">
        <f t="shared" si="370"/>
        <v>453.34496400000035</v>
      </c>
      <c r="M151" s="196">
        <f t="shared" si="371"/>
        <v>893.64943557571189</v>
      </c>
      <c r="N151" s="197">
        <f t="shared" si="372"/>
        <v>105.67101045539658</v>
      </c>
      <c r="O151" s="197">
        <f t="shared" si="373"/>
        <v>727.0532085730498</v>
      </c>
      <c r="P151" s="197">
        <f t="shared" si="374"/>
        <v>166.59622700266209</v>
      </c>
      <c r="Q151" s="197">
        <f t="shared" si="375"/>
        <v>272.26723745805873</v>
      </c>
      <c r="R151" s="196">
        <f t="shared" si="376"/>
        <v>16346.556110607187</v>
      </c>
      <c r="S151" s="197">
        <f t="shared" si="377"/>
        <v>1932.9247386150832</v>
      </c>
      <c r="T151" s="197">
        <f t="shared" si="378"/>
        <v>13299.192721673737</v>
      </c>
      <c r="U151" s="197">
        <f t="shared" si="379"/>
        <v>3047.3633889334524</v>
      </c>
      <c r="V151" s="199">
        <f t="shared" si="380"/>
        <v>4980.2881275485352</v>
      </c>
      <c r="Z151" s="900">
        <v>14</v>
      </c>
      <c r="AA151" s="911">
        <f>'Arable Inputs'!$H$18</f>
        <v>8.14</v>
      </c>
      <c r="AB151" s="760">
        <f>'Arable Inputs'!$H$25*$AC$134</f>
        <v>274.20000000000005</v>
      </c>
      <c r="AC151" s="762">
        <f t="shared" si="381"/>
        <v>2231.9880000000007</v>
      </c>
      <c r="AD151" s="197">
        <f>'Arable NPV'!$D130</f>
        <v>175.95</v>
      </c>
      <c r="AE151" s="197">
        <f t="shared" si="435"/>
        <v>2407.9380000000006</v>
      </c>
      <c r="AF151" s="197">
        <f>'Arable NPV'!$F130</f>
        <v>574.23049999999989</v>
      </c>
      <c r="AG151" s="197">
        <f>'Arable NPV'!$G130</f>
        <v>636.366536</v>
      </c>
      <c r="AH151" s="197">
        <f t="shared" si="436"/>
        <v>1210.5970359999999</v>
      </c>
      <c r="AI151" s="197">
        <f t="shared" si="382"/>
        <v>1021.3909640000008</v>
      </c>
      <c r="AJ151" s="197">
        <f t="shared" si="383"/>
        <v>1197.3409640000007</v>
      </c>
      <c r="AK151" s="196">
        <f t="shared" si="384"/>
        <v>1340.4741533635681</v>
      </c>
      <c r="AL151" s="197">
        <f t="shared" si="385"/>
        <v>105.67101045539658</v>
      </c>
      <c r="AM151" s="197">
        <f t="shared" si="386"/>
        <v>727.0532085730498</v>
      </c>
      <c r="AN151" s="197">
        <f t="shared" si="387"/>
        <v>613.42094479051832</v>
      </c>
      <c r="AO151" s="197">
        <f t="shared" si="388"/>
        <v>719.09195524591485</v>
      </c>
      <c r="AP151" s="196">
        <f t="shared" si="389"/>
        <v>24519.834165910786</v>
      </c>
      <c r="AQ151" s="197">
        <f t="shared" si="390"/>
        <v>1932.9247386150832</v>
      </c>
      <c r="AR151" s="197">
        <f t="shared" si="391"/>
        <v>13299.192721673737</v>
      </c>
      <c r="AS151" s="197">
        <f t="shared" si="392"/>
        <v>11220.641444237053</v>
      </c>
      <c r="AT151" s="199">
        <f t="shared" si="393"/>
        <v>13153.566182852133</v>
      </c>
      <c r="AX151" s="900">
        <v>14</v>
      </c>
      <c r="AY151" s="911">
        <f>'Arable Inputs'!$H$18</f>
        <v>8.14</v>
      </c>
      <c r="AZ151" s="760">
        <f>'Arable Inputs'!$H$25*$BA$134</f>
        <v>91.4</v>
      </c>
      <c r="BA151" s="762">
        <f t="shared" si="394"/>
        <v>743.99600000000009</v>
      </c>
      <c r="BB151" s="197">
        <f>'Arable NPV'!$D130</f>
        <v>175.95</v>
      </c>
      <c r="BC151" s="197">
        <f t="shared" si="437"/>
        <v>919.94600000000014</v>
      </c>
      <c r="BD151" s="197">
        <f>'Arable NPV'!$F130</f>
        <v>574.23049999999989</v>
      </c>
      <c r="BE151" s="197">
        <f>'Arable NPV'!$G130</f>
        <v>636.366536</v>
      </c>
      <c r="BF151" s="197">
        <f t="shared" si="438"/>
        <v>1210.5970359999999</v>
      </c>
      <c r="BG151" s="197">
        <f t="shared" si="395"/>
        <v>-466.60103599999979</v>
      </c>
      <c r="BH151" s="197">
        <f t="shared" si="396"/>
        <v>-290.65103599999975</v>
      </c>
      <c r="BI151" s="196">
        <f t="shared" si="397"/>
        <v>446.82471778785595</v>
      </c>
      <c r="BJ151" s="197">
        <f t="shared" si="398"/>
        <v>105.67101045539658</v>
      </c>
      <c r="BK151" s="197">
        <f t="shared" si="399"/>
        <v>727.0532085730498</v>
      </c>
      <c r="BL151" s="197">
        <f t="shared" si="400"/>
        <v>-280.22849078519386</v>
      </c>
      <c r="BM151" s="197">
        <f t="shared" si="401"/>
        <v>-174.55748032979724</v>
      </c>
      <c r="BN151" s="196">
        <f t="shared" si="402"/>
        <v>8173.2780553035936</v>
      </c>
      <c r="BO151" s="197">
        <f t="shared" si="403"/>
        <v>1932.9247386150832</v>
      </c>
      <c r="BP151" s="197">
        <f t="shared" si="404"/>
        <v>13299.192721673737</v>
      </c>
      <c r="BQ151" s="197">
        <f t="shared" si="405"/>
        <v>-5125.9146663701422</v>
      </c>
      <c r="BR151" s="199">
        <f t="shared" si="406"/>
        <v>-3192.9899277550585</v>
      </c>
      <c r="BV151" s="900">
        <v>14</v>
      </c>
      <c r="BW151" s="911">
        <f>'Arable Inputs'!$H$18</f>
        <v>8.14</v>
      </c>
      <c r="BX151" s="760">
        <f>'Arable Inputs'!$H$25*$BY$134</f>
        <v>365.6</v>
      </c>
      <c r="BY151" s="762">
        <f t="shared" si="407"/>
        <v>2975.9840000000004</v>
      </c>
      <c r="BZ151" s="197">
        <f>'Arable NPV'!$D130</f>
        <v>175.95</v>
      </c>
      <c r="CA151" s="197">
        <f t="shared" si="439"/>
        <v>3151.9340000000002</v>
      </c>
      <c r="CB151" s="197">
        <f>'Arable NPV'!$F130</f>
        <v>574.23049999999989</v>
      </c>
      <c r="CC151" s="197">
        <f>'Arable NPV'!$G130</f>
        <v>636.366536</v>
      </c>
      <c r="CD151" s="197">
        <f t="shared" si="440"/>
        <v>1210.5970359999999</v>
      </c>
      <c r="CE151" s="197">
        <f t="shared" si="408"/>
        <v>1765.3869640000005</v>
      </c>
      <c r="CF151" s="197">
        <f t="shared" si="409"/>
        <v>1941.3369640000003</v>
      </c>
      <c r="CG151" s="196">
        <f t="shared" si="410"/>
        <v>1787.2988711514238</v>
      </c>
      <c r="CH151" s="197">
        <f t="shared" si="411"/>
        <v>105.67101045539658</v>
      </c>
      <c r="CI151" s="197">
        <f t="shared" si="412"/>
        <v>727.0532085730498</v>
      </c>
      <c r="CJ151" s="197">
        <f t="shared" si="413"/>
        <v>1060.2456625783741</v>
      </c>
      <c r="CK151" s="197">
        <f t="shared" si="414"/>
        <v>1165.9166730337704</v>
      </c>
      <c r="CL151" s="196">
        <f t="shared" si="415"/>
        <v>32693.112221214375</v>
      </c>
      <c r="CM151" s="197">
        <f t="shared" si="416"/>
        <v>1932.9247386150832</v>
      </c>
      <c r="CN151" s="197">
        <f t="shared" si="417"/>
        <v>13299.192721673737</v>
      </c>
      <c r="CO151" s="197">
        <f t="shared" si="418"/>
        <v>19393.919499540643</v>
      </c>
      <c r="CP151" s="199">
        <f t="shared" si="419"/>
        <v>21326.844238155722</v>
      </c>
      <c r="CT151" s="900">
        <v>14</v>
      </c>
      <c r="CU151" s="911">
        <f>'Arable Inputs'!$H$18</f>
        <v>8.14</v>
      </c>
      <c r="CV151" s="760">
        <f>'Arable Inputs'!$H$25*$CW$134</f>
        <v>0</v>
      </c>
      <c r="CW151" s="762">
        <f t="shared" si="420"/>
        <v>0</v>
      </c>
      <c r="CX151" s="197">
        <f>'Arable NPV'!$D130</f>
        <v>175.95</v>
      </c>
      <c r="CY151" s="197">
        <f t="shared" si="441"/>
        <v>175.95</v>
      </c>
      <c r="CZ151" s="197">
        <f>'Arable NPV'!$F130</f>
        <v>574.23049999999989</v>
      </c>
      <c r="DA151" s="197">
        <f>'Arable NPV'!$G130</f>
        <v>636.366536</v>
      </c>
      <c r="DB151" s="197">
        <f t="shared" si="442"/>
        <v>1210.5970359999999</v>
      </c>
      <c r="DC151" s="197">
        <f t="shared" si="421"/>
        <v>-1210.5970359999999</v>
      </c>
      <c r="DD151" s="197">
        <f t="shared" si="422"/>
        <v>-1034.6470359999998</v>
      </c>
      <c r="DE151" s="196">
        <f t="shared" si="423"/>
        <v>0</v>
      </c>
      <c r="DF151" s="197">
        <f t="shared" si="424"/>
        <v>105.67101045539658</v>
      </c>
      <c r="DG151" s="197">
        <f t="shared" si="425"/>
        <v>727.0532085730498</v>
      </c>
      <c r="DH151" s="197">
        <f t="shared" si="426"/>
        <v>-727.0532085730498</v>
      </c>
      <c r="DI151" s="197">
        <f t="shared" si="427"/>
        <v>-621.38219811765316</v>
      </c>
      <c r="DJ151" s="196">
        <f t="shared" si="428"/>
        <v>0</v>
      </c>
      <c r="DK151" s="197">
        <f t="shared" si="429"/>
        <v>1932.9247386150832</v>
      </c>
      <c r="DL151" s="197">
        <f t="shared" si="430"/>
        <v>13299.192721673737</v>
      </c>
      <c r="DM151" s="197">
        <f t="shared" si="431"/>
        <v>-13299.192721673737</v>
      </c>
      <c r="DN151" s="199">
        <f t="shared" si="432"/>
        <v>-11366.267983058655</v>
      </c>
    </row>
    <row r="152" spans="2:118" x14ac:dyDescent="0.3">
      <c r="B152" s="900">
        <v>15</v>
      </c>
      <c r="C152" s="911">
        <f>'Arable Inputs'!$H$18</f>
        <v>8.14</v>
      </c>
      <c r="D152" s="760">
        <f>'Arable Inputs'!$H$25*$E$134</f>
        <v>182.8</v>
      </c>
      <c r="E152" s="762">
        <f t="shared" si="368"/>
        <v>1487.9920000000002</v>
      </c>
      <c r="F152" s="197">
        <f>'Arable NPV'!$D131</f>
        <v>175.95</v>
      </c>
      <c r="G152" s="197">
        <f t="shared" si="433"/>
        <v>1663.9420000000002</v>
      </c>
      <c r="H152" s="197">
        <f>'Arable NPV'!$F131</f>
        <v>574.23049999999989</v>
      </c>
      <c r="I152" s="197">
        <f>'Arable NPV'!$G131</f>
        <v>636.366536</v>
      </c>
      <c r="J152" s="197">
        <f t="shared" si="434"/>
        <v>1210.5970359999999</v>
      </c>
      <c r="K152" s="197">
        <f t="shared" si="369"/>
        <v>277.3949640000003</v>
      </c>
      <c r="L152" s="197">
        <f t="shared" si="370"/>
        <v>453.34496400000035</v>
      </c>
      <c r="M152" s="196">
        <f t="shared" si="371"/>
        <v>859.27830343818448</v>
      </c>
      <c r="N152" s="197">
        <f t="shared" si="372"/>
        <v>101.60674082249672</v>
      </c>
      <c r="O152" s="197">
        <f t="shared" si="373"/>
        <v>699.0896236279325</v>
      </c>
      <c r="P152" s="197">
        <f t="shared" si="374"/>
        <v>160.18867981025201</v>
      </c>
      <c r="Q152" s="197">
        <f t="shared" si="375"/>
        <v>261.79542063274874</v>
      </c>
      <c r="R152" s="196">
        <f t="shared" si="376"/>
        <v>17205.83441404537</v>
      </c>
      <c r="S152" s="197">
        <f t="shared" si="377"/>
        <v>2034.5314794375799</v>
      </c>
      <c r="T152" s="197">
        <f t="shared" si="378"/>
        <v>13998.28234530167</v>
      </c>
      <c r="U152" s="197">
        <f t="shared" si="379"/>
        <v>3207.5520687437042</v>
      </c>
      <c r="V152" s="199">
        <f t="shared" si="380"/>
        <v>5242.0835481812837</v>
      </c>
      <c r="Z152" s="900">
        <v>15</v>
      </c>
      <c r="AA152" s="911">
        <f>'Arable Inputs'!$H$18</f>
        <v>8.14</v>
      </c>
      <c r="AB152" s="760">
        <f>'Arable Inputs'!$H$25*$AC$134</f>
        <v>274.20000000000005</v>
      </c>
      <c r="AC152" s="762">
        <f t="shared" si="381"/>
        <v>2231.9880000000007</v>
      </c>
      <c r="AD152" s="197">
        <f>'Arable NPV'!$D131</f>
        <v>175.95</v>
      </c>
      <c r="AE152" s="197">
        <f t="shared" si="435"/>
        <v>2407.9380000000006</v>
      </c>
      <c r="AF152" s="197">
        <f>'Arable NPV'!$F131</f>
        <v>574.23049999999989</v>
      </c>
      <c r="AG152" s="197">
        <f>'Arable NPV'!$G131</f>
        <v>636.366536</v>
      </c>
      <c r="AH152" s="197">
        <f t="shared" si="436"/>
        <v>1210.5970359999999</v>
      </c>
      <c r="AI152" s="197">
        <f t="shared" si="382"/>
        <v>1021.3909640000008</v>
      </c>
      <c r="AJ152" s="197">
        <f t="shared" si="383"/>
        <v>1197.3409640000007</v>
      </c>
      <c r="AK152" s="196">
        <f t="shared" si="384"/>
        <v>1288.9174551572771</v>
      </c>
      <c r="AL152" s="197">
        <f t="shared" si="385"/>
        <v>101.60674082249672</v>
      </c>
      <c r="AM152" s="197">
        <f t="shared" si="386"/>
        <v>699.0896236279325</v>
      </c>
      <c r="AN152" s="197">
        <f t="shared" si="387"/>
        <v>589.82783152934451</v>
      </c>
      <c r="AO152" s="197">
        <f t="shared" si="388"/>
        <v>691.43457235184121</v>
      </c>
      <c r="AP152" s="196">
        <f t="shared" si="389"/>
        <v>25808.751621068062</v>
      </c>
      <c r="AQ152" s="197">
        <f t="shared" si="390"/>
        <v>2034.5314794375799</v>
      </c>
      <c r="AR152" s="197">
        <f t="shared" si="391"/>
        <v>13998.28234530167</v>
      </c>
      <c r="AS152" s="197">
        <f t="shared" si="392"/>
        <v>11810.469275766398</v>
      </c>
      <c r="AT152" s="199">
        <f t="shared" si="393"/>
        <v>13845.000755203975</v>
      </c>
      <c r="AX152" s="900">
        <v>15</v>
      </c>
      <c r="AY152" s="911">
        <f>'Arable Inputs'!$H$18</f>
        <v>8.14</v>
      </c>
      <c r="AZ152" s="760">
        <f>'Arable Inputs'!$H$25*$BA$134</f>
        <v>91.4</v>
      </c>
      <c r="BA152" s="762">
        <f t="shared" si="394"/>
        <v>743.99600000000009</v>
      </c>
      <c r="BB152" s="197">
        <f>'Arable NPV'!$D131</f>
        <v>175.95</v>
      </c>
      <c r="BC152" s="197">
        <f t="shared" si="437"/>
        <v>919.94600000000014</v>
      </c>
      <c r="BD152" s="197">
        <f>'Arable NPV'!$F131</f>
        <v>574.23049999999989</v>
      </c>
      <c r="BE152" s="197">
        <f>'Arable NPV'!$G131</f>
        <v>636.366536</v>
      </c>
      <c r="BF152" s="197">
        <f t="shared" si="438"/>
        <v>1210.5970359999999</v>
      </c>
      <c r="BG152" s="197">
        <f t="shared" si="395"/>
        <v>-466.60103599999979</v>
      </c>
      <c r="BH152" s="197">
        <f t="shared" si="396"/>
        <v>-290.65103599999975</v>
      </c>
      <c r="BI152" s="196">
        <f t="shared" si="397"/>
        <v>429.63915171909224</v>
      </c>
      <c r="BJ152" s="197">
        <f t="shared" si="398"/>
        <v>101.60674082249672</v>
      </c>
      <c r="BK152" s="197">
        <f t="shared" si="399"/>
        <v>699.0896236279325</v>
      </c>
      <c r="BL152" s="197">
        <f t="shared" si="400"/>
        <v>-269.45047190884026</v>
      </c>
      <c r="BM152" s="197">
        <f t="shared" si="401"/>
        <v>-167.8437310863435</v>
      </c>
      <c r="BN152" s="196">
        <f t="shared" si="402"/>
        <v>8602.917207022685</v>
      </c>
      <c r="BO152" s="197">
        <f t="shared" si="403"/>
        <v>2034.5314794375799</v>
      </c>
      <c r="BP152" s="197">
        <f t="shared" si="404"/>
        <v>13998.28234530167</v>
      </c>
      <c r="BQ152" s="197">
        <f t="shared" si="405"/>
        <v>-5395.3651382789822</v>
      </c>
      <c r="BR152" s="199">
        <f t="shared" si="406"/>
        <v>-3360.8336588414022</v>
      </c>
      <c r="BV152" s="900">
        <v>15</v>
      </c>
      <c r="BW152" s="911">
        <f>'Arable Inputs'!$H$18</f>
        <v>8.14</v>
      </c>
      <c r="BX152" s="760">
        <f>'Arable Inputs'!$H$25*$BY$134</f>
        <v>365.6</v>
      </c>
      <c r="BY152" s="762">
        <f t="shared" si="407"/>
        <v>2975.9840000000004</v>
      </c>
      <c r="BZ152" s="197">
        <f>'Arable NPV'!$D131</f>
        <v>175.95</v>
      </c>
      <c r="CA152" s="197">
        <f t="shared" si="439"/>
        <v>3151.9340000000002</v>
      </c>
      <c r="CB152" s="197">
        <f>'Arable NPV'!$F131</f>
        <v>574.23049999999989</v>
      </c>
      <c r="CC152" s="197">
        <f>'Arable NPV'!$G131</f>
        <v>636.366536</v>
      </c>
      <c r="CD152" s="197">
        <f t="shared" si="440"/>
        <v>1210.5970359999999</v>
      </c>
      <c r="CE152" s="197">
        <f t="shared" si="408"/>
        <v>1765.3869640000005</v>
      </c>
      <c r="CF152" s="197">
        <f t="shared" si="409"/>
        <v>1941.3369640000003</v>
      </c>
      <c r="CG152" s="196">
        <f t="shared" si="410"/>
        <v>1718.556606876369</v>
      </c>
      <c r="CH152" s="197">
        <f t="shared" si="411"/>
        <v>101.60674082249672</v>
      </c>
      <c r="CI152" s="197">
        <f t="shared" si="412"/>
        <v>699.0896236279325</v>
      </c>
      <c r="CJ152" s="197">
        <f t="shared" si="413"/>
        <v>1019.4669832484366</v>
      </c>
      <c r="CK152" s="197">
        <f t="shared" si="414"/>
        <v>1121.0737240709332</v>
      </c>
      <c r="CL152" s="196">
        <f t="shared" si="415"/>
        <v>34411.66882809074</v>
      </c>
      <c r="CM152" s="197">
        <f t="shared" si="416"/>
        <v>2034.5314794375799</v>
      </c>
      <c r="CN152" s="197">
        <f t="shared" si="417"/>
        <v>13998.28234530167</v>
      </c>
      <c r="CO152" s="197">
        <f t="shared" si="418"/>
        <v>20413.386482789079</v>
      </c>
      <c r="CP152" s="199">
        <f t="shared" si="419"/>
        <v>22447.917962226653</v>
      </c>
      <c r="CT152" s="900">
        <v>15</v>
      </c>
      <c r="CU152" s="911">
        <f>'Arable Inputs'!$H$18</f>
        <v>8.14</v>
      </c>
      <c r="CV152" s="760">
        <f>'Arable Inputs'!$H$25*$CW$134</f>
        <v>0</v>
      </c>
      <c r="CW152" s="762">
        <f t="shared" si="420"/>
        <v>0</v>
      </c>
      <c r="CX152" s="197">
        <f>'Arable NPV'!$D131</f>
        <v>175.95</v>
      </c>
      <c r="CY152" s="197">
        <f t="shared" si="441"/>
        <v>175.95</v>
      </c>
      <c r="CZ152" s="197">
        <f>'Arable NPV'!$F131</f>
        <v>574.23049999999989</v>
      </c>
      <c r="DA152" s="197">
        <f>'Arable NPV'!$G131</f>
        <v>636.366536</v>
      </c>
      <c r="DB152" s="197">
        <f t="shared" si="442"/>
        <v>1210.5970359999999</v>
      </c>
      <c r="DC152" s="197">
        <f t="shared" si="421"/>
        <v>-1210.5970359999999</v>
      </c>
      <c r="DD152" s="197">
        <f t="shared" si="422"/>
        <v>-1034.6470359999998</v>
      </c>
      <c r="DE152" s="196">
        <f t="shared" si="423"/>
        <v>0</v>
      </c>
      <c r="DF152" s="197">
        <f t="shared" si="424"/>
        <v>101.60674082249672</v>
      </c>
      <c r="DG152" s="197">
        <f t="shared" si="425"/>
        <v>699.0896236279325</v>
      </c>
      <c r="DH152" s="197">
        <f t="shared" si="426"/>
        <v>-699.0896236279325</v>
      </c>
      <c r="DI152" s="197">
        <f t="shared" si="427"/>
        <v>-597.48288280543579</v>
      </c>
      <c r="DJ152" s="196">
        <f t="shared" si="428"/>
        <v>0</v>
      </c>
      <c r="DK152" s="197">
        <f t="shared" si="429"/>
        <v>2034.5314794375799</v>
      </c>
      <c r="DL152" s="197">
        <f t="shared" si="430"/>
        <v>13998.28234530167</v>
      </c>
      <c r="DM152" s="197">
        <f t="shared" si="431"/>
        <v>-13998.28234530167</v>
      </c>
      <c r="DN152" s="199">
        <f t="shared" si="432"/>
        <v>-11963.750865864091</v>
      </c>
    </row>
    <row r="153" spans="2:118" x14ac:dyDescent="0.3">
      <c r="B153" s="901">
        <v>16</v>
      </c>
      <c r="C153" s="912">
        <f>'Arable Inputs'!$H$18</f>
        <v>8.14</v>
      </c>
      <c r="D153" s="761">
        <f>'Arable Inputs'!$H$25*$E$134</f>
        <v>182.8</v>
      </c>
      <c r="E153" s="207">
        <f t="shared" si="368"/>
        <v>1487.9920000000002</v>
      </c>
      <c r="F153" s="207">
        <f>'Arable NPV'!$D132</f>
        <v>175.95</v>
      </c>
      <c r="G153" s="207">
        <f>E153+F153</f>
        <v>1663.9420000000002</v>
      </c>
      <c r="H153" s="207">
        <f>'Arable NPV'!$F132</f>
        <v>574.23049999999989</v>
      </c>
      <c r="I153" s="207">
        <f>'Arable NPV'!$G132</f>
        <v>636.366536</v>
      </c>
      <c r="J153" s="207">
        <f t="shared" si="434"/>
        <v>1210.5970359999999</v>
      </c>
      <c r="K153" s="207">
        <f t="shared" si="369"/>
        <v>277.3949640000003</v>
      </c>
      <c r="L153" s="207">
        <f t="shared" si="370"/>
        <v>453.34496400000035</v>
      </c>
      <c r="M153" s="208">
        <f t="shared" si="371"/>
        <v>826.22913792133136</v>
      </c>
      <c r="N153" s="207">
        <f t="shared" si="372"/>
        <v>97.698789252400701</v>
      </c>
      <c r="O153" s="207">
        <f>J153/(1+$B$4)^(B153-1)</f>
        <v>672.2015611807044</v>
      </c>
      <c r="P153" s="207">
        <f>K153/(1+$B$4)^(B153-1)</f>
        <v>154.02757674062693</v>
      </c>
      <c r="Q153" s="209">
        <f>L153/(1+$B$4)^(B153-1)</f>
        <v>251.72636599302766</v>
      </c>
      <c r="R153" s="208">
        <f t="shared" si="376"/>
        <v>18032.063551966701</v>
      </c>
      <c r="S153" s="207">
        <f t="shared" si="377"/>
        <v>2132.2302686899807</v>
      </c>
      <c r="T153" s="207">
        <f t="shared" si="378"/>
        <v>14670.483906482374</v>
      </c>
      <c r="U153" s="207">
        <f t="shared" si="379"/>
        <v>3361.5796454843312</v>
      </c>
      <c r="V153" s="209">
        <f t="shared" si="380"/>
        <v>5493.8099141743114</v>
      </c>
      <c r="Z153" s="901">
        <v>16</v>
      </c>
      <c r="AA153" s="912">
        <f>'Arable Inputs'!$H$18</f>
        <v>8.14</v>
      </c>
      <c r="AB153" s="761">
        <f>'Arable Inputs'!$H$25*$AC$134</f>
        <v>274.20000000000005</v>
      </c>
      <c r="AC153" s="207">
        <f t="shared" si="381"/>
        <v>2231.9880000000007</v>
      </c>
      <c r="AD153" s="207">
        <f>'Arable NPV'!$D132</f>
        <v>175.95</v>
      </c>
      <c r="AE153" s="207">
        <f>AC153+AD153</f>
        <v>2407.9380000000006</v>
      </c>
      <c r="AF153" s="207">
        <f>'Arable NPV'!$F132</f>
        <v>574.23049999999989</v>
      </c>
      <c r="AG153" s="207">
        <f>'Arable NPV'!$G132</f>
        <v>636.366536</v>
      </c>
      <c r="AH153" s="207">
        <f t="shared" si="436"/>
        <v>1210.5970359999999</v>
      </c>
      <c r="AI153" s="207">
        <f t="shared" si="382"/>
        <v>1021.3909640000008</v>
      </c>
      <c r="AJ153" s="207">
        <f t="shared" si="383"/>
        <v>1197.3409640000007</v>
      </c>
      <c r="AK153" s="208">
        <f t="shared" si="384"/>
        <v>1239.3437068819972</v>
      </c>
      <c r="AL153" s="207">
        <f t="shared" si="385"/>
        <v>97.698789252400701</v>
      </c>
      <c r="AM153" s="207">
        <f>AH153/(1+$B$4)^(Z153-1)</f>
        <v>672.2015611807044</v>
      </c>
      <c r="AN153" s="207">
        <f>AI153/(1+$B$4)^(Z153-1)</f>
        <v>567.14214570129286</v>
      </c>
      <c r="AO153" s="209">
        <f>AJ153/(1+$B$4)^(Z153-1)</f>
        <v>664.84093495369348</v>
      </c>
      <c r="AP153" s="208">
        <f t="shared" si="389"/>
        <v>27048.095327950061</v>
      </c>
      <c r="AQ153" s="207">
        <f t="shared" si="390"/>
        <v>2132.2302686899807</v>
      </c>
      <c r="AR153" s="207">
        <f t="shared" si="391"/>
        <v>14670.483906482374</v>
      </c>
      <c r="AS153" s="207">
        <f t="shared" si="392"/>
        <v>12377.611421467691</v>
      </c>
      <c r="AT153" s="209">
        <f t="shared" si="393"/>
        <v>14509.841690157669</v>
      </c>
      <c r="AX153" s="901">
        <v>16</v>
      </c>
      <c r="AY153" s="912">
        <f>'Arable Inputs'!$H$18</f>
        <v>8.14</v>
      </c>
      <c r="AZ153" s="761">
        <f>'Arable Inputs'!$H$25*$BA$134</f>
        <v>91.4</v>
      </c>
      <c r="BA153" s="207">
        <f t="shared" si="394"/>
        <v>743.99600000000009</v>
      </c>
      <c r="BB153" s="207">
        <f>'Arable NPV'!$D132</f>
        <v>175.95</v>
      </c>
      <c r="BC153" s="207">
        <f>BA153+BB153</f>
        <v>919.94600000000014</v>
      </c>
      <c r="BD153" s="207">
        <f>'Arable NPV'!$F132</f>
        <v>574.23049999999989</v>
      </c>
      <c r="BE153" s="207">
        <f>'Arable NPV'!$G132</f>
        <v>636.366536</v>
      </c>
      <c r="BF153" s="207">
        <f t="shared" si="438"/>
        <v>1210.5970359999999</v>
      </c>
      <c r="BG153" s="207">
        <f t="shared" si="395"/>
        <v>-466.60103599999979</v>
      </c>
      <c r="BH153" s="207">
        <f t="shared" si="396"/>
        <v>-290.65103599999975</v>
      </c>
      <c r="BI153" s="208">
        <f t="shared" si="397"/>
        <v>413.11456896066568</v>
      </c>
      <c r="BJ153" s="207">
        <f t="shared" si="398"/>
        <v>97.698789252400701</v>
      </c>
      <c r="BK153" s="207">
        <f>BF153/(1+$B$4)^(AX153-1)</f>
        <v>672.2015611807044</v>
      </c>
      <c r="BL153" s="207">
        <f>BG153/(1+$B$4)^(AX153-1)</f>
        <v>-259.08699222003872</v>
      </c>
      <c r="BM153" s="209">
        <f>BH153/(1+$B$4)^(AX153-1)</f>
        <v>-161.38820296763799</v>
      </c>
      <c r="BN153" s="208">
        <f t="shared" si="402"/>
        <v>9016.0317759833506</v>
      </c>
      <c r="BO153" s="207">
        <f t="shared" si="403"/>
        <v>2132.2302686899807</v>
      </c>
      <c r="BP153" s="207">
        <f t="shared" si="404"/>
        <v>14670.483906482374</v>
      </c>
      <c r="BQ153" s="207">
        <f t="shared" si="405"/>
        <v>-5654.4521304990212</v>
      </c>
      <c r="BR153" s="209">
        <f t="shared" si="406"/>
        <v>-3522.2218618090401</v>
      </c>
      <c r="BV153" s="901">
        <v>16</v>
      </c>
      <c r="BW153" s="912">
        <f>'Arable Inputs'!$H$18</f>
        <v>8.14</v>
      </c>
      <c r="BX153" s="761">
        <f>'Arable Inputs'!$H$25*$BY$134</f>
        <v>365.6</v>
      </c>
      <c r="BY153" s="207">
        <f t="shared" si="407"/>
        <v>2975.9840000000004</v>
      </c>
      <c r="BZ153" s="207">
        <f>'Arable NPV'!$D132</f>
        <v>175.95</v>
      </c>
      <c r="CA153" s="207">
        <f>BY153+BZ153</f>
        <v>3151.9340000000002</v>
      </c>
      <c r="CB153" s="207">
        <f>'Arable NPV'!$F132</f>
        <v>574.23049999999989</v>
      </c>
      <c r="CC153" s="207">
        <f>'Arable NPV'!$G132</f>
        <v>636.366536</v>
      </c>
      <c r="CD153" s="207">
        <f t="shared" si="440"/>
        <v>1210.5970359999999</v>
      </c>
      <c r="CE153" s="207">
        <f t="shared" si="408"/>
        <v>1765.3869640000005</v>
      </c>
      <c r="CF153" s="207">
        <f t="shared" si="409"/>
        <v>1941.3369640000003</v>
      </c>
      <c r="CG153" s="208">
        <f t="shared" si="410"/>
        <v>1652.4582758426627</v>
      </c>
      <c r="CH153" s="207">
        <f t="shared" si="411"/>
        <v>97.698789252400701</v>
      </c>
      <c r="CI153" s="207">
        <f>CD153/(1+$B$4)^(BV153-1)</f>
        <v>672.2015611807044</v>
      </c>
      <c r="CJ153" s="207">
        <f>CE153/(1+$B$4)^(BV153-1)</f>
        <v>980.2567146619582</v>
      </c>
      <c r="CK153" s="209">
        <f>CF153/(1+$B$4)^(BV153-1)</f>
        <v>1077.9555039143588</v>
      </c>
      <c r="CL153" s="208">
        <f t="shared" si="415"/>
        <v>36064.127103933402</v>
      </c>
      <c r="CM153" s="207">
        <f t="shared" si="416"/>
        <v>2132.2302686899807</v>
      </c>
      <c r="CN153" s="207">
        <f t="shared" si="417"/>
        <v>14670.483906482374</v>
      </c>
      <c r="CO153" s="207">
        <f t="shared" si="418"/>
        <v>21393.643197451038</v>
      </c>
      <c r="CP153" s="209">
        <f t="shared" si="419"/>
        <v>23525.873466141013</v>
      </c>
      <c r="CT153" s="901">
        <v>16</v>
      </c>
      <c r="CU153" s="912">
        <f>'Arable Inputs'!$H$18</f>
        <v>8.14</v>
      </c>
      <c r="CV153" s="761">
        <f>'Arable Inputs'!$H$25*$CW$134</f>
        <v>0</v>
      </c>
      <c r="CW153" s="207">
        <f t="shared" si="420"/>
        <v>0</v>
      </c>
      <c r="CX153" s="207">
        <f>'Arable NPV'!$D132</f>
        <v>175.95</v>
      </c>
      <c r="CY153" s="207">
        <f>CW153+CX153</f>
        <v>175.95</v>
      </c>
      <c r="CZ153" s="207">
        <f>'Arable NPV'!$F132</f>
        <v>574.23049999999989</v>
      </c>
      <c r="DA153" s="207">
        <f>'Arable NPV'!$G132</f>
        <v>636.366536</v>
      </c>
      <c r="DB153" s="207">
        <f t="shared" si="442"/>
        <v>1210.5970359999999</v>
      </c>
      <c r="DC153" s="207">
        <f t="shared" si="421"/>
        <v>-1210.5970359999999</v>
      </c>
      <c r="DD153" s="207">
        <f t="shared" si="422"/>
        <v>-1034.6470359999998</v>
      </c>
      <c r="DE153" s="208">
        <f>CW153/(1+$B$4)^(CT153-1)</f>
        <v>0</v>
      </c>
      <c r="DF153" s="207">
        <f>CX153/(1+$B$4)^(CT153-1)</f>
        <v>97.698789252400701</v>
      </c>
      <c r="DG153" s="207">
        <f>DB153/(1+$B$4)^(CT153-1)</f>
        <v>672.2015611807044</v>
      </c>
      <c r="DH153" s="207">
        <f>DC153/(1+$B$4)^(CT153-1)</f>
        <v>-672.2015611807044</v>
      </c>
      <c r="DI153" s="209">
        <f>DD153/(1+$B$4)^(CT153-1)</f>
        <v>-574.50277192830367</v>
      </c>
      <c r="DJ153" s="208">
        <f t="shared" si="428"/>
        <v>0</v>
      </c>
      <c r="DK153" s="207">
        <f t="shared" si="429"/>
        <v>2132.2302686899807</v>
      </c>
      <c r="DL153" s="207">
        <f t="shared" si="430"/>
        <v>14670.483906482374</v>
      </c>
      <c r="DM153" s="207">
        <f t="shared" si="431"/>
        <v>-14670.483906482374</v>
      </c>
      <c r="DN153" s="209">
        <f t="shared" si="432"/>
        <v>-12538.253637792395</v>
      </c>
    </row>
    <row r="159" spans="2:118" x14ac:dyDescent="0.3">
      <c r="B159" s="273" t="s">
        <v>335</v>
      </c>
      <c r="C159" s="274"/>
      <c r="D159" s="88"/>
      <c r="E159" s="88"/>
      <c r="F159" s="88"/>
      <c r="G159" s="275"/>
      <c r="H159" s="276" t="s">
        <v>319</v>
      </c>
      <c r="I159" s="277" t="s">
        <v>320</v>
      </c>
      <c r="J159" s="277" t="s">
        <v>321</v>
      </c>
      <c r="K159" s="277" t="s">
        <v>322</v>
      </c>
      <c r="L159" s="277" t="s">
        <v>323</v>
      </c>
      <c r="M159" s="276" t="s">
        <v>635</v>
      </c>
      <c r="N159" s="277" t="s">
        <v>636</v>
      </c>
      <c r="O159" s="277" t="s">
        <v>637</v>
      </c>
      <c r="P159" s="277" t="s">
        <v>638</v>
      </c>
      <c r="Q159" s="277" t="s">
        <v>639</v>
      </c>
      <c r="R159" s="276" t="s">
        <v>399</v>
      </c>
      <c r="S159" s="277" t="s">
        <v>400</v>
      </c>
      <c r="T159" s="277" t="s">
        <v>401</v>
      </c>
      <c r="U159" s="277" t="s">
        <v>402</v>
      </c>
      <c r="V159" s="277" t="s">
        <v>403</v>
      </c>
      <c r="W159" s="276" t="s">
        <v>430</v>
      </c>
      <c r="X159" s="277" t="s">
        <v>431</v>
      </c>
      <c r="Y159" s="277" t="s">
        <v>432</v>
      </c>
      <c r="Z159" s="277" t="s">
        <v>433</v>
      </c>
      <c r="AA159" s="277" t="s">
        <v>434</v>
      </c>
      <c r="AB159" s="276" t="s">
        <v>435</v>
      </c>
      <c r="AC159" s="277" t="s">
        <v>436</v>
      </c>
      <c r="AD159" s="277" t="s">
        <v>437</v>
      </c>
      <c r="AE159" s="277" t="s">
        <v>438</v>
      </c>
      <c r="AF159" s="277" t="s">
        <v>439</v>
      </c>
      <c r="AG159" s="276" t="s">
        <v>555</v>
      </c>
      <c r="AH159" s="277" t="s">
        <v>556</v>
      </c>
      <c r="AI159" s="277" t="s">
        <v>557</v>
      </c>
      <c r="AJ159" s="277" t="s">
        <v>558</v>
      </c>
      <c r="AK159" s="277" t="s">
        <v>559</v>
      </c>
    </row>
    <row r="160" spans="2:118" x14ac:dyDescent="0.3">
      <c r="B160" s="278" t="s">
        <v>307</v>
      </c>
      <c r="C160" s="24"/>
      <c r="D160" s="279"/>
      <c r="E160" s="279"/>
      <c r="F160" s="279"/>
      <c r="G160" s="280" t="s">
        <v>599</v>
      </c>
      <c r="H160" s="764">
        <f>S27</f>
        <v>9169.376562936568</v>
      </c>
      <c r="I160" s="764">
        <f>AQ27</f>
        <v>13754.064844404853</v>
      </c>
      <c r="J160" s="764">
        <f>BO27</f>
        <v>4584.688281468284</v>
      </c>
      <c r="K160" s="764">
        <f>CM27</f>
        <v>18338.753125873136</v>
      </c>
      <c r="L160" s="764">
        <f>DK27</f>
        <v>0</v>
      </c>
      <c r="M160" s="764">
        <f>S53</f>
        <v>12464.990332449857</v>
      </c>
      <c r="N160" s="764">
        <f>AQ53</f>
        <v>18697.485498674778</v>
      </c>
      <c r="O160" s="107">
        <f>BO53</f>
        <v>6232.4951662249287</v>
      </c>
      <c r="P160" s="107">
        <f>CM53</f>
        <v>24929.980664899715</v>
      </c>
      <c r="Q160" s="107">
        <f>DK53</f>
        <v>0</v>
      </c>
      <c r="R160" s="764">
        <f>U$78</f>
        <v>17377.889788211447</v>
      </c>
      <c r="S160" s="764">
        <f>AU78</f>
        <v>26066.834682317167</v>
      </c>
      <c r="T160" s="107">
        <f>BU$78</f>
        <v>8688.9448941057235</v>
      </c>
      <c r="U160" s="107">
        <f>CU$78</f>
        <v>34755.779576422894</v>
      </c>
      <c r="V160" s="107">
        <f>DU$78</f>
        <v>0</v>
      </c>
      <c r="W160" s="764">
        <f>S$103</f>
        <v>7693.3998121101795</v>
      </c>
      <c r="X160" s="764">
        <f>AQ$103</f>
        <v>11540.099718165267</v>
      </c>
      <c r="Y160" s="107">
        <f>BO$103</f>
        <v>3846.6999060550897</v>
      </c>
      <c r="Z160" s="107">
        <f>CM$103</f>
        <v>15386.799624220359</v>
      </c>
      <c r="AA160" s="107">
        <f>DK$103</f>
        <v>0</v>
      </c>
      <c r="AB160" s="764">
        <f>S$128</f>
        <v>9389.4885796671915</v>
      </c>
      <c r="AC160" s="764">
        <f>AQ$128</f>
        <v>14084.232869500789</v>
      </c>
      <c r="AD160" s="107">
        <f>BO$128</f>
        <v>4694.7442898335958</v>
      </c>
      <c r="AE160" s="107">
        <f>CM$128</f>
        <v>18778.977159334383</v>
      </c>
      <c r="AF160" s="107">
        <f>DK$128</f>
        <v>0</v>
      </c>
      <c r="AG160" s="767">
        <f>R153</f>
        <v>18032.063551966701</v>
      </c>
      <c r="AH160" s="767">
        <f>AP153</f>
        <v>27048.095327950061</v>
      </c>
      <c r="AI160" s="767">
        <f>BN153</f>
        <v>9016.0317759833506</v>
      </c>
      <c r="AJ160" s="767">
        <f>CL153</f>
        <v>36064.127103933402</v>
      </c>
      <c r="AK160" s="767">
        <f>DJ153</f>
        <v>0</v>
      </c>
    </row>
    <row r="161" spans="2:37" x14ac:dyDescent="0.3">
      <c r="B161" s="282" t="s">
        <v>683</v>
      </c>
      <c r="C161" s="24"/>
      <c r="D161" s="279"/>
      <c r="E161" s="279"/>
      <c r="F161" s="279"/>
      <c r="G161" s="283" t="s">
        <v>599</v>
      </c>
      <c r="H161" s="764">
        <f>T27</f>
        <v>2132.2302686899807</v>
      </c>
      <c r="I161" s="764">
        <f>AR27</f>
        <v>2132.2302686899807</v>
      </c>
      <c r="J161" s="764">
        <f>BP27</f>
        <v>2132.2302686899807</v>
      </c>
      <c r="K161" s="764">
        <f>CN27</f>
        <v>2132.2302686899807</v>
      </c>
      <c r="L161" s="764">
        <f>DL27</f>
        <v>2132.2302686899807</v>
      </c>
      <c r="M161" s="764">
        <f>T53</f>
        <v>2132.2302686899807</v>
      </c>
      <c r="N161" s="764">
        <f>AR53</f>
        <v>2132.2302686899807</v>
      </c>
      <c r="O161" s="108">
        <f>BP53</f>
        <v>2132.2302686899807</v>
      </c>
      <c r="P161" s="108">
        <f>CN53</f>
        <v>2132.2302686899807</v>
      </c>
      <c r="Q161" s="108">
        <f>DL53</f>
        <v>2132.2302686899807</v>
      </c>
      <c r="R161" s="764">
        <f>V$78</f>
        <v>2132.2302686899807</v>
      </c>
      <c r="S161" s="764">
        <f>AV$78</f>
        <v>2132.2302686899807</v>
      </c>
      <c r="T161" s="108">
        <f>BV$78</f>
        <v>2132.2302686899807</v>
      </c>
      <c r="U161" s="108">
        <f>CV$78</f>
        <v>2132.2302686899807</v>
      </c>
      <c r="V161" s="108">
        <f>DV$78</f>
        <v>2132.2302686899807</v>
      </c>
      <c r="W161" s="764">
        <f>T$103</f>
        <v>2132.2302686899807</v>
      </c>
      <c r="X161" s="764">
        <f>AR$103</f>
        <v>2132.2302686899807</v>
      </c>
      <c r="Y161" s="108">
        <f>BP$103</f>
        <v>2132.2302686899807</v>
      </c>
      <c r="Z161" s="108">
        <f>CN$103</f>
        <v>2132.2302686899807</v>
      </c>
      <c r="AA161" s="108">
        <f>DL$103</f>
        <v>2132.2302686899807</v>
      </c>
      <c r="AB161" s="764">
        <f>T$128</f>
        <v>2132.2302686899807</v>
      </c>
      <c r="AC161" s="764">
        <f>AR$128</f>
        <v>2132.2302686899807</v>
      </c>
      <c r="AD161" s="108">
        <f>BP$128</f>
        <v>2132.2302686899807</v>
      </c>
      <c r="AE161" s="108">
        <f>CN$128</f>
        <v>2132.2302686899807</v>
      </c>
      <c r="AF161" s="108">
        <f>DL$128</f>
        <v>2132.2302686899807</v>
      </c>
      <c r="AG161" s="914">
        <f>S153</f>
        <v>2132.2302686899807</v>
      </c>
      <c r="AH161" s="914">
        <f>AQ153</f>
        <v>2132.2302686899807</v>
      </c>
      <c r="AI161" s="914">
        <f>BO153</f>
        <v>2132.2302686899807</v>
      </c>
      <c r="AJ161" s="914">
        <f>CM153</f>
        <v>2132.2302686899807</v>
      </c>
      <c r="AK161" s="914">
        <f>DK153</f>
        <v>2132.2302686899807</v>
      </c>
    </row>
    <row r="162" spans="2:37" x14ac:dyDescent="0.3">
      <c r="B162" s="284" t="s">
        <v>306</v>
      </c>
      <c r="C162" s="165"/>
      <c r="D162" s="279"/>
      <c r="E162" s="279"/>
      <c r="F162" s="279"/>
      <c r="G162" s="285" t="s">
        <v>599</v>
      </c>
      <c r="H162" s="764">
        <f>U27</f>
        <v>9679.4094715981228</v>
      </c>
      <c r="I162" s="764">
        <f>AS27</f>
        <v>9679.4094715981228</v>
      </c>
      <c r="J162" s="764">
        <f>BQ27</f>
        <v>9679.4094715981228</v>
      </c>
      <c r="K162" s="764">
        <f>CO27</f>
        <v>9679.4094715981228</v>
      </c>
      <c r="L162" s="764">
        <f>DM27</f>
        <v>9679.4094715981228</v>
      </c>
      <c r="M162" s="764">
        <f>U53</f>
        <v>7224.3101296559144</v>
      </c>
      <c r="N162" s="764">
        <f>AS53</f>
        <v>7224.3101296559144</v>
      </c>
      <c r="O162" s="294">
        <f>BQ53</f>
        <v>7224.3101296559144</v>
      </c>
      <c r="P162" s="294">
        <f>CO53</f>
        <v>7224.3101296559144</v>
      </c>
      <c r="Q162" s="294">
        <f>DM53</f>
        <v>7224.3101296559144</v>
      </c>
      <c r="R162" s="764">
        <f>W$78</f>
        <v>18018.546784997099</v>
      </c>
      <c r="S162" s="764">
        <f>AW$78</f>
        <v>18018.546784997099</v>
      </c>
      <c r="T162" s="108">
        <f>BW$78</f>
        <v>18018.546784997099</v>
      </c>
      <c r="U162" s="108">
        <f>CW$78</f>
        <v>18018.546784997099</v>
      </c>
      <c r="V162" s="108">
        <f>DW$78</f>
        <v>18018.546784997099</v>
      </c>
      <c r="W162" s="764">
        <f>U$103</f>
        <v>5505.1137655646044</v>
      </c>
      <c r="X162" s="764">
        <f>AS$103</f>
        <v>5505.1137655646044</v>
      </c>
      <c r="Y162" s="294">
        <f>BQ$103</f>
        <v>5505.1137655646044</v>
      </c>
      <c r="Z162" s="294">
        <f>CO$103</f>
        <v>5505.1137655646044</v>
      </c>
      <c r="AA162" s="294">
        <f>DM$103</f>
        <v>5505.1137655646044</v>
      </c>
      <c r="AB162" s="764">
        <f>U$128</f>
        <v>6918.0694827921807</v>
      </c>
      <c r="AC162" s="764">
        <f>AS$128</f>
        <v>6918.0694827921807</v>
      </c>
      <c r="AD162" s="294">
        <f>BQ$128</f>
        <v>6918.0694827921807</v>
      </c>
      <c r="AE162" s="294">
        <f>CO$128</f>
        <v>6918.0694827921807</v>
      </c>
      <c r="AF162" s="294">
        <f>DM$128</f>
        <v>6918.0694827921807</v>
      </c>
      <c r="AG162" s="768">
        <f>T153</f>
        <v>14670.483906482374</v>
      </c>
      <c r="AH162" s="768">
        <f>AR153</f>
        <v>14670.483906482374</v>
      </c>
      <c r="AI162" s="768">
        <f>BP153</f>
        <v>14670.483906482374</v>
      </c>
      <c r="AJ162" s="768">
        <f>CN153</f>
        <v>14670.483906482374</v>
      </c>
      <c r="AK162" s="768">
        <f>DL153</f>
        <v>14670.483906482374</v>
      </c>
    </row>
    <row r="163" spans="2:37" x14ac:dyDescent="0.3">
      <c r="B163" s="278" t="s">
        <v>684</v>
      </c>
      <c r="C163" s="24"/>
      <c r="D163" s="286"/>
      <c r="E163" s="286"/>
      <c r="F163" s="286"/>
      <c r="G163" s="280" t="s">
        <v>599</v>
      </c>
      <c r="H163" s="765">
        <f>H160-H162</f>
        <v>-510.03290866155476</v>
      </c>
      <c r="I163" s="765">
        <f t="shared" ref="I163:V163" si="443">I160-I162</f>
        <v>4074.6553728067302</v>
      </c>
      <c r="J163" s="765">
        <f t="shared" si="443"/>
        <v>-5094.7211901298388</v>
      </c>
      <c r="K163" s="765">
        <f t="shared" si="443"/>
        <v>8659.3436542750133</v>
      </c>
      <c r="L163" s="765">
        <f t="shared" si="443"/>
        <v>-9679.4094715981228</v>
      </c>
      <c r="M163" s="765">
        <f t="shared" si="443"/>
        <v>5240.680202793943</v>
      </c>
      <c r="N163" s="765">
        <f t="shared" si="443"/>
        <v>11473.175369018863</v>
      </c>
      <c r="O163" s="765">
        <f t="shared" si="443"/>
        <v>-991.8149634309857</v>
      </c>
      <c r="P163" s="765">
        <f t="shared" si="443"/>
        <v>17705.6705352438</v>
      </c>
      <c r="Q163" s="765">
        <f t="shared" si="443"/>
        <v>-7224.3101296559144</v>
      </c>
      <c r="R163" s="765">
        <f t="shared" si="443"/>
        <v>-640.65699678565215</v>
      </c>
      <c r="S163" s="765">
        <f t="shared" si="443"/>
        <v>8048.2878973200677</v>
      </c>
      <c r="T163" s="765">
        <f t="shared" si="443"/>
        <v>-9329.6018908913757</v>
      </c>
      <c r="U163" s="765">
        <f t="shared" si="443"/>
        <v>16737.232791425795</v>
      </c>
      <c r="V163" s="765">
        <f t="shared" si="443"/>
        <v>-18018.546784997099</v>
      </c>
      <c r="W163" s="765">
        <f t="shared" ref="W163" si="444">W160-W162</f>
        <v>2188.2860465455751</v>
      </c>
      <c r="X163" s="765">
        <f t="shared" ref="X163:AK163" si="445">X160-X162</f>
        <v>6034.985952600663</v>
      </c>
      <c r="Y163" s="765">
        <f t="shared" si="445"/>
        <v>-1658.4138595095146</v>
      </c>
      <c r="Z163" s="765">
        <f t="shared" si="445"/>
        <v>9881.6858586557537</v>
      </c>
      <c r="AA163" s="765">
        <f t="shared" si="445"/>
        <v>-5505.1137655646044</v>
      </c>
      <c r="AB163" s="765">
        <f t="shared" si="445"/>
        <v>2471.4190968750108</v>
      </c>
      <c r="AC163" s="765">
        <f t="shared" si="445"/>
        <v>7166.1633867086084</v>
      </c>
      <c r="AD163" s="765">
        <f t="shared" si="445"/>
        <v>-2223.3251929585849</v>
      </c>
      <c r="AE163" s="765">
        <f t="shared" si="445"/>
        <v>11860.907676542203</v>
      </c>
      <c r="AF163" s="765">
        <f t="shared" si="445"/>
        <v>-6918.0694827921807</v>
      </c>
      <c r="AG163" s="765">
        <f t="shared" si="445"/>
        <v>3361.5796454843276</v>
      </c>
      <c r="AH163" s="765">
        <f t="shared" si="445"/>
        <v>12377.611421467687</v>
      </c>
      <c r="AI163" s="765">
        <f t="shared" si="445"/>
        <v>-5654.452130499023</v>
      </c>
      <c r="AJ163" s="765">
        <f t="shared" si="445"/>
        <v>21393.643197451027</v>
      </c>
      <c r="AK163" s="765">
        <f t="shared" si="445"/>
        <v>-14670.483906482374</v>
      </c>
    </row>
    <row r="164" spans="2:37" x14ac:dyDescent="0.3">
      <c r="B164" s="284" t="s">
        <v>685</v>
      </c>
      <c r="C164" s="165"/>
      <c r="D164" s="288"/>
      <c r="E164" s="288"/>
      <c r="F164" s="288"/>
      <c r="G164" s="285" t="s">
        <v>599</v>
      </c>
      <c r="H164" s="766">
        <f>H160+H161-H162</f>
        <v>1622.1973600284255</v>
      </c>
      <c r="I164" s="766">
        <f t="shared" ref="I164:U164" si="446">I160+I161-I162</f>
        <v>6206.8856414967104</v>
      </c>
      <c r="J164" s="766">
        <f t="shared" si="446"/>
        <v>-2962.4909214398576</v>
      </c>
      <c r="K164" s="766">
        <f t="shared" si="446"/>
        <v>10791.573922964995</v>
      </c>
      <c r="L164" s="766">
        <f t="shared" si="446"/>
        <v>-7547.1792029081425</v>
      </c>
      <c r="M164" s="766">
        <f t="shared" si="446"/>
        <v>7372.9104714839232</v>
      </c>
      <c r="N164" s="766">
        <f t="shared" si="446"/>
        <v>13605.405637708845</v>
      </c>
      <c r="O164" s="766">
        <f t="shared" si="446"/>
        <v>1140.4153052589954</v>
      </c>
      <c r="P164" s="766">
        <f t="shared" si="446"/>
        <v>19837.900803933782</v>
      </c>
      <c r="Q164" s="766">
        <f t="shared" si="446"/>
        <v>-5092.0798609659341</v>
      </c>
      <c r="R164" s="766">
        <f t="shared" si="446"/>
        <v>1491.5732719043299</v>
      </c>
      <c r="S164" s="766">
        <f t="shared" si="446"/>
        <v>10180.51816601005</v>
      </c>
      <c r="T164" s="766">
        <f t="shared" si="446"/>
        <v>-7197.3716222013954</v>
      </c>
      <c r="U164" s="766">
        <f t="shared" si="446"/>
        <v>18869.463060115773</v>
      </c>
      <c r="V164" s="766">
        <f t="shared" ref="V164:W164" si="447">V160+V161-V162</f>
        <v>-15886.316516307119</v>
      </c>
      <c r="W164" s="766">
        <f t="shared" si="447"/>
        <v>4320.5163152355553</v>
      </c>
      <c r="X164" s="766">
        <f t="shared" ref="X164:AE164" si="448">X160+X161-X162</f>
        <v>8167.2162212906433</v>
      </c>
      <c r="Y164" s="766">
        <f t="shared" si="448"/>
        <v>473.8164091804656</v>
      </c>
      <c r="Z164" s="766">
        <f t="shared" si="448"/>
        <v>12013.916127345736</v>
      </c>
      <c r="AA164" s="766">
        <f t="shared" si="448"/>
        <v>-3372.8834968746237</v>
      </c>
      <c r="AB164" s="766">
        <f t="shared" si="448"/>
        <v>4603.6493655649911</v>
      </c>
      <c r="AC164" s="766">
        <f t="shared" si="448"/>
        <v>9298.3936553985877</v>
      </c>
      <c r="AD164" s="766">
        <f t="shared" si="448"/>
        <v>-91.0949242686047</v>
      </c>
      <c r="AE164" s="766">
        <f t="shared" si="448"/>
        <v>13993.137945232185</v>
      </c>
      <c r="AF164" s="766">
        <f t="shared" ref="AF164:AK164" si="449">AF160+AF161-AF162</f>
        <v>-4785.8392141021995</v>
      </c>
      <c r="AG164" s="766">
        <f t="shared" si="449"/>
        <v>5493.8099141743096</v>
      </c>
      <c r="AH164" s="766">
        <f t="shared" si="449"/>
        <v>14509.841690157669</v>
      </c>
      <c r="AI164" s="766">
        <f t="shared" si="449"/>
        <v>-3522.2218618090428</v>
      </c>
      <c r="AJ164" s="766">
        <f t="shared" si="449"/>
        <v>23525.873466141005</v>
      </c>
      <c r="AK164" s="766">
        <f t="shared" si="449"/>
        <v>-12538.253637792393</v>
      </c>
    </row>
    <row r="165" spans="2:37" x14ac:dyDescent="0.3">
      <c r="B165" s="62" t="s">
        <v>686</v>
      </c>
      <c r="C165" s="24"/>
      <c r="D165" s="289"/>
      <c r="E165" s="289"/>
      <c r="F165" s="289"/>
      <c r="G165" s="280" t="s">
        <v>599</v>
      </c>
      <c r="H165" s="767">
        <f>H163*((1+$B$4)^16)/(((1+$B$4)^16)-1)</f>
        <v>-1094.2755956126325</v>
      </c>
      <c r="I165" s="767">
        <f t="shared" ref="I165:P165" si="450">I163*((1+$B$4)^16)/(((1+$B$4)^16)-1)</f>
        <v>8742.1730231000547</v>
      </c>
      <c r="J165" s="767">
        <f t="shared" si="450"/>
        <v>-10930.724214325317</v>
      </c>
      <c r="K165" s="767">
        <f t="shared" si="450"/>
        <v>18578.621641812737</v>
      </c>
      <c r="L165" s="767">
        <f t="shared" si="450"/>
        <v>-20767.172833038003</v>
      </c>
      <c r="M165" s="767">
        <f t="shared" si="450"/>
        <v>11243.879273157081</v>
      </c>
      <c r="N165" s="767">
        <f t="shared" si="450"/>
        <v>24615.697531063368</v>
      </c>
      <c r="O165" s="767">
        <f t="shared" si="450"/>
        <v>-2127.9389847492253</v>
      </c>
      <c r="P165" s="767">
        <f t="shared" si="450"/>
        <v>37987.515788969686</v>
      </c>
      <c r="Q165" s="767">
        <f t="shared" ref="Q165:W165" si="451">Q163*((1+$B$4)^16)/(((1+$B$4)^16)-1)</f>
        <v>-15499.757242655531</v>
      </c>
      <c r="R165" s="290">
        <f t="shared" si="451"/>
        <v>-1374.5295741420932</v>
      </c>
      <c r="S165" s="290">
        <f t="shared" si="451"/>
        <v>17267.601527151644</v>
      </c>
      <c r="T165" s="290">
        <f t="shared" si="451"/>
        <v>-20016.66067543584</v>
      </c>
      <c r="U165" s="290">
        <f t="shared" si="451"/>
        <v>35909.732628445403</v>
      </c>
      <c r="V165" s="290">
        <f t="shared" si="451"/>
        <v>-38658.791776729588</v>
      </c>
      <c r="W165" s="290">
        <f t="shared" si="451"/>
        <v>4694.9676702988236</v>
      </c>
      <c r="X165" s="290">
        <f t="shared" ref="X165:AK165" si="452">X163*((1+$B$4)^16)/(((1+$B$4)^16)-1)</f>
        <v>12948.062243917228</v>
      </c>
      <c r="Y165" s="290">
        <f t="shared" si="452"/>
        <v>-3558.1269033195858</v>
      </c>
      <c r="Z165" s="290">
        <f t="shared" si="452"/>
        <v>21201.156817535641</v>
      </c>
      <c r="AA165" s="290">
        <f t="shared" si="452"/>
        <v>-11811.221476937995</v>
      </c>
      <c r="AB165" s="290">
        <f t="shared" si="452"/>
        <v>5302.4296242733599</v>
      </c>
      <c r="AC165" s="290">
        <f t="shared" si="452"/>
        <v>15375.003406793108</v>
      </c>
      <c r="AD165" s="290">
        <f t="shared" si="452"/>
        <v>-4770.144158246384</v>
      </c>
      <c r="AE165" s="290">
        <f t="shared" si="452"/>
        <v>25447.577189312851</v>
      </c>
      <c r="AF165" s="290">
        <f t="shared" si="452"/>
        <v>-14842.717940766128</v>
      </c>
      <c r="AG165" s="290">
        <f t="shared" si="452"/>
        <v>7212.2690639999919</v>
      </c>
      <c r="AH165" s="290">
        <f t="shared" si="452"/>
        <v>26556.16506399999</v>
      </c>
      <c r="AI165" s="290">
        <f t="shared" si="452"/>
        <v>-12131.626935999984</v>
      </c>
      <c r="AJ165" s="290">
        <f t="shared" si="452"/>
        <v>45900.061063999936</v>
      </c>
      <c r="AK165" s="290">
        <f t="shared" si="452"/>
        <v>-31475.522935999961</v>
      </c>
    </row>
    <row r="166" spans="2:37" x14ac:dyDescent="0.3">
      <c r="B166" s="41" t="s">
        <v>687</v>
      </c>
      <c r="C166" s="24"/>
      <c r="D166" s="149"/>
      <c r="E166" s="149"/>
      <c r="F166" s="149"/>
      <c r="G166" s="285" t="s">
        <v>599</v>
      </c>
      <c r="H166" s="768">
        <f>H164*((1+$B$4)^16)/(((1+$B$4)^16)-1)</f>
        <v>3480.4244043873618</v>
      </c>
      <c r="I166" s="768">
        <f t="shared" ref="I166:Q166" si="453">I164*((1+$B$4)^16)/(((1+$B$4)^16)-1)</f>
        <v>13316.873023100048</v>
      </c>
      <c r="J166" s="768">
        <f t="shared" si="453"/>
        <v>-6356.0242143253208</v>
      </c>
      <c r="K166" s="768">
        <f t="shared" si="453"/>
        <v>23153.321641812734</v>
      </c>
      <c r="L166" s="768">
        <f t="shared" si="453"/>
        <v>-16192.472833038008</v>
      </c>
      <c r="M166" s="768">
        <f t="shared" si="453"/>
        <v>15818.579273157075</v>
      </c>
      <c r="N166" s="768">
        <f t="shared" si="453"/>
        <v>29190.397531063369</v>
      </c>
      <c r="O166" s="768">
        <f t="shared" si="453"/>
        <v>2446.7610152507705</v>
      </c>
      <c r="P166" s="768">
        <f t="shared" si="453"/>
        <v>42562.21578896969</v>
      </c>
      <c r="Q166" s="768">
        <f t="shared" si="453"/>
        <v>-10925.057242655537</v>
      </c>
      <c r="R166" s="768">
        <f t="shared" ref="R166:W166" si="454">R164*((1+$B$4)^16)/(((1+$B$4)^16)-1)</f>
        <v>3200.1704258579052</v>
      </c>
      <c r="S166" s="768">
        <f t="shared" si="454"/>
        <v>21842.301527151645</v>
      </c>
      <c r="T166" s="768">
        <f t="shared" si="454"/>
        <v>-15441.960675435846</v>
      </c>
      <c r="U166" s="768">
        <f t="shared" si="454"/>
        <v>40484.432628445393</v>
      </c>
      <c r="V166" s="768">
        <f t="shared" si="454"/>
        <v>-34084.09177672959</v>
      </c>
      <c r="W166" s="768">
        <f t="shared" si="454"/>
        <v>9269.667670298817</v>
      </c>
      <c r="X166" s="768">
        <f t="shared" ref="X166:AK166" si="455">X164*((1+$B$4)^16)/(((1+$B$4)^16)-1)</f>
        <v>17522.762243917223</v>
      </c>
      <c r="Y166" s="768">
        <f t="shared" si="455"/>
        <v>1016.5730966804089</v>
      </c>
      <c r="Z166" s="768">
        <f t="shared" si="455"/>
        <v>25775.856817535638</v>
      </c>
      <c r="AA166" s="768">
        <f t="shared" si="455"/>
        <v>-7236.5214769379991</v>
      </c>
      <c r="AB166" s="768">
        <f t="shared" si="455"/>
        <v>9877.1296242733551</v>
      </c>
      <c r="AC166" s="768">
        <f t="shared" si="455"/>
        <v>19949.703406793102</v>
      </c>
      <c r="AD166" s="768">
        <f t="shared" si="455"/>
        <v>-195.44415824638918</v>
      </c>
      <c r="AE166" s="768">
        <f t="shared" si="455"/>
        <v>30022.277189312848</v>
      </c>
      <c r="AF166" s="768">
        <f t="shared" si="455"/>
        <v>-10268.017940766133</v>
      </c>
      <c r="AG166" s="768">
        <f t="shared" si="455"/>
        <v>11786.96906399999</v>
      </c>
      <c r="AH166" s="768">
        <f t="shared" si="455"/>
        <v>31130.865063999987</v>
      </c>
      <c r="AI166" s="768">
        <f t="shared" si="455"/>
        <v>-7556.9269359999907</v>
      </c>
      <c r="AJ166" s="768">
        <f t="shared" si="455"/>
        <v>50474.761063999933</v>
      </c>
      <c r="AK166" s="768">
        <f t="shared" si="455"/>
        <v>-26900.822935999968</v>
      </c>
    </row>
    <row r="167" spans="2:37" x14ac:dyDescent="0.3">
      <c r="B167" s="62" t="s">
        <v>688</v>
      </c>
      <c r="C167" s="265"/>
      <c r="D167" s="289"/>
      <c r="E167" s="289"/>
      <c r="F167" s="289"/>
      <c r="G167" s="280" t="s">
        <v>615</v>
      </c>
      <c r="H167" s="767">
        <f>H165*$B$4</f>
        <v>-43.771023824505299</v>
      </c>
      <c r="I167" s="767">
        <f t="shared" ref="I167:Q167" si="456">I165*$B$4</f>
        <v>349.68692092400221</v>
      </c>
      <c r="J167" s="767">
        <f t="shared" si="456"/>
        <v>-437.22896857301271</v>
      </c>
      <c r="K167" s="767">
        <f t="shared" si="456"/>
        <v>743.14486567250947</v>
      </c>
      <c r="L167" s="767">
        <f t="shared" si="456"/>
        <v>-830.68691332152014</v>
      </c>
      <c r="M167" s="767">
        <f t="shared" si="456"/>
        <v>449.75517092628326</v>
      </c>
      <c r="N167" s="767">
        <f t="shared" si="456"/>
        <v>984.62790124253479</v>
      </c>
      <c r="O167" s="767">
        <f t="shared" si="456"/>
        <v>-85.117559389969017</v>
      </c>
      <c r="P167" s="767">
        <f t="shared" si="456"/>
        <v>1519.5006315587875</v>
      </c>
      <c r="Q167" s="767">
        <f t="shared" si="456"/>
        <v>-619.99028970622123</v>
      </c>
      <c r="R167" s="767">
        <f t="shared" ref="R167:W167" si="457">R165*$B$4</f>
        <v>-54.981182965683729</v>
      </c>
      <c r="S167" s="767">
        <f t="shared" si="457"/>
        <v>690.70406108606574</v>
      </c>
      <c r="T167" s="767">
        <f t="shared" si="457"/>
        <v>-800.66642701743365</v>
      </c>
      <c r="U167" s="767">
        <f t="shared" si="457"/>
        <v>1436.3893051378161</v>
      </c>
      <c r="V167" s="767">
        <f t="shared" si="457"/>
        <v>-1546.3516710691836</v>
      </c>
      <c r="W167" s="767">
        <f t="shared" si="457"/>
        <v>187.79870681195294</v>
      </c>
      <c r="X167" s="767">
        <f t="shared" ref="X167:AK167" si="458">X165*$B$4</f>
        <v>517.92248975668906</v>
      </c>
      <c r="Y167" s="767">
        <f t="shared" si="458"/>
        <v>-142.32507613278344</v>
      </c>
      <c r="Z167" s="767">
        <f t="shared" si="458"/>
        <v>848.04627270142566</v>
      </c>
      <c r="AA167" s="767">
        <f t="shared" si="458"/>
        <v>-472.44885907751984</v>
      </c>
      <c r="AB167" s="767">
        <f t="shared" si="458"/>
        <v>212.09718497093439</v>
      </c>
      <c r="AC167" s="767">
        <f t="shared" si="458"/>
        <v>615.00013627172439</v>
      </c>
      <c r="AD167" s="767">
        <f t="shared" si="458"/>
        <v>-190.80576632985537</v>
      </c>
      <c r="AE167" s="767">
        <f t="shared" si="458"/>
        <v>1017.9030875725141</v>
      </c>
      <c r="AF167" s="767">
        <f t="shared" si="458"/>
        <v>-593.70871763064508</v>
      </c>
      <c r="AG167" s="767">
        <f t="shared" si="458"/>
        <v>288.49076255999967</v>
      </c>
      <c r="AH167" s="767">
        <f t="shared" si="458"/>
        <v>1062.2466025599997</v>
      </c>
      <c r="AI167" s="767">
        <f t="shared" si="458"/>
        <v>-485.2650774399994</v>
      </c>
      <c r="AJ167" s="767">
        <f t="shared" si="458"/>
        <v>1836.0024425599975</v>
      </c>
      <c r="AK167" s="767">
        <f t="shared" si="458"/>
        <v>-1259.0209174399986</v>
      </c>
    </row>
    <row r="168" spans="2:37" x14ac:dyDescent="0.3">
      <c r="B168" s="46" t="s">
        <v>689</v>
      </c>
      <c r="C168" s="291"/>
      <c r="D168" s="292"/>
      <c r="E168" s="292"/>
      <c r="F168" s="292"/>
      <c r="G168" s="285" t="s">
        <v>615</v>
      </c>
      <c r="H168" s="768">
        <f>H166*$B$4</f>
        <v>139.21697617549447</v>
      </c>
      <c r="I168" s="768">
        <f t="shared" ref="I168:Q168" si="459">I166*$B$4</f>
        <v>532.67492092400198</v>
      </c>
      <c r="J168" s="768">
        <f t="shared" si="459"/>
        <v>-254.24096857301285</v>
      </c>
      <c r="K168" s="768">
        <f t="shared" si="459"/>
        <v>926.13286567250941</v>
      </c>
      <c r="L168" s="768">
        <f t="shared" si="459"/>
        <v>-647.69891332152031</v>
      </c>
      <c r="M168" s="768">
        <f t="shared" si="459"/>
        <v>632.74317092628303</v>
      </c>
      <c r="N168" s="768">
        <f t="shared" si="459"/>
        <v>1167.6159012425348</v>
      </c>
      <c r="O168" s="768">
        <f t="shared" si="459"/>
        <v>97.870440610030826</v>
      </c>
      <c r="P168" s="768">
        <f t="shared" si="459"/>
        <v>1702.4886315587876</v>
      </c>
      <c r="Q168" s="768">
        <f t="shared" si="459"/>
        <v>-437.00228970622152</v>
      </c>
      <c r="R168" s="768">
        <f t="shared" ref="R168:W168" si="460">R166*$B$4</f>
        <v>128.00681703431621</v>
      </c>
      <c r="S168" s="768">
        <f t="shared" si="460"/>
        <v>873.69206108606579</v>
      </c>
      <c r="T168" s="768">
        <f t="shared" si="460"/>
        <v>-617.67842701743382</v>
      </c>
      <c r="U168" s="768">
        <f t="shared" si="460"/>
        <v>1619.3773051378157</v>
      </c>
      <c r="V168" s="768">
        <f t="shared" si="460"/>
        <v>-1363.3636710691837</v>
      </c>
      <c r="W168" s="768">
        <f t="shared" si="460"/>
        <v>370.78670681195268</v>
      </c>
      <c r="X168" s="768">
        <f t="shared" ref="X168:AK168" si="461">X166*$B$4</f>
        <v>700.91048975668889</v>
      </c>
      <c r="Y168" s="768">
        <f t="shared" si="461"/>
        <v>40.662923867216357</v>
      </c>
      <c r="Z168" s="768">
        <f t="shared" si="461"/>
        <v>1031.0342727014256</v>
      </c>
      <c r="AA168" s="768">
        <f t="shared" si="461"/>
        <v>-289.46085907751996</v>
      </c>
      <c r="AB168" s="768">
        <f t="shared" si="461"/>
        <v>395.08518497093422</v>
      </c>
      <c r="AC168" s="768">
        <f t="shared" si="461"/>
        <v>797.9881362717241</v>
      </c>
      <c r="AD168" s="768">
        <f t="shared" si="461"/>
        <v>-7.8177663298555675</v>
      </c>
      <c r="AE168" s="768">
        <f t="shared" si="461"/>
        <v>1200.8910875725139</v>
      </c>
      <c r="AF168" s="768">
        <f t="shared" si="461"/>
        <v>-410.72071763064531</v>
      </c>
      <c r="AG168" s="768">
        <f t="shared" si="461"/>
        <v>471.47876255999961</v>
      </c>
      <c r="AH168" s="768">
        <f t="shared" si="461"/>
        <v>1245.2346025599995</v>
      </c>
      <c r="AI168" s="768">
        <f t="shared" si="461"/>
        <v>-302.27707743999963</v>
      </c>
      <c r="AJ168" s="768">
        <f t="shared" si="461"/>
        <v>2018.9904425599973</v>
      </c>
      <c r="AK168" s="768">
        <f t="shared" si="461"/>
        <v>-1076.0329174399988</v>
      </c>
    </row>
  </sheetData>
  <mergeCells count="75">
    <mergeCell ref="BJ35:BN35"/>
    <mergeCell ref="DK35:DO35"/>
    <mergeCell ref="BO35:BS35"/>
    <mergeCell ref="BY35:CA35"/>
    <mergeCell ref="CD35:CE35"/>
    <mergeCell ref="CH9:CL9"/>
    <mergeCell ref="CM9:CQ9"/>
    <mergeCell ref="DF9:DJ9"/>
    <mergeCell ref="DK9:DO9"/>
    <mergeCell ref="CH35:CL35"/>
    <mergeCell ref="CM35:CQ35"/>
    <mergeCell ref="CW35:CY35"/>
    <mergeCell ref="DB35:DC35"/>
    <mergeCell ref="DF35:DJ35"/>
    <mergeCell ref="B2:D2"/>
    <mergeCell ref="E9:G9"/>
    <mergeCell ref="J9:K9"/>
    <mergeCell ref="N9:R9"/>
    <mergeCell ref="S9:W9"/>
    <mergeCell ref="E35:G35"/>
    <mergeCell ref="J35:K35"/>
    <mergeCell ref="N35:R35"/>
    <mergeCell ref="S35:W35"/>
    <mergeCell ref="BO9:BS9"/>
    <mergeCell ref="BJ9:BN9"/>
    <mergeCell ref="AC9:AE9"/>
    <mergeCell ref="AH9:AI9"/>
    <mergeCell ref="AL9:AP9"/>
    <mergeCell ref="AQ9:AU9"/>
    <mergeCell ref="AC35:AE35"/>
    <mergeCell ref="AH35:AI35"/>
    <mergeCell ref="AL35:AP35"/>
    <mergeCell ref="AQ35:AU35"/>
    <mergeCell ref="BA35:BC35"/>
    <mergeCell ref="BF35:BG35"/>
    <mergeCell ref="CW85:CY85"/>
    <mergeCell ref="DB85:DC85"/>
    <mergeCell ref="DF85:DJ85"/>
    <mergeCell ref="DK85:DO85"/>
    <mergeCell ref="E85:G85"/>
    <mergeCell ref="J85:K85"/>
    <mergeCell ref="N85:R85"/>
    <mergeCell ref="S85:W85"/>
    <mergeCell ref="AC85:AE85"/>
    <mergeCell ref="AH85:AI85"/>
    <mergeCell ref="AL85:AP85"/>
    <mergeCell ref="AQ85:AU85"/>
    <mergeCell ref="BA85:BC85"/>
    <mergeCell ref="BF85:BG85"/>
    <mergeCell ref="BO85:BS85"/>
    <mergeCell ref="BY85:CA85"/>
    <mergeCell ref="CD85:CE85"/>
    <mergeCell ref="CH85:CL85"/>
    <mergeCell ref="CM85:CQ85"/>
    <mergeCell ref="AL110:AP110"/>
    <mergeCell ref="AQ110:AU110"/>
    <mergeCell ref="BA110:BC110"/>
    <mergeCell ref="BF110:BG110"/>
    <mergeCell ref="BJ85:BN85"/>
    <mergeCell ref="DK110:DO110"/>
    <mergeCell ref="E110:G110"/>
    <mergeCell ref="J110:K110"/>
    <mergeCell ref="N110:R110"/>
    <mergeCell ref="S110:W110"/>
    <mergeCell ref="AC110:AE110"/>
    <mergeCell ref="CM110:CQ110"/>
    <mergeCell ref="CW110:CY110"/>
    <mergeCell ref="DB110:DC110"/>
    <mergeCell ref="DF110:DJ110"/>
    <mergeCell ref="BJ110:BN110"/>
    <mergeCell ref="BO110:BS110"/>
    <mergeCell ref="BY110:CA110"/>
    <mergeCell ref="CD110:CE110"/>
    <mergeCell ref="CH110:CL110"/>
    <mergeCell ref="AH110:AI110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Y168"/>
  <sheetViews>
    <sheetView topLeftCell="A13" zoomScale="120" zoomScaleNormal="120" workbookViewId="0">
      <selection activeCell="C15" sqref="C15:C27"/>
    </sheetView>
  </sheetViews>
  <sheetFormatPr defaultColWidth="9" defaultRowHeight="14" x14ac:dyDescent="0.3"/>
  <sheetData>
    <row r="2" spans="1:119" x14ac:dyDescent="0.3">
      <c r="B2" s="1094" t="s">
        <v>349</v>
      </c>
      <c r="C2" s="1095"/>
      <c r="D2" s="1096"/>
    </row>
    <row r="4" spans="1:119" x14ac:dyDescent="0.3">
      <c r="A4" t="s">
        <v>419</v>
      </c>
      <c r="B4" s="266">
        <f>'Arable Inputs'!D9</f>
        <v>0.04</v>
      </c>
    </row>
    <row r="8" spans="1:119" x14ac:dyDescent="0.3">
      <c r="B8" s="227" t="s">
        <v>96</v>
      </c>
      <c r="C8" s="775" t="s">
        <v>418</v>
      </c>
      <c r="D8" s="269" t="s">
        <v>405</v>
      </c>
      <c r="E8" s="906">
        <v>1</v>
      </c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Z8" s="227" t="s">
        <v>96</v>
      </c>
      <c r="AA8" s="211" t="s">
        <v>327</v>
      </c>
      <c r="AB8" s="905">
        <v>1.5</v>
      </c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X8" s="227" t="s">
        <v>96</v>
      </c>
      <c r="AY8" s="211" t="s">
        <v>328</v>
      </c>
      <c r="AZ8" s="905">
        <v>0.5</v>
      </c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V8" s="227" t="s">
        <v>96</v>
      </c>
      <c r="BW8" s="211" t="s">
        <v>329</v>
      </c>
      <c r="BX8" s="905">
        <v>2</v>
      </c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T8" s="227" t="s">
        <v>96</v>
      </c>
      <c r="CU8" s="211" t="s">
        <v>330</v>
      </c>
      <c r="CV8" s="905">
        <v>0</v>
      </c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</row>
    <row r="9" spans="1:119" x14ac:dyDescent="0.3">
      <c r="B9" s="203"/>
      <c r="C9" s="148"/>
      <c r="D9" s="148"/>
      <c r="E9" s="1086"/>
      <c r="F9" s="1086"/>
      <c r="G9" s="1086"/>
      <c r="H9" s="148"/>
      <c r="I9" s="931"/>
      <c r="J9" s="1086"/>
      <c r="K9" s="1086"/>
      <c r="L9" s="148"/>
      <c r="M9" s="148"/>
      <c r="N9" s="1087" t="s">
        <v>275</v>
      </c>
      <c r="O9" s="1088"/>
      <c r="P9" s="1088"/>
      <c r="Q9" s="1088"/>
      <c r="R9" s="1089"/>
      <c r="S9" s="1087" t="s">
        <v>276</v>
      </c>
      <c r="T9" s="1088"/>
      <c r="U9" s="1088"/>
      <c r="V9" s="1088"/>
      <c r="W9" s="1089"/>
      <c r="X9" s="987"/>
      <c r="Z9" s="203"/>
      <c r="AA9" s="148"/>
      <c r="AB9" s="148"/>
      <c r="AC9" s="1086"/>
      <c r="AD9" s="1086"/>
      <c r="AE9" s="1086"/>
      <c r="AF9" s="148"/>
      <c r="AG9" s="931"/>
      <c r="AH9" s="1086"/>
      <c r="AI9" s="1086"/>
      <c r="AJ9" s="148"/>
      <c r="AK9" s="148"/>
      <c r="AL9" s="1087" t="s">
        <v>317</v>
      </c>
      <c r="AM9" s="1088"/>
      <c r="AN9" s="1088"/>
      <c r="AO9" s="1088"/>
      <c r="AP9" s="1089"/>
      <c r="AQ9" s="1087" t="s">
        <v>276</v>
      </c>
      <c r="AR9" s="1088"/>
      <c r="AS9" s="1088"/>
      <c r="AT9" s="1088"/>
      <c r="AU9" s="1089"/>
      <c r="AV9" s="987"/>
      <c r="AX9" s="203"/>
      <c r="AY9" s="148"/>
      <c r="AZ9" s="148"/>
      <c r="BA9" s="1086"/>
      <c r="BB9" s="1086"/>
      <c r="BC9" s="1086"/>
      <c r="BD9" s="148"/>
      <c r="BE9" s="931"/>
      <c r="BF9" s="1086"/>
      <c r="BG9" s="1086"/>
      <c r="BH9" s="148"/>
      <c r="BI9" s="148"/>
      <c r="BJ9" s="1087" t="s">
        <v>317</v>
      </c>
      <c r="BK9" s="1088"/>
      <c r="BL9" s="1088"/>
      <c r="BM9" s="1088"/>
      <c r="BN9" s="1089"/>
      <c r="BO9" s="1087" t="s">
        <v>276</v>
      </c>
      <c r="BP9" s="1088"/>
      <c r="BQ9" s="1088"/>
      <c r="BR9" s="1088"/>
      <c r="BS9" s="1089"/>
      <c r="BT9" s="987"/>
      <c r="BV9" s="203"/>
      <c r="BW9" s="148"/>
      <c r="BX9" s="148"/>
      <c r="BY9" s="232"/>
      <c r="BZ9" s="232"/>
      <c r="CA9" s="232"/>
      <c r="CB9" s="148"/>
      <c r="CC9" s="148"/>
      <c r="CD9" s="232"/>
      <c r="CE9" s="232"/>
      <c r="CF9" s="148"/>
      <c r="CG9" s="148"/>
      <c r="CH9" s="1087" t="s">
        <v>275</v>
      </c>
      <c r="CI9" s="1088"/>
      <c r="CJ9" s="1088"/>
      <c r="CK9" s="1088"/>
      <c r="CL9" s="1089"/>
      <c r="CM9" s="1087" t="s">
        <v>276</v>
      </c>
      <c r="CN9" s="1088"/>
      <c r="CO9" s="1088"/>
      <c r="CP9" s="1088"/>
      <c r="CQ9" s="1089"/>
      <c r="CR9" s="987"/>
      <c r="CT9" s="203"/>
      <c r="CU9" s="148"/>
      <c r="CV9" s="148"/>
      <c r="CW9" s="232"/>
      <c r="CX9" s="232"/>
      <c r="CY9" s="232"/>
      <c r="CZ9" s="148"/>
      <c r="DA9" s="931"/>
      <c r="DB9" s="232"/>
      <c r="DC9" s="232"/>
      <c r="DD9" s="148"/>
      <c r="DE9" s="148"/>
      <c r="DF9" s="1087" t="s">
        <v>275</v>
      </c>
      <c r="DG9" s="1088"/>
      <c r="DH9" s="1088"/>
      <c r="DI9" s="1088"/>
      <c r="DJ9" s="1089"/>
      <c r="DK9" s="1087" t="s">
        <v>276</v>
      </c>
      <c r="DL9" s="1088"/>
      <c r="DM9" s="1088"/>
      <c r="DN9" s="1088"/>
      <c r="DO9" s="1089"/>
    </row>
    <row r="10" spans="1:119" ht="51" x14ac:dyDescent="0.3">
      <c r="B10" s="204" t="s">
        <v>277</v>
      </c>
      <c r="C10" s="205" t="s">
        <v>303</v>
      </c>
      <c r="D10" s="205" t="s">
        <v>304</v>
      </c>
      <c r="E10" s="171" t="s">
        <v>675</v>
      </c>
      <c r="F10" s="171" t="s">
        <v>666</v>
      </c>
      <c r="G10" s="171" t="s">
        <v>676</v>
      </c>
      <c r="H10" s="205" t="s">
        <v>301</v>
      </c>
      <c r="I10" s="935" t="str">
        <f>'Energy NPV'!U63</f>
        <v>Total Recurring Costs</v>
      </c>
      <c r="J10" s="205" t="s">
        <v>305</v>
      </c>
      <c r="K10" s="171" t="s">
        <v>283</v>
      </c>
      <c r="L10" s="171" t="s">
        <v>677</v>
      </c>
      <c r="M10" s="171" t="s">
        <v>678</v>
      </c>
      <c r="N10" s="195" t="s">
        <v>286</v>
      </c>
      <c r="O10" s="171" t="s">
        <v>679</v>
      </c>
      <c r="P10" s="171" t="s">
        <v>288</v>
      </c>
      <c r="Q10" s="171" t="s">
        <v>680</v>
      </c>
      <c r="R10" s="198" t="s">
        <v>290</v>
      </c>
      <c r="S10" s="195" t="s">
        <v>291</v>
      </c>
      <c r="T10" s="171" t="s">
        <v>681</v>
      </c>
      <c r="U10" s="171" t="s">
        <v>293</v>
      </c>
      <c r="V10" s="171" t="s">
        <v>682</v>
      </c>
      <c r="W10" s="198" t="s">
        <v>295</v>
      </c>
      <c r="X10" s="171"/>
      <c r="Z10" s="204" t="s">
        <v>277</v>
      </c>
      <c r="AA10" s="205" t="s">
        <v>303</v>
      </c>
      <c r="AB10" s="205" t="s">
        <v>304</v>
      </c>
      <c r="AC10" s="171" t="s">
        <v>675</v>
      </c>
      <c r="AD10" s="171" t="s">
        <v>666</v>
      </c>
      <c r="AE10" s="171" t="s">
        <v>676</v>
      </c>
      <c r="AF10" s="205" t="s">
        <v>301</v>
      </c>
      <c r="AG10" s="935" t="str">
        <f>'Energy NPV'!U63</f>
        <v>Total Recurring Costs</v>
      </c>
      <c r="AH10" s="205" t="s">
        <v>305</v>
      </c>
      <c r="AI10" s="171" t="s">
        <v>283</v>
      </c>
      <c r="AJ10" s="171" t="s">
        <v>677</v>
      </c>
      <c r="AK10" s="171" t="s">
        <v>678</v>
      </c>
      <c r="AL10" s="195" t="s">
        <v>286</v>
      </c>
      <c r="AM10" s="171" t="s">
        <v>679</v>
      </c>
      <c r="AN10" s="171" t="s">
        <v>288</v>
      </c>
      <c r="AO10" s="171" t="s">
        <v>680</v>
      </c>
      <c r="AP10" s="198" t="s">
        <v>290</v>
      </c>
      <c r="AQ10" s="195" t="s">
        <v>291</v>
      </c>
      <c r="AR10" s="171" t="s">
        <v>681</v>
      </c>
      <c r="AS10" s="171" t="s">
        <v>293</v>
      </c>
      <c r="AT10" s="171" t="s">
        <v>682</v>
      </c>
      <c r="AU10" s="198" t="s">
        <v>295</v>
      </c>
      <c r="AV10" s="171"/>
      <c r="AX10" s="204" t="s">
        <v>277</v>
      </c>
      <c r="AY10" s="205" t="s">
        <v>303</v>
      </c>
      <c r="AZ10" s="205" t="s">
        <v>304</v>
      </c>
      <c r="BA10" s="171" t="s">
        <v>675</v>
      </c>
      <c r="BB10" s="171" t="s">
        <v>666</v>
      </c>
      <c r="BC10" s="171" t="s">
        <v>676</v>
      </c>
      <c r="BD10" s="205" t="s">
        <v>301</v>
      </c>
      <c r="BE10" s="935" t="str">
        <f>'Energy NPV'!U63</f>
        <v>Total Recurring Costs</v>
      </c>
      <c r="BF10" s="205" t="s">
        <v>305</v>
      </c>
      <c r="BG10" s="171" t="s">
        <v>283</v>
      </c>
      <c r="BH10" s="171" t="s">
        <v>677</v>
      </c>
      <c r="BI10" s="171" t="s">
        <v>678</v>
      </c>
      <c r="BJ10" s="195" t="s">
        <v>286</v>
      </c>
      <c r="BK10" s="171" t="s">
        <v>679</v>
      </c>
      <c r="BL10" s="171" t="s">
        <v>288</v>
      </c>
      <c r="BM10" s="171" t="s">
        <v>680</v>
      </c>
      <c r="BN10" s="198" t="s">
        <v>290</v>
      </c>
      <c r="BO10" s="195" t="s">
        <v>291</v>
      </c>
      <c r="BP10" s="171" t="s">
        <v>681</v>
      </c>
      <c r="BQ10" s="171" t="s">
        <v>293</v>
      </c>
      <c r="BR10" s="171" t="s">
        <v>682</v>
      </c>
      <c r="BS10" s="198" t="s">
        <v>295</v>
      </c>
      <c r="BT10" s="171"/>
      <c r="BV10" s="204" t="s">
        <v>277</v>
      </c>
      <c r="BW10" s="205" t="s">
        <v>303</v>
      </c>
      <c r="BX10" s="205" t="s">
        <v>304</v>
      </c>
      <c r="BY10" s="171" t="s">
        <v>675</v>
      </c>
      <c r="BZ10" s="171" t="s">
        <v>666</v>
      </c>
      <c r="CA10" s="171" t="s">
        <v>676</v>
      </c>
      <c r="CB10" s="205" t="s">
        <v>301</v>
      </c>
      <c r="CC10" s="935" t="str">
        <f>'Energy NPV'!U63</f>
        <v>Total Recurring Costs</v>
      </c>
      <c r="CD10" s="205" t="s">
        <v>305</v>
      </c>
      <c r="CE10" s="171" t="s">
        <v>283</v>
      </c>
      <c r="CF10" s="171" t="s">
        <v>677</v>
      </c>
      <c r="CG10" s="171" t="s">
        <v>678</v>
      </c>
      <c r="CH10" s="195" t="s">
        <v>286</v>
      </c>
      <c r="CI10" s="171" t="s">
        <v>679</v>
      </c>
      <c r="CJ10" s="171" t="s">
        <v>288</v>
      </c>
      <c r="CK10" s="171" t="s">
        <v>680</v>
      </c>
      <c r="CL10" s="198" t="s">
        <v>290</v>
      </c>
      <c r="CM10" s="195" t="s">
        <v>291</v>
      </c>
      <c r="CN10" s="171" t="s">
        <v>681</v>
      </c>
      <c r="CO10" s="171" t="s">
        <v>293</v>
      </c>
      <c r="CP10" s="171" t="s">
        <v>682</v>
      </c>
      <c r="CQ10" s="198" t="s">
        <v>295</v>
      </c>
      <c r="CR10" s="171"/>
      <c r="CT10" s="204" t="s">
        <v>277</v>
      </c>
      <c r="CU10" s="205" t="s">
        <v>303</v>
      </c>
      <c r="CV10" s="205" t="s">
        <v>304</v>
      </c>
      <c r="CW10" s="171" t="s">
        <v>675</v>
      </c>
      <c r="CX10" s="171" t="s">
        <v>666</v>
      </c>
      <c r="CY10" s="171" t="s">
        <v>676</v>
      </c>
      <c r="CZ10" s="205" t="s">
        <v>301</v>
      </c>
      <c r="DA10" s="935" t="str">
        <f>'Energy NPV'!U63</f>
        <v>Total Recurring Costs</v>
      </c>
      <c r="DB10" s="205" t="s">
        <v>305</v>
      </c>
      <c r="DC10" s="171" t="s">
        <v>283</v>
      </c>
      <c r="DD10" s="171" t="s">
        <v>677</v>
      </c>
      <c r="DE10" s="171" t="s">
        <v>678</v>
      </c>
      <c r="DF10" s="195" t="s">
        <v>286</v>
      </c>
      <c r="DG10" s="171" t="s">
        <v>679</v>
      </c>
      <c r="DH10" s="171" t="s">
        <v>288</v>
      </c>
      <c r="DI10" s="171" t="s">
        <v>680</v>
      </c>
      <c r="DJ10" s="198" t="s">
        <v>290</v>
      </c>
      <c r="DK10" s="195" t="s">
        <v>291</v>
      </c>
      <c r="DL10" s="171" t="s">
        <v>681</v>
      </c>
      <c r="DM10" s="171" t="s">
        <v>293</v>
      </c>
      <c r="DN10" s="171" t="s">
        <v>682</v>
      </c>
      <c r="DO10" s="198" t="s">
        <v>295</v>
      </c>
    </row>
    <row r="11" spans="1:119" x14ac:dyDescent="0.3">
      <c r="B11" s="173"/>
      <c r="C11" s="226" t="s">
        <v>341</v>
      </c>
      <c r="D11" s="226" t="s">
        <v>601</v>
      </c>
      <c r="E11" s="201" t="s">
        <v>599</v>
      </c>
      <c r="F11" s="201" t="s">
        <v>599</v>
      </c>
      <c r="G11" s="201" t="s">
        <v>599</v>
      </c>
      <c r="H11" s="201" t="s">
        <v>599</v>
      </c>
      <c r="I11" s="969" t="str">
        <f>'Energy NPV'!U64</f>
        <v>(€ ha-1)</v>
      </c>
      <c r="J11" s="201" t="s">
        <v>599</v>
      </c>
      <c r="K11" s="201" t="s">
        <v>599</v>
      </c>
      <c r="L11" s="201" t="s">
        <v>599</v>
      </c>
      <c r="M11" s="202" t="s">
        <v>599</v>
      </c>
      <c r="N11" s="201" t="s">
        <v>599</v>
      </c>
      <c r="O11" s="201" t="s">
        <v>599</v>
      </c>
      <c r="P11" s="201" t="s">
        <v>599</v>
      </c>
      <c r="Q11" s="201" t="s">
        <v>599</v>
      </c>
      <c r="R11" s="202" t="s">
        <v>599</v>
      </c>
      <c r="S11" s="201" t="s">
        <v>599</v>
      </c>
      <c r="T11" s="201" t="s">
        <v>599</v>
      </c>
      <c r="U11" s="201" t="s">
        <v>599</v>
      </c>
      <c r="V11" s="201" t="s">
        <v>599</v>
      </c>
      <c r="W11" s="202" t="s">
        <v>599</v>
      </c>
      <c r="X11" s="988"/>
      <c r="Z11" s="173"/>
      <c r="AA11" s="226" t="s">
        <v>341</v>
      </c>
      <c r="AB11" s="226" t="s">
        <v>601</v>
      </c>
      <c r="AC11" s="201" t="s">
        <v>599</v>
      </c>
      <c r="AD11" s="201" t="s">
        <v>599</v>
      </c>
      <c r="AE11" s="201" t="s">
        <v>599</v>
      </c>
      <c r="AF11" s="201" t="s">
        <v>599</v>
      </c>
      <c r="AG11" s="969" t="str">
        <f>'Energy NPV'!U64</f>
        <v>(€ ha-1)</v>
      </c>
      <c r="AH11" s="201" t="s">
        <v>599</v>
      </c>
      <c r="AI11" s="201" t="s">
        <v>599</v>
      </c>
      <c r="AJ11" s="201" t="s">
        <v>599</v>
      </c>
      <c r="AK11" s="202" t="s">
        <v>599</v>
      </c>
      <c r="AL11" s="201" t="s">
        <v>599</v>
      </c>
      <c r="AM11" s="201" t="s">
        <v>599</v>
      </c>
      <c r="AN11" s="201" t="s">
        <v>599</v>
      </c>
      <c r="AO11" s="201" t="s">
        <v>599</v>
      </c>
      <c r="AP11" s="202" t="s">
        <v>599</v>
      </c>
      <c r="AQ11" s="201" t="s">
        <v>599</v>
      </c>
      <c r="AR11" s="201" t="s">
        <v>599</v>
      </c>
      <c r="AS11" s="201" t="s">
        <v>599</v>
      </c>
      <c r="AT11" s="201" t="s">
        <v>599</v>
      </c>
      <c r="AU11" s="202" t="s">
        <v>599</v>
      </c>
      <c r="AV11" s="988"/>
      <c r="AX11" s="173"/>
      <c r="AY11" s="226" t="s">
        <v>341</v>
      </c>
      <c r="AZ11" s="226" t="s">
        <v>601</v>
      </c>
      <c r="BA11" s="201" t="s">
        <v>599</v>
      </c>
      <c r="BB11" s="201" t="s">
        <v>599</v>
      </c>
      <c r="BC11" s="201" t="s">
        <v>599</v>
      </c>
      <c r="BD11" s="201" t="s">
        <v>599</v>
      </c>
      <c r="BE11" s="969" t="str">
        <f>'Energy NPV'!U64</f>
        <v>(€ ha-1)</v>
      </c>
      <c r="BF11" s="201" t="s">
        <v>599</v>
      </c>
      <c r="BG11" s="201" t="s">
        <v>599</v>
      </c>
      <c r="BH11" s="201" t="s">
        <v>599</v>
      </c>
      <c r="BI11" s="202" t="s">
        <v>599</v>
      </c>
      <c r="BJ11" s="201" t="s">
        <v>599</v>
      </c>
      <c r="BK11" s="201" t="s">
        <v>599</v>
      </c>
      <c r="BL11" s="201" t="s">
        <v>599</v>
      </c>
      <c r="BM11" s="201" t="s">
        <v>599</v>
      </c>
      <c r="BN11" s="202" t="s">
        <v>599</v>
      </c>
      <c r="BO11" s="201" t="s">
        <v>599</v>
      </c>
      <c r="BP11" s="201" t="s">
        <v>599</v>
      </c>
      <c r="BQ11" s="201" t="s">
        <v>599</v>
      </c>
      <c r="BR11" s="201" t="s">
        <v>599</v>
      </c>
      <c r="BS11" s="202" t="s">
        <v>599</v>
      </c>
      <c r="BT11" s="988"/>
      <c r="BV11" s="173"/>
      <c r="BW11" s="226" t="s">
        <v>341</v>
      </c>
      <c r="BX11" s="226" t="s">
        <v>601</v>
      </c>
      <c r="BY11" s="201" t="s">
        <v>599</v>
      </c>
      <c r="BZ11" s="201" t="s">
        <v>599</v>
      </c>
      <c r="CA11" s="201" t="s">
        <v>599</v>
      </c>
      <c r="CB11" s="201" t="s">
        <v>599</v>
      </c>
      <c r="CC11" s="969" t="str">
        <f>'Energy NPV'!U64</f>
        <v>(€ ha-1)</v>
      </c>
      <c r="CD11" s="201" t="s">
        <v>599</v>
      </c>
      <c r="CE11" s="201" t="s">
        <v>599</v>
      </c>
      <c r="CF11" s="201" t="s">
        <v>599</v>
      </c>
      <c r="CG11" s="202" t="s">
        <v>599</v>
      </c>
      <c r="CH11" s="201" t="s">
        <v>599</v>
      </c>
      <c r="CI11" s="201" t="s">
        <v>599</v>
      </c>
      <c r="CJ11" s="201" t="s">
        <v>599</v>
      </c>
      <c r="CK11" s="201" t="s">
        <v>599</v>
      </c>
      <c r="CL11" s="202" t="s">
        <v>599</v>
      </c>
      <c r="CM11" s="201" t="s">
        <v>599</v>
      </c>
      <c r="CN11" s="201" t="s">
        <v>599</v>
      </c>
      <c r="CO11" s="201" t="s">
        <v>599</v>
      </c>
      <c r="CP11" s="201" t="s">
        <v>599</v>
      </c>
      <c r="CQ11" s="202" t="s">
        <v>599</v>
      </c>
      <c r="CR11" s="988"/>
      <c r="CT11" s="173"/>
      <c r="CU11" s="226" t="s">
        <v>341</v>
      </c>
      <c r="CV11" s="226" t="s">
        <v>601</v>
      </c>
      <c r="CW11" s="201" t="s">
        <v>599</v>
      </c>
      <c r="CX11" s="201" t="s">
        <v>599</v>
      </c>
      <c r="CY11" s="201" t="s">
        <v>599</v>
      </c>
      <c r="CZ11" s="201" t="s">
        <v>599</v>
      </c>
      <c r="DA11" s="969" t="str">
        <f>'Energy NPV'!U64</f>
        <v>(€ ha-1)</v>
      </c>
      <c r="DB11" s="201" t="s">
        <v>599</v>
      </c>
      <c r="DC11" s="201" t="s">
        <v>599</v>
      </c>
      <c r="DD11" s="201" t="s">
        <v>599</v>
      </c>
      <c r="DE11" s="202" t="s">
        <v>599</v>
      </c>
      <c r="DF11" s="201" t="s">
        <v>599</v>
      </c>
      <c r="DG11" s="201" t="s">
        <v>599</v>
      </c>
      <c r="DH11" s="201" t="s">
        <v>599</v>
      </c>
      <c r="DI11" s="201" t="s">
        <v>599</v>
      </c>
      <c r="DJ11" s="202" t="s">
        <v>599</v>
      </c>
      <c r="DK11" s="201" t="s">
        <v>599</v>
      </c>
      <c r="DL11" s="201" t="s">
        <v>599</v>
      </c>
      <c r="DM11" s="201" t="s">
        <v>599</v>
      </c>
      <c r="DN11" s="201" t="s">
        <v>599</v>
      </c>
      <c r="DO11" s="202" t="s">
        <v>599</v>
      </c>
    </row>
    <row r="12" spans="1:119" x14ac:dyDescent="0.3">
      <c r="B12" s="204">
        <v>1</v>
      </c>
      <c r="C12" s="197">
        <f>'Energy NPV'!$D65*$E$8</f>
        <v>2.0466666666666664</v>
      </c>
      <c r="D12" s="197">
        <f>'Energy margins'!$S$12</f>
        <v>72</v>
      </c>
      <c r="E12" s="197">
        <f>C12*D12</f>
        <v>147.35999999999999</v>
      </c>
      <c r="F12" s="197">
        <f>'Margins summary'!$U$14</f>
        <v>175.95</v>
      </c>
      <c r="G12" s="197">
        <f>E12+F12</f>
        <v>323.30999999999995</v>
      </c>
      <c r="H12" s="197">
        <f>'Margins summary'!$T$20</f>
        <v>5737.3339839999999</v>
      </c>
      <c r="I12" s="918">
        <f>'Energy NPV'!U65</f>
        <v>112.99999999999999</v>
      </c>
      <c r="J12" s="197"/>
      <c r="K12" s="197">
        <f>H12+I12+J12</f>
        <v>5850.3339839999999</v>
      </c>
      <c r="L12" s="197">
        <f t="shared" ref="L12:L27" si="0">E12-K12</f>
        <v>-5702.9739840000002</v>
      </c>
      <c r="M12" s="197">
        <f t="shared" ref="M12:M27" si="1">G12-K12</f>
        <v>-5527.0239839999995</v>
      </c>
      <c r="N12" s="1018">
        <f>E12/((1+$B$4)^(B12-1))</f>
        <v>147.35999999999999</v>
      </c>
      <c r="O12" s="213">
        <f>F12/((1+$B$4)^(B12-1))</f>
        <v>175.95</v>
      </c>
      <c r="P12" s="213">
        <f>K12/((1+$B$4)^(B12-1))</f>
        <v>5850.3339839999999</v>
      </c>
      <c r="Q12" s="213">
        <f>L12/((1+$B$4)^(B12-1))</f>
        <v>-5702.9739840000002</v>
      </c>
      <c r="R12" s="929">
        <f>M12/((1+$B$4)^(B12-1))</f>
        <v>-5527.0239839999995</v>
      </c>
      <c r="S12" s="196">
        <f>N12</f>
        <v>147.35999999999999</v>
      </c>
      <c r="T12" s="197">
        <f>O12</f>
        <v>175.95</v>
      </c>
      <c r="U12" s="197">
        <f>P12</f>
        <v>5850.3339839999999</v>
      </c>
      <c r="V12" s="197">
        <f>Q12</f>
        <v>-5702.9739840000002</v>
      </c>
      <c r="W12" s="199">
        <f>R12</f>
        <v>-5527.0239839999995</v>
      </c>
      <c r="X12" s="197"/>
      <c r="Z12" s="204">
        <v>1</v>
      </c>
      <c r="AA12" s="197">
        <f>$C12*$AB$8</f>
        <v>3.0699999999999994</v>
      </c>
      <c r="AB12" s="197">
        <f>'Energy margins'!$S$12</f>
        <v>72</v>
      </c>
      <c r="AC12" s="197">
        <f>AA12*AB12</f>
        <v>221.03999999999996</v>
      </c>
      <c r="AD12" s="197">
        <f>'Margins summary'!$U$14</f>
        <v>175.95</v>
      </c>
      <c r="AE12" s="197">
        <f>AC12+AD12</f>
        <v>396.98999999999995</v>
      </c>
      <c r="AF12" s="197">
        <f>'Margins summary'!$T$20</f>
        <v>5737.3339839999999</v>
      </c>
      <c r="AG12" s="918">
        <f>'Energy NPV'!U65</f>
        <v>112.99999999999999</v>
      </c>
      <c r="AH12" s="197"/>
      <c r="AI12" s="197">
        <f>AF12+AG12+AH12</f>
        <v>5850.3339839999999</v>
      </c>
      <c r="AJ12" s="197">
        <f t="shared" ref="AJ12:AJ27" si="2">AC12-AI12</f>
        <v>-5629.2939839999999</v>
      </c>
      <c r="AK12" s="197">
        <f t="shared" ref="AK12:AK27" si="3">AE12-AI12</f>
        <v>-5453.3439840000001</v>
      </c>
      <c r="AL12" s="1018">
        <f>AC12/((1+$B$4)^(Z12-1))</f>
        <v>221.03999999999996</v>
      </c>
      <c r="AM12" s="213">
        <f>AD12/((1+$B$4)^(Z12-1))</f>
        <v>175.95</v>
      </c>
      <c r="AN12" s="213">
        <f>AI12/((1+$B$4)^(Z12-1))</f>
        <v>5850.3339839999999</v>
      </c>
      <c r="AO12" s="213">
        <f>AJ12/((1+$B$4)^(Z12-1))</f>
        <v>-5629.2939839999999</v>
      </c>
      <c r="AP12" s="929">
        <f>AK12/((1+$B$4)^(Z12-1))</f>
        <v>-5453.3439840000001</v>
      </c>
      <c r="AQ12" s="196">
        <f>AL12</f>
        <v>221.03999999999996</v>
      </c>
      <c r="AR12" s="197">
        <f>AM12</f>
        <v>175.95</v>
      </c>
      <c r="AS12" s="197">
        <f>AN12</f>
        <v>5850.3339839999999</v>
      </c>
      <c r="AT12" s="197">
        <f>AO12</f>
        <v>-5629.2939839999999</v>
      </c>
      <c r="AU12" s="199">
        <f>AP12</f>
        <v>-5453.3439840000001</v>
      </c>
      <c r="AV12" s="197"/>
      <c r="AX12" s="204">
        <v>1</v>
      </c>
      <c r="AY12" s="197">
        <f>$C12*$AZ$8</f>
        <v>1.0233333333333332</v>
      </c>
      <c r="AZ12" s="197">
        <f>'Energy margins'!$S$12</f>
        <v>72</v>
      </c>
      <c r="BA12" s="197">
        <f>AY12*AZ12</f>
        <v>73.679999999999993</v>
      </c>
      <c r="BB12" s="197">
        <f>'Margins summary'!$U$14</f>
        <v>175.95</v>
      </c>
      <c r="BC12" s="197">
        <f>BA12+BB12</f>
        <v>249.63</v>
      </c>
      <c r="BD12" s="197">
        <f>'Margins summary'!$T$20</f>
        <v>5737.3339839999999</v>
      </c>
      <c r="BE12" s="918">
        <f>'Energy NPV'!U65</f>
        <v>112.99999999999999</v>
      </c>
      <c r="BF12" s="197"/>
      <c r="BG12" s="197">
        <f>BD12+BE12+BF12</f>
        <v>5850.3339839999999</v>
      </c>
      <c r="BH12" s="197">
        <f t="shared" ref="BH12:BH27" si="4">BA12-BG12</f>
        <v>-5776.6539839999996</v>
      </c>
      <c r="BI12" s="197">
        <f t="shared" ref="BI12:BI27" si="5">BC12-BG12</f>
        <v>-5600.7039839999998</v>
      </c>
      <c r="BJ12" s="1018">
        <f>BA12/((1+$B$4)^(AX12-1))</f>
        <v>73.679999999999993</v>
      </c>
      <c r="BK12" s="213">
        <f>BB12/((1+$B$4)^(AX12-1))</f>
        <v>175.95</v>
      </c>
      <c r="BL12" s="213">
        <f>BG12/((1+$B$4)^(AX12-1))</f>
        <v>5850.3339839999999</v>
      </c>
      <c r="BM12" s="213">
        <f>BH12/((1+$B$4)^(AX12-1))</f>
        <v>-5776.6539839999996</v>
      </c>
      <c r="BN12" s="929">
        <f>BI12/((1+$B$4)^(AX12-1))</f>
        <v>-5600.7039839999998</v>
      </c>
      <c r="BO12" s="196">
        <f>BJ12</f>
        <v>73.679999999999993</v>
      </c>
      <c r="BP12" s="197">
        <f>BK12</f>
        <v>175.95</v>
      </c>
      <c r="BQ12" s="197">
        <f>BL12</f>
        <v>5850.3339839999999</v>
      </c>
      <c r="BR12" s="197">
        <f>BM12</f>
        <v>-5776.6539839999996</v>
      </c>
      <c r="BS12" s="199">
        <f>BN12</f>
        <v>-5600.7039839999998</v>
      </c>
      <c r="BT12" s="197"/>
      <c r="BV12" s="204">
        <v>1</v>
      </c>
      <c r="BW12" s="197">
        <f>$C12*$BX$8</f>
        <v>4.0933333333333328</v>
      </c>
      <c r="BX12" s="197">
        <f>'Energy margins'!$S$12</f>
        <v>72</v>
      </c>
      <c r="BY12" s="197">
        <f>BW12*BX12</f>
        <v>294.71999999999997</v>
      </c>
      <c r="BZ12" s="197">
        <f>'Margins summary'!$U$14</f>
        <v>175.95</v>
      </c>
      <c r="CA12" s="197">
        <f>BY12+BZ12</f>
        <v>470.66999999999996</v>
      </c>
      <c r="CB12" s="197">
        <f>'Margins summary'!$T$20</f>
        <v>5737.3339839999999</v>
      </c>
      <c r="CC12" s="918">
        <f>'Energy NPV'!U65</f>
        <v>112.99999999999999</v>
      </c>
      <c r="CD12" s="197"/>
      <c r="CE12" s="197">
        <f>CB12+CC12+CD12</f>
        <v>5850.3339839999999</v>
      </c>
      <c r="CF12" s="197">
        <f t="shared" ref="CF12:CF27" si="6">BY12-CE12</f>
        <v>-5555.6139839999996</v>
      </c>
      <c r="CG12" s="197">
        <f t="shared" ref="CG12:CG27" si="7">CA12-CE12</f>
        <v>-5379.6639839999998</v>
      </c>
      <c r="CH12" s="1018">
        <f>BY12/((1+$B$4)^(BV12-1))</f>
        <v>294.71999999999997</v>
      </c>
      <c r="CI12" s="213">
        <f>BZ12/((1+$B$4)^(BV12-1))</f>
        <v>175.95</v>
      </c>
      <c r="CJ12" s="213">
        <f>CE12/((1+$B$4)^(BV12-1))</f>
        <v>5850.3339839999999</v>
      </c>
      <c r="CK12" s="213">
        <f>CF12/((1+$B$4)^(BV12-1))</f>
        <v>-5555.6139839999996</v>
      </c>
      <c r="CL12" s="929">
        <f>CG12/((1+$B$4)^(BV12-1))</f>
        <v>-5379.6639839999998</v>
      </c>
      <c r="CM12" s="196">
        <f>CH12</f>
        <v>294.71999999999997</v>
      </c>
      <c r="CN12" s="197">
        <f>CI12</f>
        <v>175.95</v>
      </c>
      <c r="CO12" s="197">
        <f>CJ12</f>
        <v>5850.3339839999999</v>
      </c>
      <c r="CP12" s="197">
        <f>CK12</f>
        <v>-5555.6139839999996</v>
      </c>
      <c r="CQ12" s="199">
        <f>CL12</f>
        <v>-5379.6639839999998</v>
      </c>
      <c r="CR12" s="197"/>
      <c r="CT12" s="204">
        <v>1</v>
      </c>
      <c r="CU12" s="197">
        <f>$C12*$CV$8</f>
        <v>0</v>
      </c>
      <c r="CV12" s="197">
        <f>'Energy margins'!$S$12</f>
        <v>72</v>
      </c>
      <c r="CW12" s="197">
        <f>CU12*CV12</f>
        <v>0</v>
      </c>
      <c r="CX12" s="197">
        <f>'Margins summary'!$U$14</f>
        <v>175.95</v>
      </c>
      <c r="CY12" s="197">
        <f>CW12+CX12</f>
        <v>175.95</v>
      </c>
      <c r="CZ12" s="197">
        <f>'Margins summary'!$T$20</f>
        <v>5737.3339839999999</v>
      </c>
      <c r="DA12" s="918">
        <f>'Energy NPV'!U65</f>
        <v>112.99999999999999</v>
      </c>
      <c r="DB12" s="197"/>
      <c r="DC12" s="197">
        <f>CZ12+DA12+DB12</f>
        <v>5850.3339839999999</v>
      </c>
      <c r="DD12" s="197">
        <f t="shared" ref="DD12:DD27" si="8">CW12-DC12</f>
        <v>-5850.3339839999999</v>
      </c>
      <c r="DE12" s="197">
        <f t="shared" ref="DE12:DE27" si="9">CY12-DC12</f>
        <v>-5674.3839840000001</v>
      </c>
      <c r="DF12" s="1018">
        <f>CW12/((1+$B$4)^(CT12-1))</f>
        <v>0</v>
      </c>
      <c r="DG12" s="213">
        <f>CX12/((1+$B$4)^(CT12-1))</f>
        <v>175.95</v>
      </c>
      <c r="DH12" s="213">
        <f>DC12/((1+$B$4)^(CT12-1))</f>
        <v>5850.3339839999999</v>
      </c>
      <c r="DI12" s="213">
        <f>DD12/((1+$B$4)^(CT12-1))</f>
        <v>-5850.3339839999999</v>
      </c>
      <c r="DJ12" s="929">
        <f>DE12/((1+$B$4)^(CT12-1))</f>
        <v>-5674.3839840000001</v>
      </c>
      <c r="DK12" s="196">
        <f>DF12</f>
        <v>0</v>
      </c>
      <c r="DL12" s="197">
        <f>DG12</f>
        <v>175.95</v>
      </c>
      <c r="DM12" s="197">
        <f>DH12</f>
        <v>5850.3339839999999</v>
      </c>
      <c r="DN12" s="197">
        <f>DI12</f>
        <v>-5850.3339839999999</v>
      </c>
      <c r="DO12" s="199">
        <f>DJ12</f>
        <v>-5674.3839840000001</v>
      </c>
    </row>
    <row r="13" spans="1:119" x14ac:dyDescent="0.3">
      <c r="B13" s="204">
        <v>2</v>
      </c>
      <c r="C13" s="197">
        <f>'Energy NPV'!$D66*$E$8</f>
        <v>8.27</v>
      </c>
      <c r="D13" s="197">
        <f>'Energy margins'!$S$12</f>
        <v>72</v>
      </c>
      <c r="E13" s="197">
        <f t="shared" ref="E13:E27" si="10">C13*D13</f>
        <v>595.43999999999994</v>
      </c>
      <c r="F13" s="197">
        <f>'Margins summary'!$U$14</f>
        <v>175.95</v>
      </c>
      <c r="G13" s="197">
        <f t="shared" ref="G13:G27" si="11">E13+F13</f>
        <v>771.38999999999987</v>
      </c>
      <c r="H13" s="197"/>
      <c r="I13" s="918">
        <f>'Energy NPV'!U66</f>
        <v>491.50878399999999</v>
      </c>
      <c r="J13" s="197"/>
      <c r="K13" s="197">
        <f t="shared" ref="K13:K27" si="12">H13+I13+J13</f>
        <v>491.50878399999999</v>
      </c>
      <c r="L13" s="197">
        <f t="shared" si="0"/>
        <v>103.93121599999995</v>
      </c>
      <c r="M13" s="197">
        <f t="shared" si="1"/>
        <v>279.88121599999988</v>
      </c>
      <c r="N13" s="196">
        <f t="shared" ref="N13:N27" si="13">E13/((1+$B$4)^(B13-1))</f>
        <v>572.53846153846143</v>
      </c>
      <c r="O13" s="197">
        <f t="shared" ref="O13:O27" si="14">F13/((1+$B$4)^(B13-1))</f>
        <v>169.18269230769229</v>
      </c>
      <c r="P13" s="197">
        <f t="shared" ref="P13:P27" si="15">K13/((1+$B$4)^(B13-1))</f>
        <v>472.60459999999995</v>
      </c>
      <c r="Q13" s="197">
        <f t="shared" ref="Q13:Q27" si="16">L13/((1+$B$4)^(B13-1))</f>
        <v>99.933861538461485</v>
      </c>
      <c r="R13" s="199">
        <f t="shared" ref="R13:R26" si="17">M13/((1+$B$4)^(B13-1))</f>
        <v>269.11655384615375</v>
      </c>
      <c r="S13" s="196">
        <f>S12+N13</f>
        <v>719.89846153846145</v>
      </c>
      <c r="T13" s="197">
        <f t="shared" ref="T13:W27" si="18">T12+O13</f>
        <v>345.13269230769231</v>
      </c>
      <c r="U13" s="197">
        <f t="shared" si="18"/>
        <v>6322.9385839999995</v>
      </c>
      <c r="V13" s="197">
        <f t="shared" si="18"/>
        <v>-5603.0401224615389</v>
      </c>
      <c r="W13" s="199">
        <f t="shared" si="18"/>
        <v>-5257.9074301538458</v>
      </c>
      <c r="X13" s="197"/>
      <c r="Z13" s="204">
        <v>2</v>
      </c>
      <c r="AA13" s="197">
        <f t="shared" ref="AA13:AA27" si="19">$C13*$AB$8</f>
        <v>12.404999999999999</v>
      </c>
      <c r="AB13" s="197">
        <f>'Energy margins'!$S$12</f>
        <v>72</v>
      </c>
      <c r="AC13" s="197">
        <f t="shared" ref="AC13:AC26" si="20">AA13*AB13</f>
        <v>893.16</v>
      </c>
      <c r="AD13" s="197">
        <f>'Margins summary'!$U$14</f>
        <v>175.95</v>
      </c>
      <c r="AE13" s="197">
        <f t="shared" ref="AE13:AE27" si="21">AC13+AD13</f>
        <v>1069.1099999999999</v>
      </c>
      <c r="AF13" s="197"/>
      <c r="AG13" s="918">
        <f>'Energy NPV'!U66</f>
        <v>491.50878399999999</v>
      </c>
      <c r="AH13" s="197"/>
      <c r="AI13" s="197">
        <f t="shared" ref="AI13:AI27" si="22">AF13+AG13+AH13</f>
        <v>491.50878399999999</v>
      </c>
      <c r="AJ13" s="197">
        <f t="shared" si="2"/>
        <v>401.65121599999998</v>
      </c>
      <c r="AK13" s="197">
        <f t="shared" si="3"/>
        <v>577.60121599999991</v>
      </c>
      <c r="AL13" s="196">
        <f t="shared" ref="AL13:AL27" si="23">AC13/((1+$B$4)^(Z13-1))</f>
        <v>858.80769230769226</v>
      </c>
      <c r="AM13" s="197">
        <f t="shared" ref="AM13:AM27" si="24">AD13/((1+$B$4)^(Z13-1))</f>
        <v>169.18269230769229</v>
      </c>
      <c r="AN13" s="197">
        <f t="shared" ref="AN13:AN27" si="25">AI13/((1+$B$4)^(Z13-1))</f>
        <v>472.60459999999995</v>
      </c>
      <c r="AO13" s="197">
        <f t="shared" ref="AO13:AO27" si="26">AJ13/((1+$B$4)^(Z13-1))</f>
        <v>386.20309230769226</v>
      </c>
      <c r="AP13" s="199">
        <f t="shared" ref="AP13:AP26" si="27">AK13/((1+$B$4)^(Z13-1))</f>
        <v>555.38578461538452</v>
      </c>
      <c r="AQ13" s="196">
        <f>AQ12+AL13</f>
        <v>1079.8476923076923</v>
      </c>
      <c r="AR13" s="197">
        <f t="shared" ref="AR13:AU27" si="28">AR12+AM13</f>
        <v>345.13269230769231</v>
      </c>
      <c r="AS13" s="197">
        <f t="shared" si="28"/>
        <v>6322.9385839999995</v>
      </c>
      <c r="AT13" s="197">
        <f t="shared" si="28"/>
        <v>-5243.0908916923072</v>
      </c>
      <c r="AU13" s="199">
        <f t="shared" si="28"/>
        <v>-4897.9581993846159</v>
      </c>
      <c r="AV13" s="197"/>
      <c r="AX13" s="204">
        <v>2</v>
      </c>
      <c r="AY13" s="197">
        <f t="shared" ref="AY13:AY27" si="29">$C13*$AZ$8</f>
        <v>4.1349999999999998</v>
      </c>
      <c r="AZ13" s="197">
        <f>'Energy margins'!$S$12</f>
        <v>72</v>
      </c>
      <c r="BA13" s="197">
        <f t="shared" ref="BA13:BA26" si="30">AY13*AZ13</f>
        <v>297.71999999999997</v>
      </c>
      <c r="BB13" s="197">
        <f>'Margins summary'!$U$14</f>
        <v>175.95</v>
      </c>
      <c r="BC13" s="197">
        <f t="shared" ref="BC13:BC27" si="31">BA13+BB13</f>
        <v>473.66999999999996</v>
      </c>
      <c r="BD13" s="197"/>
      <c r="BE13" s="918">
        <f>'Energy NPV'!U66</f>
        <v>491.50878399999999</v>
      </c>
      <c r="BF13" s="197"/>
      <c r="BG13" s="197">
        <f t="shared" ref="BG13:BG27" si="32">BD13+BE13+BF13</f>
        <v>491.50878399999999</v>
      </c>
      <c r="BH13" s="197">
        <f t="shared" si="4"/>
        <v>-193.78878400000002</v>
      </c>
      <c r="BI13" s="197">
        <f t="shared" si="5"/>
        <v>-17.838784000000032</v>
      </c>
      <c r="BJ13" s="196">
        <f t="shared" ref="BJ13:BJ27" si="33">BA13/((1+$B$4)^(AX13-1))</f>
        <v>286.26923076923072</v>
      </c>
      <c r="BK13" s="197">
        <f t="shared" ref="BK13:BK27" si="34">BB13/((1+$B$4)^(AX13-1))</f>
        <v>169.18269230769229</v>
      </c>
      <c r="BL13" s="197">
        <f t="shared" ref="BL13:BL27" si="35">BG13/((1+$B$4)^(AX13-1))</f>
        <v>472.60459999999995</v>
      </c>
      <c r="BM13" s="197">
        <f t="shared" ref="BM13:BM27" si="36">BH13/((1+$B$4)^(AX13-1))</f>
        <v>-186.33536923076923</v>
      </c>
      <c r="BN13" s="199">
        <f t="shared" ref="BN13:BN26" si="37">BI13/((1+$B$4)^(AX13-1))</f>
        <v>-17.152676923076953</v>
      </c>
      <c r="BO13" s="196">
        <f>BO12+BJ13</f>
        <v>359.94923076923072</v>
      </c>
      <c r="BP13" s="197">
        <f t="shared" ref="BP13:BP27" si="38">BP12+BK13</f>
        <v>345.13269230769231</v>
      </c>
      <c r="BQ13" s="197">
        <f t="shared" ref="BQ13:BQ27" si="39">BQ12+BL13</f>
        <v>6322.9385839999995</v>
      </c>
      <c r="BR13" s="197">
        <f t="shared" ref="BR13:BR27" si="40">BR12+BM13</f>
        <v>-5962.9893532307688</v>
      </c>
      <c r="BS13" s="199">
        <f t="shared" ref="BS13:BS27" si="41">BS12+BN13</f>
        <v>-5617.8566609230766</v>
      </c>
      <c r="BT13" s="197"/>
      <c r="BV13" s="204">
        <v>2</v>
      </c>
      <c r="BW13" s="197">
        <f t="shared" ref="BW13:BW27" si="42">$C13*$BX$8</f>
        <v>16.54</v>
      </c>
      <c r="BX13" s="197">
        <f>'Energy margins'!$S$12</f>
        <v>72</v>
      </c>
      <c r="BY13" s="197">
        <f t="shared" ref="BY13:BY27" si="43">BW13*BX13</f>
        <v>1190.8799999999999</v>
      </c>
      <c r="BZ13" s="197">
        <f>'Margins summary'!$U$14</f>
        <v>175.95</v>
      </c>
      <c r="CA13" s="197">
        <f t="shared" ref="CA13:CA27" si="44">BY13+BZ13</f>
        <v>1366.83</v>
      </c>
      <c r="CB13" s="197"/>
      <c r="CC13" s="918">
        <f>'Energy NPV'!U66</f>
        <v>491.50878399999999</v>
      </c>
      <c r="CD13" s="197"/>
      <c r="CE13" s="197">
        <f t="shared" ref="CE13:CE27" si="45">CB13+CC13+CD13</f>
        <v>491.50878399999999</v>
      </c>
      <c r="CF13" s="197">
        <f t="shared" si="6"/>
        <v>699.37121599999989</v>
      </c>
      <c r="CG13" s="197">
        <f t="shared" si="7"/>
        <v>875.32121599999994</v>
      </c>
      <c r="CH13" s="196">
        <f t="shared" ref="CH13:CH27" si="46">BY13/((1+$B$4)^(BV13-1))</f>
        <v>1145.0769230769229</v>
      </c>
      <c r="CI13" s="197">
        <f t="shared" ref="CI13:CI27" si="47">BZ13/((1+$B$4)^(BV13-1))</f>
        <v>169.18269230769229</v>
      </c>
      <c r="CJ13" s="197">
        <f t="shared" ref="CJ13:CJ27" si="48">CE13/((1+$B$4)^(BV13-1))</f>
        <v>472.60459999999995</v>
      </c>
      <c r="CK13" s="197">
        <f t="shared" ref="CK13:CK27" si="49">CF13/((1+$B$4)^(BV13-1))</f>
        <v>672.47232307692298</v>
      </c>
      <c r="CL13" s="199">
        <f t="shared" ref="CL13:CL26" si="50">CG13/((1+$B$4)^(BV13-1))</f>
        <v>841.65501538461524</v>
      </c>
      <c r="CM13" s="196">
        <f>CM12+CH13</f>
        <v>1439.7969230769229</v>
      </c>
      <c r="CN13" s="197">
        <f t="shared" ref="CN13:CN27" si="51">CN12+CI13</f>
        <v>345.13269230769231</v>
      </c>
      <c r="CO13" s="197">
        <f t="shared" ref="CO13:CO27" si="52">CO12+CJ13</f>
        <v>6322.9385839999995</v>
      </c>
      <c r="CP13" s="197">
        <f t="shared" ref="CP13:CP27" si="53">CP12+CK13</f>
        <v>-4883.1416609230764</v>
      </c>
      <c r="CQ13" s="199">
        <f t="shared" ref="CQ13:CQ27" si="54">CQ12+CL13</f>
        <v>-4538.0089686153842</v>
      </c>
      <c r="CR13" s="197"/>
      <c r="CT13" s="204">
        <v>2</v>
      </c>
      <c r="CU13" s="197">
        <f t="shared" ref="CU13:CU27" si="55">$C13*$CV$8</f>
        <v>0</v>
      </c>
      <c r="CV13" s="197">
        <f>'Energy margins'!$S$12</f>
        <v>72</v>
      </c>
      <c r="CW13" s="197">
        <f t="shared" ref="CW13:CW27" si="56">CU13*CV13</f>
        <v>0</v>
      </c>
      <c r="CX13" s="197">
        <f>'Margins summary'!$U$14</f>
        <v>175.95</v>
      </c>
      <c r="CY13" s="197">
        <f t="shared" ref="CY13:CY27" si="57">CW13+CX13</f>
        <v>175.95</v>
      </c>
      <c r="CZ13" s="197"/>
      <c r="DA13" s="918">
        <f>'Energy NPV'!U66</f>
        <v>491.50878399999999</v>
      </c>
      <c r="DB13" s="197"/>
      <c r="DC13" s="197">
        <f t="shared" ref="DC13:DC27" si="58">CZ13+DA13+DB13</f>
        <v>491.50878399999999</v>
      </c>
      <c r="DD13" s="197">
        <f t="shared" si="8"/>
        <v>-491.50878399999999</v>
      </c>
      <c r="DE13" s="197">
        <f t="shared" si="9"/>
        <v>-315.558784</v>
      </c>
      <c r="DF13" s="196">
        <f t="shared" ref="DF13:DF27" si="59">CW13/((1+$B$4)^(CT13-1))</f>
        <v>0</v>
      </c>
      <c r="DG13" s="197">
        <f t="shared" ref="DG13:DG27" si="60">CX13/((1+$B$4)^(CT13-1))</f>
        <v>169.18269230769229</v>
      </c>
      <c r="DH13" s="197">
        <f t="shared" ref="DH13:DH27" si="61">DC13/((1+$B$4)^(CT13-1))</f>
        <v>472.60459999999995</v>
      </c>
      <c r="DI13" s="197">
        <f t="shared" ref="DI13:DI27" si="62">DD13/((1+$B$4)^(CT13-1))</f>
        <v>-472.60459999999995</v>
      </c>
      <c r="DJ13" s="199">
        <f t="shared" ref="DJ13:DJ26" si="63">DE13/((1+$B$4)^(CT13-1))</f>
        <v>-303.42190769230768</v>
      </c>
      <c r="DK13" s="196">
        <f>DK12+DF13</f>
        <v>0</v>
      </c>
      <c r="DL13" s="197">
        <f t="shared" ref="DL13:DL27" si="64">DL12+DG13</f>
        <v>345.13269230769231</v>
      </c>
      <c r="DM13" s="197">
        <f t="shared" ref="DM13:DM27" si="65">DM12+DH13</f>
        <v>6322.9385839999995</v>
      </c>
      <c r="DN13" s="197">
        <f t="shared" ref="DN13:DN27" si="66">DN12+DI13</f>
        <v>-6322.9385839999995</v>
      </c>
      <c r="DO13" s="199">
        <f t="shared" ref="DO13:DO27" si="67">DO12+DJ13</f>
        <v>-5977.8058916923073</v>
      </c>
    </row>
    <row r="14" spans="1:119" x14ac:dyDescent="0.3">
      <c r="B14" s="204">
        <f t="shared" ref="B14:B27" si="68">B13+1</f>
        <v>3</v>
      </c>
      <c r="C14" s="197">
        <f>'Energy NPV'!$D67*$E$8</f>
        <v>10.926666666666668</v>
      </c>
      <c r="D14" s="197">
        <f>'Energy margins'!$S$12</f>
        <v>72</v>
      </c>
      <c r="E14" s="197">
        <f t="shared" si="10"/>
        <v>786.72</v>
      </c>
      <c r="F14" s="197">
        <f>'Margins summary'!$U$14</f>
        <v>175.95</v>
      </c>
      <c r="G14" s="197">
        <f t="shared" si="11"/>
        <v>962.67000000000007</v>
      </c>
      <c r="H14" s="197"/>
      <c r="I14" s="918">
        <f>'Energy NPV'!U67</f>
        <v>491.50878399999999</v>
      </c>
      <c r="J14" s="197"/>
      <c r="K14" s="197">
        <f t="shared" si="12"/>
        <v>491.50878399999999</v>
      </c>
      <c r="L14" s="197">
        <f t="shared" si="0"/>
        <v>295.21121600000004</v>
      </c>
      <c r="M14" s="197">
        <f t="shared" si="1"/>
        <v>471.16121600000008</v>
      </c>
      <c r="N14" s="196">
        <f t="shared" si="13"/>
        <v>727.36686390532543</v>
      </c>
      <c r="O14" s="197">
        <f t="shared" si="14"/>
        <v>162.67566568047334</v>
      </c>
      <c r="P14" s="197">
        <f t="shared" si="15"/>
        <v>454.42749999999995</v>
      </c>
      <c r="Q14" s="197">
        <f t="shared" si="16"/>
        <v>272.93936390532542</v>
      </c>
      <c r="R14" s="199">
        <f t="shared" si="17"/>
        <v>435.61502958579882</v>
      </c>
      <c r="S14" s="196">
        <f t="shared" ref="S14:S27" si="69">S13+N14</f>
        <v>1447.2653254437869</v>
      </c>
      <c r="T14" s="197">
        <f t="shared" si="18"/>
        <v>507.80835798816565</v>
      </c>
      <c r="U14" s="197">
        <f t="shared" si="18"/>
        <v>6777.3660839999993</v>
      </c>
      <c r="V14" s="197">
        <f t="shared" si="18"/>
        <v>-5330.1007585562138</v>
      </c>
      <c r="W14" s="199">
        <f t="shared" si="18"/>
        <v>-4822.292400568047</v>
      </c>
      <c r="X14" s="197"/>
      <c r="Z14" s="204">
        <f t="shared" ref="Z14:Z27" si="70">Z13+1</f>
        <v>3</v>
      </c>
      <c r="AA14" s="197">
        <f t="shared" si="19"/>
        <v>16.39</v>
      </c>
      <c r="AB14" s="197">
        <f>'Energy margins'!$S$12</f>
        <v>72</v>
      </c>
      <c r="AC14" s="197">
        <f t="shared" si="20"/>
        <v>1180.08</v>
      </c>
      <c r="AD14" s="197">
        <f>'Margins summary'!$U$14</f>
        <v>175.95</v>
      </c>
      <c r="AE14" s="197">
        <f t="shared" si="21"/>
        <v>1356.03</v>
      </c>
      <c r="AF14" s="197"/>
      <c r="AG14" s="918">
        <f>'Energy NPV'!U67</f>
        <v>491.50878399999999</v>
      </c>
      <c r="AH14" s="197"/>
      <c r="AI14" s="197">
        <f t="shared" si="22"/>
        <v>491.50878399999999</v>
      </c>
      <c r="AJ14" s="197">
        <f t="shared" si="2"/>
        <v>688.57121599999994</v>
      </c>
      <c r="AK14" s="197">
        <f t="shared" si="3"/>
        <v>864.52121599999998</v>
      </c>
      <c r="AL14" s="196">
        <f t="shared" si="23"/>
        <v>1091.050295857988</v>
      </c>
      <c r="AM14" s="197">
        <f t="shared" si="24"/>
        <v>162.67566568047334</v>
      </c>
      <c r="AN14" s="197">
        <f t="shared" si="25"/>
        <v>454.42749999999995</v>
      </c>
      <c r="AO14" s="197">
        <f t="shared" si="26"/>
        <v>636.62279585798808</v>
      </c>
      <c r="AP14" s="199">
        <f t="shared" si="27"/>
        <v>799.29846153846142</v>
      </c>
      <c r="AQ14" s="196">
        <f t="shared" ref="AQ14:AQ27" si="71">AQ13+AL14</f>
        <v>2170.8979881656805</v>
      </c>
      <c r="AR14" s="197">
        <f t="shared" si="28"/>
        <v>507.80835798816565</v>
      </c>
      <c r="AS14" s="197">
        <f t="shared" si="28"/>
        <v>6777.3660839999993</v>
      </c>
      <c r="AT14" s="197">
        <f t="shared" si="28"/>
        <v>-4606.4680958343188</v>
      </c>
      <c r="AU14" s="199">
        <f t="shared" si="28"/>
        <v>-4098.6597378461547</v>
      </c>
      <c r="AV14" s="197"/>
      <c r="AX14" s="204">
        <f t="shared" ref="AX14:AX27" si="72">AX13+1</f>
        <v>3</v>
      </c>
      <c r="AY14" s="197">
        <f t="shared" si="29"/>
        <v>5.4633333333333338</v>
      </c>
      <c r="AZ14" s="197">
        <f>'Energy margins'!$S$12</f>
        <v>72</v>
      </c>
      <c r="BA14" s="197">
        <f t="shared" si="30"/>
        <v>393.36</v>
      </c>
      <c r="BB14" s="197">
        <f>'Margins summary'!$U$14</f>
        <v>175.95</v>
      </c>
      <c r="BC14" s="197">
        <f t="shared" si="31"/>
        <v>569.30999999999995</v>
      </c>
      <c r="BD14" s="197"/>
      <c r="BE14" s="918">
        <f>'Energy NPV'!U67</f>
        <v>491.50878399999999</v>
      </c>
      <c r="BF14" s="197"/>
      <c r="BG14" s="197">
        <f t="shared" si="32"/>
        <v>491.50878399999999</v>
      </c>
      <c r="BH14" s="197">
        <f t="shared" si="4"/>
        <v>-98.148783999999978</v>
      </c>
      <c r="BI14" s="197">
        <f t="shared" si="5"/>
        <v>77.801215999999954</v>
      </c>
      <c r="BJ14" s="196">
        <f t="shared" si="33"/>
        <v>363.68343195266272</v>
      </c>
      <c r="BK14" s="197">
        <f t="shared" si="34"/>
        <v>162.67566568047334</v>
      </c>
      <c r="BL14" s="197">
        <f t="shared" si="35"/>
        <v>454.42749999999995</v>
      </c>
      <c r="BM14" s="197">
        <f t="shared" si="36"/>
        <v>-90.744068047337251</v>
      </c>
      <c r="BN14" s="199">
        <f t="shared" si="37"/>
        <v>71.93159763313605</v>
      </c>
      <c r="BO14" s="196">
        <f t="shared" ref="BO14:BO27" si="73">BO13+BJ14</f>
        <v>723.63266272189344</v>
      </c>
      <c r="BP14" s="197">
        <f t="shared" si="38"/>
        <v>507.80835798816565</v>
      </c>
      <c r="BQ14" s="197">
        <f t="shared" si="39"/>
        <v>6777.3660839999993</v>
      </c>
      <c r="BR14" s="197">
        <f t="shared" si="40"/>
        <v>-6053.7334212781061</v>
      </c>
      <c r="BS14" s="199">
        <f t="shared" si="41"/>
        <v>-5545.9250632899402</v>
      </c>
      <c r="BT14" s="197"/>
      <c r="BV14" s="204">
        <f t="shared" ref="BV14:BV27" si="74">BV13+1</f>
        <v>3</v>
      </c>
      <c r="BW14" s="197">
        <f t="shared" si="42"/>
        <v>21.853333333333335</v>
      </c>
      <c r="BX14" s="197">
        <f>'Energy margins'!$S$12</f>
        <v>72</v>
      </c>
      <c r="BY14" s="197">
        <f t="shared" si="43"/>
        <v>1573.44</v>
      </c>
      <c r="BZ14" s="197">
        <f>'Margins summary'!$U$14</f>
        <v>175.95</v>
      </c>
      <c r="CA14" s="197">
        <f t="shared" si="44"/>
        <v>1749.39</v>
      </c>
      <c r="CB14" s="197"/>
      <c r="CC14" s="918">
        <f>'Energy NPV'!U67</f>
        <v>491.50878399999999</v>
      </c>
      <c r="CD14" s="197"/>
      <c r="CE14" s="197">
        <f t="shared" si="45"/>
        <v>491.50878399999999</v>
      </c>
      <c r="CF14" s="197">
        <f t="shared" si="6"/>
        <v>1081.9312159999999</v>
      </c>
      <c r="CG14" s="197">
        <f t="shared" si="7"/>
        <v>1257.8812160000002</v>
      </c>
      <c r="CH14" s="196">
        <f t="shared" si="46"/>
        <v>1454.7337278106509</v>
      </c>
      <c r="CI14" s="197">
        <f t="shared" si="47"/>
        <v>162.67566568047334</v>
      </c>
      <c r="CJ14" s="197">
        <f t="shared" si="48"/>
        <v>454.42749999999995</v>
      </c>
      <c r="CK14" s="197">
        <f t="shared" si="49"/>
        <v>1000.3062278106507</v>
      </c>
      <c r="CL14" s="199">
        <f t="shared" si="50"/>
        <v>1162.9818934911243</v>
      </c>
      <c r="CM14" s="196">
        <f t="shared" ref="CM14:CM27" si="75">CM13+CH14</f>
        <v>2894.5306508875738</v>
      </c>
      <c r="CN14" s="197">
        <f t="shared" si="51"/>
        <v>507.80835798816565</v>
      </c>
      <c r="CO14" s="197">
        <f t="shared" si="52"/>
        <v>6777.3660839999993</v>
      </c>
      <c r="CP14" s="197">
        <f t="shared" si="53"/>
        <v>-3882.8354331124256</v>
      </c>
      <c r="CQ14" s="199">
        <f t="shared" si="54"/>
        <v>-3375.0270751242597</v>
      </c>
      <c r="CR14" s="197"/>
      <c r="CT14" s="204">
        <f t="shared" ref="CT14:CT27" si="76">CT13+1</f>
        <v>3</v>
      </c>
      <c r="CU14" s="197">
        <f t="shared" si="55"/>
        <v>0</v>
      </c>
      <c r="CV14" s="197">
        <f>'Energy margins'!$S$12</f>
        <v>72</v>
      </c>
      <c r="CW14" s="197">
        <f t="shared" si="56"/>
        <v>0</v>
      </c>
      <c r="CX14" s="197">
        <f>'Margins summary'!$U$14</f>
        <v>175.95</v>
      </c>
      <c r="CY14" s="197">
        <f t="shared" si="57"/>
        <v>175.95</v>
      </c>
      <c r="CZ14" s="197"/>
      <c r="DA14" s="918">
        <f>'Energy NPV'!U67</f>
        <v>491.50878399999999</v>
      </c>
      <c r="DB14" s="197"/>
      <c r="DC14" s="197">
        <f t="shared" si="58"/>
        <v>491.50878399999999</v>
      </c>
      <c r="DD14" s="197">
        <f t="shared" si="8"/>
        <v>-491.50878399999999</v>
      </c>
      <c r="DE14" s="197">
        <f t="shared" si="9"/>
        <v>-315.558784</v>
      </c>
      <c r="DF14" s="196">
        <f t="shared" si="59"/>
        <v>0</v>
      </c>
      <c r="DG14" s="197">
        <f t="shared" si="60"/>
        <v>162.67566568047334</v>
      </c>
      <c r="DH14" s="197">
        <f t="shared" si="61"/>
        <v>454.42749999999995</v>
      </c>
      <c r="DI14" s="197">
        <f t="shared" si="62"/>
        <v>-454.42749999999995</v>
      </c>
      <c r="DJ14" s="199">
        <f t="shared" si="63"/>
        <v>-291.75183431952661</v>
      </c>
      <c r="DK14" s="196">
        <f t="shared" ref="DK14:DK27" si="77">DK13+DF14</f>
        <v>0</v>
      </c>
      <c r="DL14" s="197">
        <f t="shared" si="64"/>
        <v>507.80835798816565</v>
      </c>
      <c r="DM14" s="197">
        <f t="shared" si="65"/>
        <v>6777.3660839999993</v>
      </c>
      <c r="DN14" s="197">
        <f t="shared" si="66"/>
        <v>-6777.3660839999993</v>
      </c>
      <c r="DO14" s="199">
        <f t="shared" si="67"/>
        <v>-6269.5577260118343</v>
      </c>
    </row>
    <row r="15" spans="1:119" x14ac:dyDescent="0.3">
      <c r="B15" s="204">
        <f t="shared" si="68"/>
        <v>4</v>
      </c>
      <c r="C15" s="197">
        <f>'Energy NPV'!$D68*$E$8</f>
        <v>11.617000000000001</v>
      </c>
      <c r="D15" s="197">
        <f>'Energy margins'!$S$12</f>
        <v>72</v>
      </c>
      <c r="E15" s="197">
        <f t="shared" si="10"/>
        <v>836.42400000000009</v>
      </c>
      <c r="F15" s="197">
        <f>'Margins summary'!$U$14</f>
        <v>175.95</v>
      </c>
      <c r="G15" s="197">
        <f t="shared" si="11"/>
        <v>1012.374</v>
      </c>
      <c r="H15" s="197"/>
      <c r="I15" s="918">
        <f>'Energy NPV'!U68</f>
        <v>309.57878399999998</v>
      </c>
      <c r="J15" s="197"/>
      <c r="K15" s="197">
        <f t="shared" si="12"/>
        <v>309.57878399999998</v>
      </c>
      <c r="L15" s="197">
        <f t="shared" si="0"/>
        <v>526.84521600000016</v>
      </c>
      <c r="M15" s="197">
        <f t="shared" si="1"/>
        <v>702.79521599999998</v>
      </c>
      <c r="N15" s="196">
        <f t="shared" si="13"/>
        <v>743.57789030496133</v>
      </c>
      <c r="O15" s="197">
        <f t="shared" si="14"/>
        <v>156.41890930814745</v>
      </c>
      <c r="P15" s="197">
        <f t="shared" si="15"/>
        <v>275.21441169776966</v>
      </c>
      <c r="Q15" s="197">
        <f t="shared" si="16"/>
        <v>468.36347860719172</v>
      </c>
      <c r="R15" s="199">
        <f t="shared" si="17"/>
        <v>624.78238791533909</v>
      </c>
      <c r="S15" s="196">
        <f t="shared" si="69"/>
        <v>2190.8432157487482</v>
      </c>
      <c r="T15" s="197">
        <f t="shared" si="18"/>
        <v>664.22726729631313</v>
      </c>
      <c r="U15" s="197">
        <f t="shared" si="18"/>
        <v>7052.580495697769</v>
      </c>
      <c r="V15" s="197">
        <f t="shared" si="18"/>
        <v>-4861.7372799490222</v>
      </c>
      <c r="W15" s="199">
        <f t="shared" si="18"/>
        <v>-4197.5100126527077</v>
      </c>
      <c r="X15" s="197"/>
      <c r="Z15" s="204">
        <f t="shared" si="70"/>
        <v>4</v>
      </c>
      <c r="AA15" s="197">
        <f t="shared" si="19"/>
        <v>17.4255</v>
      </c>
      <c r="AB15" s="197">
        <f>'Energy margins'!$S$12</f>
        <v>72</v>
      </c>
      <c r="AC15" s="197">
        <f t="shared" si="20"/>
        <v>1254.636</v>
      </c>
      <c r="AD15" s="197">
        <f>'Margins summary'!$U$14</f>
        <v>175.95</v>
      </c>
      <c r="AE15" s="197">
        <f t="shared" si="21"/>
        <v>1430.586</v>
      </c>
      <c r="AF15" s="197"/>
      <c r="AG15" s="918">
        <f>'Energy NPV'!U68</f>
        <v>309.57878399999998</v>
      </c>
      <c r="AH15" s="197"/>
      <c r="AI15" s="197">
        <f t="shared" si="22"/>
        <v>309.57878399999998</v>
      </c>
      <c r="AJ15" s="197">
        <f t="shared" si="2"/>
        <v>945.05721599999993</v>
      </c>
      <c r="AK15" s="197">
        <f t="shared" si="3"/>
        <v>1121.007216</v>
      </c>
      <c r="AL15" s="196">
        <f t="shared" si="23"/>
        <v>1115.3668354574418</v>
      </c>
      <c r="AM15" s="197">
        <f t="shared" si="24"/>
        <v>156.41890930814745</v>
      </c>
      <c r="AN15" s="197">
        <f t="shared" si="25"/>
        <v>275.21441169776966</v>
      </c>
      <c r="AO15" s="197">
        <f t="shared" si="26"/>
        <v>840.15242375967216</v>
      </c>
      <c r="AP15" s="199">
        <f t="shared" si="27"/>
        <v>996.57133306781964</v>
      </c>
      <c r="AQ15" s="196">
        <f t="shared" si="71"/>
        <v>3286.2648236231225</v>
      </c>
      <c r="AR15" s="197">
        <f t="shared" si="28"/>
        <v>664.22726729631313</v>
      </c>
      <c r="AS15" s="197">
        <f t="shared" si="28"/>
        <v>7052.580495697769</v>
      </c>
      <c r="AT15" s="197">
        <f t="shared" si="28"/>
        <v>-3766.3156720746465</v>
      </c>
      <c r="AU15" s="199">
        <f t="shared" si="28"/>
        <v>-3102.0884047783352</v>
      </c>
      <c r="AV15" s="197"/>
      <c r="AX15" s="204">
        <f t="shared" si="72"/>
        <v>4</v>
      </c>
      <c r="AY15" s="197">
        <f t="shared" si="29"/>
        <v>5.8085000000000004</v>
      </c>
      <c r="AZ15" s="197">
        <f>'Energy margins'!$S$12</f>
        <v>72</v>
      </c>
      <c r="BA15" s="197">
        <f t="shared" si="30"/>
        <v>418.21200000000005</v>
      </c>
      <c r="BB15" s="197">
        <f>'Margins summary'!$U$14</f>
        <v>175.95</v>
      </c>
      <c r="BC15" s="197">
        <f t="shared" si="31"/>
        <v>594.16200000000003</v>
      </c>
      <c r="BD15" s="197"/>
      <c r="BE15" s="918">
        <f>'Energy NPV'!U68</f>
        <v>309.57878399999998</v>
      </c>
      <c r="BF15" s="197"/>
      <c r="BG15" s="197">
        <f t="shared" si="32"/>
        <v>309.57878399999998</v>
      </c>
      <c r="BH15" s="197">
        <f t="shared" si="4"/>
        <v>108.63321600000006</v>
      </c>
      <c r="BI15" s="197">
        <f t="shared" si="5"/>
        <v>284.58321600000005</v>
      </c>
      <c r="BJ15" s="196">
        <f t="shared" si="33"/>
        <v>371.78894515248066</v>
      </c>
      <c r="BK15" s="197">
        <f t="shared" si="34"/>
        <v>156.41890930814745</v>
      </c>
      <c r="BL15" s="197">
        <f t="shared" si="35"/>
        <v>275.21441169776966</v>
      </c>
      <c r="BM15" s="197">
        <f t="shared" si="36"/>
        <v>96.574533454711016</v>
      </c>
      <c r="BN15" s="199">
        <f t="shared" si="37"/>
        <v>252.99344276285848</v>
      </c>
      <c r="BO15" s="196">
        <f t="shared" si="73"/>
        <v>1095.4216078743741</v>
      </c>
      <c r="BP15" s="197">
        <f t="shared" si="38"/>
        <v>664.22726729631313</v>
      </c>
      <c r="BQ15" s="197">
        <f t="shared" si="39"/>
        <v>7052.580495697769</v>
      </c>
      <c r="BR15" s="197">
        <f t="shared" si="40"/>
        <v>-5957.1588878233952</v>
      </c>
      <c r="BS15" s="199">
        <f t="shared" si="41"/>
        <v>-5292.9316205270816</v>
      </c>
      <c r="BT15" s="197"/>
      <c r="BV15" s="204">
        <f t="shared" si="74"/>
        <v>4</v>
      </c>
      <c r="BW15" s="197">
        <f t="shared" si="42"/>
        <v>23.234000000000002</v>
      </c>
      <c r="BX15" s="197">
        <f>'Energy margins'!$S$12</f>
        <v>72</v>
      </c>
      <c r="BY15" s="197">
        <f t="shared" si="43"/>
        <v>1672.8480000000002</v>
      </c>
      <c r="BZ15" s="197">
        <f>'Margins summary'!$U$14</f>
        <v>175.95</v>
      </c>
      <c r="CA15" s="197">
        <f t="shared" si="44"/>
        <v>1848.7980000000002</v>
      </c>
      <c r="CB15" s="197"/>
      <c r="CC15" s="918">
        <f>'Energy NPV'!U68</f>
        <v>309.57878399999998</v>
      </c>
      <c r="CD15" s="197"/>
      <c r="CE15" s="197">
        <f t="shared" si="45"/>
        <v>309.57878399999998</v>
      </c>
      <c r="CF15" s="197">
        <f t="shared" si="6"/>
        <v>1363.2692160000001</v>
      </c>
      <c r="CG15" s="197">
        <f t="shared" si="7"/>
        <v>1539.2192160000002</v>
      </c>
      <c r="CH15" s="196">
        <f t="shared" si="46"/>
        <v>1487.1557806099227</v>
      </c>
      <c r="CI15" s="197">
        <f t="shared" si="47"/>
        <v>156.41890930814745</v>
      </c>
      <c r="CJ15" s="197">
        <f t="shared" si="48"/>
        <v>275.21441169776966</v>
      </c>
      <c r="CK15" s="197">
        <f t="shared" si="49"/>
        <v>1211.9413689121529</v>
      </c>
      <c r="CL15" s="199">
        <f t="shared" si="50"/>
        <v>1368.3602782203004</v>
      </c>
      <c r="CM15" s="196">
        <f t="shared" si="75"/>
        <v>4381.6864314974964</v>
      </c>
      <c r="CN15" s="197">
        <f t="shared" si="51"/>
        <v>664.22726729631313</v>
      </c>
      <c r="CO15" s="197">
        <f t="shared" si="52"/>
        <v>7052.580495697769</v>
      </c>
      <c r="CP15" s="197">
        <f t="shared" si="53"/>
        <v>-2670.8940642002726</v>
      </c>
      <c r="CQ15" s="199">
        <f t="shared" si="54"/>
        <v>-2006.6667969039593</v>
      </c>
      <c r="CR15" s="197"/>
      <c r="CT15" s="204">
        <f t="shared" si="76"/>
        <v>4</v>
      </c>
      <c r="CU15" s="197">
        <f t="shared" si="55"/>
        <v>0</v>
      </c>
      <c r="CV15" s="197">
        <f>'Energy margins'!$S$12</f>
        <v>72</v>
      </c>
      <c r="CW15" s="197">
        <f t="shared" si="56"/>
        <v>0</v>
      </c>
      <c r="CX15" s="197">
        <f>'Margins summary'!$U$14</f>
        <v>175.95</v>
      </c>
      <c r="CY15" s="197">
        <f t="shared" si="57"/>
        <v>175.95</v>
      </c>
      <c r="CZ15" s="197"/>
      <c r="DA15" s="918">
        <f>'Energy NPV'!U68</f>
        <v>309.57878399999998</v>
      </c>
      <c r="DB15" s="197"/>
      <c r="DC15" s="197">
        <f t="shared" si="58"/>
        <v>309.57878399999998</v>
      </c>
      <c r="DD15" s="197">
        <f t="shared" si="8"/>
        <v>-309.57878399999998</v>
      </c>
      <c r="DE15" s="197">
        <f t="shared" si="9"/>
        <v>-133.628784</v>
      </c>
      <c r="DF15" s="196">
        <f t="shared" si="59"/>
        <v>0</v>
      </c>
      <c r="DG15" s="197">
        <f t="shared" si="60"/>
        <v>156.41890930814745</v>
      </c>
      <c r="DH15" s="197">
        <f t="shared" si="61"/>
        <v>275.21441169776966</v>
      </c>
      <c r="DI15" s="197">
        <f t="shared" si="62"/>
        <v>-275.21441169776966</v>
      </c>
      <c r="DJ15" s="199">
        <f t="shared" si="63"/>
        <v>-118.7955023896222</v>
      </c>
      <c r="DK15" s="196">
        <f t="shared" si="77"/>
        <v>0</v>
      </c>
      <c r="DL15" s="197">
        <f t="shared" si="64"/>
        <v>664.22726729631313</v>
      </c>
      <c r="DM15" s="197">
        <f t="shared" si="65"/>
        <v>7052.580495697769</v>
      </c>
      <c r="DN15" s="197">
        <f t="shared" si="66"/>
        <v>-7052.580495697769</v>
      </c>
      <c r="DO15" s="199">
        <f t="shared" si="67"/>
        <v>-6388.3532284014564</v>
      </c>
    </row>
    <row r="16" spans="1:119" x14ac:dyDescent="0.3">
      <c r="B16" s="204">
        <f t="shared" si="68"/>
        <v>5</v>
      </c>
      <c r="C16" s="197">
        <f>'Energy NPV'!$D69*$E$8</f>
        <v>11.617000000000001</v>
      </c>
      <c r="D16" s="197">
        <f>'Energy margins'!$S$12</f>
        <v>72</v>
      </c>
      <c r="E16" s="197">
        <f t="shared" si="10"/>
        <v>836.42400000000009</v>
      </c>
      <c r="F16" s="197">
        <f>'Margins summary'!$U$14</f>
        <v>175.95</v>
      </c>
      <c r="G16" s="197">
        <f t="shared" si="11"/>
        <v>1012.374</v>
      </c>
      <c r="H16" s="197"/>
      <c r="I16" s="918">
        <f>'Energy NPV'!U69</f>
        <v>309.57878399999998</v>
      </c>
      <c r="J16" s="197"/>
      <c r="K16" s="197">
        <f t="shared" si="12"/>
        <v>309.57878399999998</v>
      </c>
      <c r="L16" s="197">
        <f t="shared" si="0"/>
        <v>526.84521600000016</v>
      </c>
      <c r="M16" s="197">
        <f t="shared" si="1"/>
        <v>702.79521599999998</v>
      </c>
      <c r="N16" s="196">
        <f t="shared" si="13"/>
        <v>714.97874067784733</v>
      </c>
      <c r="O16" s="197">
        <f t="shared" si="14"/>
        <v>150.40279741168024</v>
      </c>
      <c r="P16" s="197">
        <f t="shared" si="15"/>
        <v>264.6292420170862</v>
      </c>
      <c r="Q16" s="197">
        <f t="shared" si="16"/>
        <v>450.34949866076124</v>
      </c>
      <c r="R16" s="199">
        <f t="shared" si="17"/>
        <v>600.75229607244137</v>
      </c>
      <c r="S16" s="196">
        <f t="shared" si="69"/>
        <v>2905.8219564265955</v>
      </c>
      <c r="T16" s="197">
        <f t="shared" si="18"/>
        <v>814.63006470799337</v>
      </c>
      <c r="U16" s="197">
        <f t="shared" si="18"/>
        <v>7317.2097377148548</v>
      </c>
      <c r="V16" s="197">
        <f t="shared" si="18"/>
        <v>-4411.3877812882611</v>
      </c>
      <c r="W16" s="199">
        <f t="shared" si="18"/>
        <v>-3596.7577165802663</v>
      </c>
      <c r="X16" s="197"/>
      <c r="Z16" s="204">
        <f t="shared" si="70"/>
        <v>5</v>
      </c>
      <c r="AA16" s="197">
        <f t="shared" si="19"/>
        <v>17.4255</v>
      </c>
      <c r="AB16" s="197">
        <f>'Energy margins'!$S$12</f>
        <v>72</v>
      </c>
      <c r="AC16" s="197">
        <f t="shared" si="20"/>
        <v>1254.636</v>
      </c>
      <c r="AD16" s="197">
        <f>'Margins summary'!$U$14</f>
        <v>175.95</v>
      </c>
      <c r="AE16" s="197">
        <f t="shared" si="21"/>
        <v>1430.586</v>
      </c>
      <c r="AF16" s="197"/>
      <c r="AG16" s="918">
        <f>'Energy NPV'!U69</f>
        <v>309.57878399999998</v>
      </c>
      <c r="AH16" s="197"/>
      <c r="AI16" s="197">
        <f t="shared" si="22"/>
        <v>309.57878399999998</v>
      </c>
      <c r="AJ16" s="197">
        <f t="shared" si="2"/>
        <v>945.05721599999993</v>
      </c>
      <c r="AK16" s="197">
        <f t="shared" si="3"/>
        <v>1121.007216</v>
      </c>
      <c r="AL16" s="196">
        <f t="shared" si="23"/>
        <v>1072.468111016771</v>
      </c>
      <c r="AM16" s="197">
        <f t="shared" si="24"/>
        <v>150.40279741168024</v>
      </c>
      <c r="AN16" s="197">
        <f t="shared" si="25"/>
        <v>264.6292420170862</v>
      </c>
      <c r="AO16" s="197">
        <f t="shared" si="26"/>
        <v>807.83886899968468</v>
      </c>
      <c r="AP16" s="199">
        <f t="shared" si="27"/>
        <v>958.24166641136492</v>
      </c>
      <c r="AQ16" s="196">
        <f t="shared" si="71"/>
        <v>4358.7329346398938</v>
      </c>
      <c r="AR16" s="197">
        <f t="shared" si="28"/>
        <v>814.63006470799337</v>
      </c>
      <c r="AS16" s="197">
        <f t="shared" si="28"/>
        <v>7317.2097377148548</v>
      </c>
      <c r="AT16" s="197">
        <f t="shared" si="28"/>
        <v>-2958.4768030749619</v>
      </c>
      <c r="AU16" s="199">
        <f t="shared" si="28"/>
        <v>-2143.8467383669704</v>
      </c>
      <c r="AV16" s="197"/>
      <c r="AX16" s="204">
        <f t="shared" si="72"/>
        <v>5</v>
      </c>
      <c r="AY16" s="197">
        <f t="shared" si="29"/>
        <v>5.8085000000000004</v>
      </c>
      <c r="AZ16" s="197">
        <f>'Energy margins'!$S$12</f>
        <v>72</v>
      </c>
      <c r="BA16" s="197">
        <f t="shared" si="30"/>
        <v>418.21200000000005</v>
      </c>
      <c r="BB16" s="197">
        <f>'Margins summary'!$U$14</f>
        <v>175.95</v>
      </c>
      <c r="BC16" s="197">
        <f t="shared" si="31"/>
        <v>594.16200000000003</v>
      </c>
      <c r="BD16" s="197"/>
      <c r="BE16" s="918">
        <f>'Energy NPV'!U69</f>
        <v>309.57878399999998</v>
      </c>
      <c r="BF16" s="197"/>
      <c r="BG16" s="197">
        <f t="shared" si="32"/>
        <v>309.57878399999998</v>
      </c>
      <c r="BH16" s="197">
        <f t="shared" si="4"/>
        <v>108.63321600000006</v>
      </c>
      <c r="BI16" s="197">
        <f t="shared" si="5"/>
        <v>284.58321600000005</v>
      </c>
      <c r="BJ16" s="196">
        <f t="shared" si="33"/>
        <v>357.48937033892366</v>
      </c>
      <c r="BK16" s="197">
        <f t="shared" si="34"/>
        <v>150.40279741168024</v>
      </c>
      <c r="BL16" s="197">
        <f t="shared" si="35"/>
        <v>264.6292420170862</v>
      </c>
      <c r="BM16" s="197">
        <f t="shared" si="36"/>
        <v>92.860128321837507</v>
      </c>
      <c r="BN16" s="199">
        <f t="shared" si="37"/>
        <v>243.26292573351773</v>
      </c>
      <c r="BO16" s="196">
        <f t="shared" si="73"/>
        <v>1452.9109782132978</v>
      </c>
      <c r="BP16" s="197">
        <f t="shared" si="38"/>
        <v>814.63006470799337</v>
      </c>
      <c r="BQ16" s="197">
        <f t="shared" si="39"/>
        <v>7317.2097377148548</v>
      </c>
      <c r="BR16" s="197">
        <f t="shared" si="40"/>
        <v>-5864.2987595015575</v>
      </c>
      <c r="BS16" s="199">
        <f t="shared" si="41"/>
        <v>-5049.6686947935641</v>
      </c>
      <c r="BT16" s="197"/>
      <c r="BV16" s="204">
        <f t="shared" si="74"/>
        <v>5</v>
      </c>
      <c r="BW16" s="197">
        <f t="shared" si="42"/>
        <v>23.234000000000002</v>
      </c>
      <c r="BX16" s="197">
        <f>'Energy margins'!$S$12</f>
        <v>72</v>
      </c>
      <c r="BY16" s="197">
        <f t="shared" si="43"/>
        <v>1672.8480000000002</v>
      </c>
      <c r="BZ16" s="197">
        <f>'Margins summary'!$U$14</f>
        <v>175.95</v>
      </c>
      <c r="CA16" s="197">
        <f t="shared" si="44"/>
        <v>1848.7980000000002</v>
      </c>
      <c r="CB16" s="197"/>
      <c r="CC16" s="918">
        <f>'Energy NPV'!U69</f>
        <v>309.57878399999998</v>
      </c>
      <c r="CD16" s="197"/>
      <c r="CE16" s="197">
        <f t="shared" si="45"/>
        <v>309.57878399999998</v>
      </c>
      <c r="CF16" s="197">
        <f t="shared" si="6"/>
        <v>1363.2692160000001</v>
      </c>
      <c r="CG16" s="197">
        <f t="shared" si="7"/>
        <v>1539.2192160000002</v>
      </c>
      <c r="CH16" s="196">
        <f t="shared" si="46"/>
        <v>1429.9574813556947</v>
      </c>
      <c r="CI16" s="197">
        <f t="shared" si="47"/>
        <v>150.40279741168024</v>
      </c>
      <c r="CJ16" s="197">
        <f t="shared" si="48"/>
        <v>264.6292420170862</v>
      </c>
      <c r="CK16" s="197">
        <f t="shared" si="49"/>
        <v>1165.3282393386085</v>
      </c>
      <c r="CL16" s="199">
        <f t="shared" si="50"/>
        <v>1315.7310367502887</v>
      </c>
      <c r="CM16" s="196">
        <f t="shared" si="75"/>
        <v>5811.6439128531911</v>
      </c>
      <c r="CN16" s="197">
        <f t="shared" si="51"/>
        <v>814.63006470799337</v>
      </c>
      <c r="CO16" s="197">
        <f t="shared" si="52"/>
        <v>7317.2097377148548</v>
      </c>
      <c r="CP16" s="197">
        <f t="shared" si="53"/>
        <v>-1505.5658248616642</v>
      </c>
      <c r="CQ16" s="199">
        <f t="shared" si="54"/>
        <v>-690.93576015367057</v>
      </c>
      <c r="CR16" s="197"/>
      <c r="CT16" s="204">
        <f t="shared" si="76"/>
        <v>5</v>
      </c>
      <c r="CU16" s="197">
        <f t="shared" si="55"/>
        <v>0</v>
      </c>
      <c r="CV16" s="197">
        <f>'Energy margins'!$S$12</f>
        <v>72</v>
      </c>
      <c r="CW16" s="197">
        <f t="shared" si="56"/>
        <v>0</v>
      </c>
      <c r="CX16" s="197">
        <f>'Margins summary'!$U$14</f>
        <v>175.95</v>
      </c>
      <c r="CY16" s="197">
        <f t="shared" si="57"/>
        <v>175.95</v>
      </c>
      <c r="CZ16" s="197"/>
      <c r="DA16" s="918">
        <f>'Energy NPV'!U69</f>
        <v>309.57878399999998</v>
      </c>
      <c r="DB16" s="197"/>
      <c r="DC16" s="197">
        <f t="shared" si="58"/>
        <v>309.57878399999998</v>
      </c>
      <c r="DD16" s="197">
        <f t="shared" si="8"/>
        <v>-309.57878399999998</v>
      </c>
      <c r="DE16" s="197">
        <f t="shared" si="9"/>
        <v>-133.628784</v>
      </c>
      <c r="DF16" s="196">
        <f t="shared" si="59"/>
        <v>0</v>
      </c>
      <c r="DG16" s="197">
        <f t="shared" si="60"/>
        <v>150.40279741168024</v>
      </c>
      <c r="DH16" s="197">
        <f t="shared" si="61"/>
        <v>264.6292420170862</v>
      </c>
      <c r="DI16" s="197">
        <f t="shared" si="62"/>
        <v>-264.6292420170862</v>
      </c>
      <c r="DJ16" s="199">
        <f t="shared" si="63"/>
        <v>-114.22644460540594</v>
      </c>
      <c r="DK16" s="196">
        <f t="shared" si="77"/>
        <v>0</v>
      </c>
      <c r="DL16" s="197">
        <f t="shared" si="64"/>
        <v>814.63006470799337</v>
      </c>
      <c r="DM16" s="197">
        <f t="shared" si="65"/>
        <v>7317.2097377148548</v>
      </c>
      <c r="DN16" s="197">
        <f t="shared" si="66"/>
        <v>-7317.2097377148548</v>
      </c>
      <c r="DO16" s="199">
        <f t="shared" si="67"/>
        <v>-6502.5796730068623</v>
      </c>
    </row>
    <row r="17" spans="2:119" x14ac:dyDescent="0.3">
      <c r="B17" s="204">
        <f t="shared" si="68"/>
        <v>6</v>
      </c>
      <c r="C17" s="197">
        <f>'Energy NPV'!$D70*$E$8</f>
        <v>11.617000000000001</v>
      </c>
      <c r="D17" s="197">
        <f>'Energy margins'!$S$12</f>
        <v>72</v>
      </c>
      <c r="E17" s="197">
        <f t="shared" si="10"/>
        <v>836.42400000000009</v>
      </c>
      <c r="F17" s="197">
        <f>'Margins summary'!$U$14</f>
        <v>175.95</v>
      </c>
      <c r="G17" s="197">
        <f t="shared" si="11"/>
        <v>1012.374</v>
      </c>
      <c r="H17" s="197"/>
      <c r="I17" s="918">
        <f>'Energy NPV'!U70</f>
        <v>309.57878399999998</v>
      </c>
      <c r="J17" s="197"/>
      <c r="K17" s="197">
        <f t="shared" si="12"/>
        <v>309.57878399999998</v>
      </c>
      <c r="L17" s="197">
        <f t="shared" si="0"/>
        <v>526.84521600000016</v>
      </c>
      <c r="M17" s="197">
        <f t="shared" si="1"/>
        <v>702.79521599999998</v>
      </c>
      <c r="N17" s="196">
        <f t="shared" si="13"/>
        <v>687.4795583440839</v>
      </c>
      <c r="O17" s="197">
        <f t="shared" si="14"/>
        <v>144.61807443430789</v>
      </c>
      <c r="P17" s="197">
        <f t="shared" si="15"/>
        <v>254.45119424719823</v>
      </c>
      <c r="Q17" s="197">
        <f t="shared" si="16"/>
        <v>433.02836409688575</v>
      </c>
      <c r="R17" s="199">
        <f t="shared" si="17"/>
        <v>577.64643853119355</v>
      </c>
      <c r="S17" s="196">
        <f t="shared" si="69"/>
        <v>3593.3015147706792</v>
      </c>
      <c r="T17" s="197">
        <f t="shared" si="18"/>
        <v>959.24813914230128</v>
      </c>
      <c r="U17" s="197">
        <f t="shared" si="18"/>
        <v>7571.6609319620529</v>
      </c>
      <c r="V17" s="197">
        <f t="shared" si="18"/>
        <v>-3978.3594171913755</v>
      </c>
      <c r="W17" s="199">
        <f t="shared" si="18"/>
        <v>-3019.111278049073</v>
      </c>
      <c r="X17" s="197"/>
      <c r="Z17" s="204">
        <f t="shared" si="70"/>
        <v>6</v>
      </c>
      <c r="AA17" s="197">
        <f t="shared" si="19"/>
        <v>17.4255</v>
      </c>
      <c r="AB17" s="197">
        <f>'Energy margins'!$S$12</f>
        <v>72</v>
      </c>
      <c r="AC17" s="197">
        <f t="shared" si="20"/>
        <v>1254.636</v>
      </c>
      <c r="AD17" s="197">
        <f>'Margins summary'!$U$14</f>
        <v>175.95</v>
      </c>
      <c r="AE17" s="197">
        <f t="shared" si="21"/>
        <v>1430.586</v>
      </c>
      <c r="AF17" s="197"/>
      <c r="AG17" s="918">
        <f>'Energy NPV'!U70</f>
        <v>309.57878399999998</v>
      </c>
      <c r="AH17" s="197"/>
      <c r="AI17" s="197">
        <f t="shared" si="22"/>
        <v>309.57878399999998</v>
      </c>
      <c r="AJ17" s="197">
        <f t="shared" si="2"/>
        <v>945.05721599999993</v>
      </c>
      <c r="AK17" s="197">
        <f t="shared" si="3"/>
        <v>1121.007216</v>
      </c>
      <c r="AL17" s="196">
        <f t="shared" si="23"/>
        <v>1031.2193375161257</v>
      </c>
      <c r="AM17" s="197">
        <f t="shared" si="24"/>
        <v>144.61807443430789</v>
      </c>
      <c r="AN17" s="197">
        <f t="shared" si="25"/>
        <v>254.45119424719823</v>
      </c>
      <c r="AO17" s="197">
        <f t="shared" si="26"/>
        <v>776.76814326892747</v>
      </c>
      <c r="AP17" s="199">
        <f t="shared" si="27"/>
        <v>921.38621770323539</v>
      </c>
      <c r="AQ17" s="196">
        <f t="shared" si="71"/>
        <v>5389.9522721560197</v>
      </c>
      <c r="AR17" s="197">
        <f t="shared" si="28"/>
        <v>959.24813914230128</v>
      </c>
      <c r="AS17" s="197">
        <f t="shared" si="28"/>
        <v>7571.6609319620529</v>
      </c>
      <c r="AT17" s="197">
        <f t="shared" si="28"/>
        <v>-2181.7086598060346</v>
      </c>
      <c r="AU17" s="199">
        <f t="shared" si="28"/>
        <v>-1222.460520663735</v>
      </c>
      <c r="AV17" s="197"/>
      <c r="AX17" s="204">
        <f t="shared" si="72"/>
        <v>6</v>
      </c>
      <c r="AY17" s="197">
        <f t="shared" si="29"/>
        <v>5.8085000000000004</v>
      </c>
      <c r="AZ17" s="197">
        <f>'Energy margins'!$S$12</f>
        <v>72</v>
      </c>
      <c r="BA17" s="197">
        <f t="shared" si="30"/>
        <v>418.21200000000005</v>
      </c>
      <c r="BB17" s="197">
        <f>'Margins summary'!$U$14</f>
        <v>175.95</v>
      </c>
      <c r="BC17" s="197">
        <f t="shared" si="31"/>
        <v>594.16200000000003</v>
      </c>
      <c r="BD17" s="197"/>
      <c r="BE17" s="918">
        <f>'Energy NPV'!U70</f>
        <v>309.57878399999998</v>
      </c>
      <c r="BF17" s="197"/>
      <c r="BG17" s="197">
        <f t="shared" si="32"/>
        <v>309.57878399999998</v>
      </c>
      <c r="BH17" s="197">
        <f t="shared" si="4"/>
        <v>108.63321600000006</v>
      </c>
      <c r="BI17" s="197">
        <f t="shared" si="5"/>
        <v>284.58321600000005</v>
      </c>
      <c r="BJ17" s="196">
        <f t="shared" si="33"/>
        <v>343.73977917204195</v>
      </c>
      <c r="BK17" s="197">
        <f t="shared" si="34"/>
        <v>144.61807443430789</v>
      </c>
      <c r="BL17" s="197">
        <f t="shared" si="35"/>
        <v>254.45119424719823</v>
      </c>
      <c r="BM17" s="197">
        <f t="shared" si="36"/>
        <v>89.288584924843747</v>
      </c>
      <c r="BN17" s="199">
        <f t="shared" si="37"/>
        <v>233.90665935915163</v>
      </c>
      <c r="BO17" s="196">
        <f t="shared" si="73"/>
        <v>1796.6507573853396</v>
      </c>
      <c r="BP17" s="197">
        <f t="shared" si="38"/>
        <v>959.24813914230128</v>
      </c>
      <c r="BQ17" s="197">
        <f t="shared" si="39"/>
        <v>7571.6609319620529</v>
      </c>
      <c r="BR17" s="197">
        <f t="shared" si="40"/>
        <v>-5775.0101745767133</v>
      </c>
      <c r="BS17" s="199">
        <f t="shared" si="41"/>
        <v>-4815.7620354344126</v>
      </c>
      <c r="BT17" s="197"/>
      <c r="BV17" s="204">
        <f t="shared" si="74"/>
        <v>6</v>
      </c>
      <c r="BW17" s="197">
        <f t="shared" si="42"/>
        <v>23.234000000000002</v>
      </c>
      <c r="BX17" s="197">
        <f>'Energy margins'!$S$12</f>
        <v>72</v>
      </c>
      <c r="BY17" s="197">
        <f t="shared" si="43"/>
        <v>1672.8480000000002</v>
      </c>
      <c r="BZ17" s="197">
        <f>'Margins summary'!$U$14</f>
        <v>175.95</v>
      </c>
      <c r="CA17" s="197">
        <f t="shared" si="44"/>
        <v>1848.7980000000002</v>
      </c>
      <c r="CB17" s="197"/>
      <c r="CC17" s="918">
        <f>'Energy NPV'!U70</f>
        <v>309.57878399999998</v>
      </c>
      <c r="CD17" s="197"/>
      <c r="CE17" s="197">
        <f t="shared" si="45"/>
        <v>309.57878399999998</v>
      </c>
      <c r="CF17" s="197">
        <f t="shared" si="6"/>
        <v>1363.2692160000001</v>
      </c>
      <c r="CG17" s="197">
        <f t="shared" si="7"/>
        <v>1539.2192160000002</v>
      </c>
      <c r="CH17" s="196">
        <f t="shared" si="46"/>
        <v>1374.9591166881678</v>
      </c>
      <c r="CI17" s="197">
        <f t="shared" si="47"/>
        <v>144.61807443430789</v>
      </c>
      <c r="CJ17" s="197">
        <f t="shared" si="48"/>
        <v>254.45119424719823</v>
      </c>
      <c r="CK17" s="197">
        <f t="shared" si="49"/>
        <v>1120.5079224409697</v>
      </c>
      <c r="CL17" s="199">
        <f t="shared" si="50"/>
        <v>1265.1259968752775</v>
      </c>
      <c r="CM17" s="196">
        <f t="shared" si="75"/>
        <v>7186.6030295413584</v>
      </c>
      <c r="CN17" s="197">
        <f t="shared" si="51"/>
        <v>959.24813914230128</v>
      </c>
      <c r="CO17" s="197">
        <f t="shared" si="52"/>
        <v>7571.6609319620529</v>
      </c>
      <c r="CP17" s="197">
        <f t="shared" si="53"/>
        <v>-385.05790242069452</v>
      </c>
      <c r="CQ17" s="199">
        <f t="shared" si="54"/>
        <v>574.19023672160688</v>
      </c>
      <c r="CR17" s="197"/>
      <c r="CT17" s="204">
        <f t="shared" si="76"/>
        <v>6</v>
      </c>
      <c r="CU17" s="197">
        <f t="shared" si="55"/>
        <v>0</v>
      </c>
      <c r="CV17" s="197">
        <f>'Energy margins'!$S$12</f>
        <v>72</v>
      </c>
      <c r="CW17" s="197">
        <f t="shared" si="56"/>
        <v>0</v>
      </c>
      <c r="CX17" s="197">
        <f>'Margins summary'!$U$14</f>
        <v>175.95</v>
      </c>
      <c r="CY17" s="197">
        <f t="shared" si="57"/>
        <v>175.95</v>
      </c>
      <c r="CZ17" s="197"/>
      <c r="DA17" s="918">
        <f>'Energy NPV'!U70</f>
        <v>309.57878399999998</v>
      </c>
      <c r="DB17" s="197"/>
      <c r="DC17" s="197">
        <f t="shared" si="58"/>
        <v>309.57878399999998</v>
      </c>
      <c r="DD17" s="197">
        <f t="shared" si="8"/>
        <v>-309.57878399999998</v>
      </c>
      <c r="DE17" s="197">
        <f t="shared" si="9"/>
        <v>-133.628784</v>
      </c>
      <c r="DF17" s="196">
        <f t="shared" si="59"/>
        <v>0</v>
      </c>
      <c r="DG17" s="197">
        <f t="shared" si="60"/>
        <v>144.61807443430789</v>
      </c>
      <c r="DH17" s="197">
        <f t="shared" si="61"/>
        <v>254.45119424719823</v>
      </c>
      <c r="DI17" s="197">
        <f t="shared" si="62"/>
        <v>-254.45119424719823</v>
      </c>
      <c r="DJ17" s="199">
        <f t="shared" si="63"/>
        <v>-109.83311981289033</v>
      </c>
      <c r="DK17" s="196">
        <f t="shared" si="77"/>
        <v>0</v>
      </c>
      <c r="DL17" s="197">
        <f t="shared" si="64"/>
        <v>959.24813914230128</v>
      </c>
      <c r="DM17" s="197">
        <f t="shared" si="65"/>
        <v>7571.6609319620529</v>
      </c>
      <c r="DN17" s="197">
        <f t="shared" si="66"/>
        <v>-7571.6609319620529</v>
      </c>
      <c r="DO17" s="199">
        <f t="shared" si="67"/>
        <v>-6612.4127928197522</v>
      </c>
    </row>
    <row r="18" spans="2:119" x14ac:dyDescent="0.3">
      <c r="B18" s="204">
        <f t="shared" si="68"/>
        <v>7</v>
      </c>
      <c r="C18" s="197">
        <f>'Energy NPV'!$D71*$E$8</f>
        <v>11.617000000000001</v>
      </c>
      <c r="D18" s="197">
        <f>'Energy margins'!$S$12</f>
        <v>72</v>
      </c>
      <c r="E18" s="197">
        <f t="shared" si="10"/>
        <v>836.42400000000009</v>
      </c>
      <c r="F18" s="197">
        <f>'Margins summary'!$U$14</f>
        <v>175.95</v>
      </c>
      <c r="G18" s="197">
        <f t="shared" si="11"/>
        <v>1012.374</v>
      </c>
      <c r="H18" s="197"/>
      <c r="I18" s="918">
        <f>'Energy NPV'!U71</f>
        <v>309.57878399999998</v>
      </c>
      <c r="J18" s="197"/>
      <c r="K18" s="197">
        <f t="shared" si="12"/>
        <v>309.57878399999998</v>
      </c>
      <c r="L18" s="197">
        <f t="shared" si="0"/>
        <v>526.84521600000016</v>
      </c>
      <c r="M18" s="197">
        <f t="shared" si="1"/>
        <v>702.79521599999998</v>
      </c>
      <c r="N18" s="196">
        <f t="shared" si="13"/>
        <v>661.03803686931144</v>
      </c>
      <c r="O18" s="197">
        <f t="shared" si="14"/>
        <v>139.05584080221914</v>
      </c>
      <c r="P18" s="197">
        <f t="shared" si="15"/>
        <v>244.66460985307521</v>
      </c>
      <c r="Q18" s="197">
        <f t="shared" si="16"/>
        <v>416.37342701623629</v>
      </c>
      <c r="R18" s="199">
        <f t="shared" si="17"/>
        <v>555.42926781845529</v>
      </c>
      <c r="S18" s="196">
        <f t="shared" si="69"/>
        <v>4254.3395516399905</v>
      </c>
      <c r="T18" s="197">
        <f t="shared" si="18"/>
        <v>1098.3039799445205</v>
      </c>
      <c r="U18" s="197">
        <f t="shared" si="18"/>
        <v>7816.3255418151284</v>
      </c>
      <c r="V18" s="197">
        <f t="shared" si="18"/>
        <v>-3561.9859901751392</v>
      </c>
      <c r="W18" s="199">
        <f t="shared" si="18"/>
        <v>-2463.6820102306178</v>
      </c>
      <c r="X18" s="197"/>
      <c r="Z18" s="204">
        <f t="shared" si="70"/>
        <v>7</v>
      </c>
      <c r="AA18" s="197">
        <f t="shared" si="19"/>
        <v>17.4255</v>
      </c>
      <c r="AB18" s="197">
        <f>'Energy margins'!$S$12</f>
        <v>72</v>
      </c>
      <c r="AC18" s="197">
        <f t="shared" si="20"/>
        <v>1254.636</v>
      </c>
      <c r="AD18" s="197">
        <f>'Margins summary'!$U$14</f>
        <v>175.95</v>
      </c>
      <c r="AE18" s="197">
        <f t="shared" si="21"/>
        <v>1430.586</v>
      </c>
      <c r="AF18" s="197"/>
      <c r="AG18" s="918">
        <f>'Energy NPV'!U71</f>
        <v>309.57878399999998</v>
      </c>
      <c r="AH18" s="197"/>
      <c r="AI18" s="197">
        <f t="shared" si="22"/>
        <v>309.57878399999998</v>
      </c>
      <c r="AJ18" s="197">
        <f t="shared" si="2"/>
        <v>945.05721599999993</v>
      </c>
      <c r="AK18" s="197">
        <f t="shared" si="3"/>
        <v>1121.007216</v>
      </c>
      <c r="AL18" s="196">
        <f t="shared" si="23"/>
        <v>991.5570553039671</v>
      </c>
      <c r="AM18" s="197">
        <f t="shared" si="24"/>
        <v>139.05584080221914</v>
      </c>
      <c r="AN18" s="197">
        <f t="shared" si="25"/>
        <v>244.66460985307521</v>
      </c>
      <c r="AO18" s="197">
        <f t="shared" si="26"/>
        <v>746.89244545089184</v>
      </c>
      <c r="AP18" s="199">
        <f t="shared" si="27"/>
        <v>885.94828625311095</v>
      </c>
      <c r="AQ18" s="196">
        <f t="shared" si="71"/>
        <v>6381.5093274599867</v>
      </c>
      <c r="AR18" s="197">
        <f t="shared" si="28"/>
        <v>1098.3039799445205</v>
      </c>
      <c r="AS18" s="197">
        <f t="shared" si="28"/>
        <v>7816.3255418151284</v>
      </c>
      <c r="AT18" s="197">
        <f t="shared" si="28"/>
        <v>-1434.8162143551426</v>
      </c>
      <c r="AU18" s="199">
        <f t="shared" si="28"/>
        <v>-336.51223441062405</v>
      </c>
      <c r="AV18" s="197"/>
      <c r="AX18" s="204">
        <f t="shared" si="72"/>
        <v>7</v>
      </c>
      <c r="AY18" s="197">
        <f t="shared" si="29"/>
        <v>5.8085000000000004</v>
      </c>
      <c r="AZ18" s="197">
        <f>'Energy margins'!$S$12</f>
        <v>72</v>
      </c>
      <c r="BA18" s="197">
        <f t="shared" si="30"/>
        <v>418.21200000000005</v>
      </c>
      <c r="BB18" s="197">
        <f>'Margins summary'!$U$14</f>
        <v>175.95</v>
      </c>
      <c r="BC18" s="197">
        <f t="shared" si="31"/>
        <v>594.16200000000003</v>
      </c>
      <c r="BD18" s="197"/>
      <c r="BE18" s="918">
        <f>'Energy NPV'!U71</f>
        <v>309.57878399999998</v>
      </c>
      <c r="BF18" s="197"/>
      <c r="BG18" s="197">
        <f t="shared" si="32"/>
        <v>309.57878399999998</v>
      </c>
      <c r="BH18" s="197">
        <f t="shared" si="4"/>
        <v>108.63321600000006</v>
      </c>
      <c r="BI18" s="197">
        <f t="shared" si="5"/>
        <v>284.58321600000005</v>
      </c>
      <c r="BJ18" s="196">
        <f t="shared" si="33"/>
        <v>330.51901843465572</v>
      </c>
      <c r="BK18" s="197">
        <f t="shared" si="34"/>
        <v>139.05584080221914</v>
      </c>
      <c r="BL18" s="197">
        <f t="shared" si="35"/>
        <v>244.66460985307521</v>
      </c>
      <c r="BM18" s="197">
        <f t="shared" si="36"/>
        <v>85.854408581580529</v>
      </c>
      <c r="BN18" s="199">
        <f t="shared" si="37"/>
        <v>224.91024938379965</v>
      </c>
      <c r="BO18" s="196">
        <f t="shared" si="73"/>
        <v>2127.1697758199953</v>
      </c>
      <c r="BP18" s="197">
        <f t="shared" si="38"/>
        <v>1098.3039799445205</v>
      </c>
      <c r="BQ18" s="197">
        <f t="shared" si="39"/>
        <v>7816.3255418151284</v>
      </c>
      <c r="BR18" s="197">
        <f t="shared" si="40"/>
        <v>-5689.1557659951332</v>
      </c>
      <c r="BS18" s="199">
        <f t="shared" si="41"/>
        <v>-4590.8517860506126</v>
      </c>
      <c r="BT18" s="197"/>
      <c r="BV18" s="204">
        <f t="shared" si="74"/>
        <v>7</v>
      </c>
      <c r="BW18" s="197">
        <f t="shared" si="42"/>
        <v>23.234000000000002</v>
      </c>
      <c r="BX18" s="197">
        <f>'Energy margins'!$S$12</f>
        <v>72</v>
      </c>
      <c r="BY18" s="197">
        <f t="shared" si="43"/>
        <v>1672.8480000000002</v>
      </c>
      <c r="BZ18" s="197">
        <f>'Margins summary'!$U$14</f>
        <v>175.95</v>
      </c>
      <c r="CA18" s="197">
        <f t="shared" si="44"/>
        <v>1848.7980000000002</v>
      </c>
      <c r="CB18" s="197"/>
      <c r="CC18" s="918">
        <f>'Energy NPV'!U71</f>
        <v>309.57878399999998</v>
      </c>
      <c r="CD18" s="197"/>
      <c r="CE18" s="197">
        <f t="shared" si="45"/>
        <v>309.57878399999998</v>
      </c>
      <c r="CF18" s="197">
        <f t="shared" si="6"/>
        <v>1363.2692160000001</v>
      </c>
      <c r="CG18" s="197">
        <f t="shared" si="7"/>
        <v>1539.2192160000002</v>
      </c>
      <c r="CH18" s="196">
        <f t="shared" si="46"/>
        <v>1322.0760737386229</v>
      </c>
      <c r="CI18" s="197">
        <f t="shared" si="47"/>
        <v>139.05584080221914</v>
      </c>
      <c r="CJ18" s="197">
        <f t="shared" si="48"/>
        <v>244.66460985307521</v>
      </c>
      <c r="CK18" s="197">
        <f t="shared" si="49"/>
        <v>1077.4114638855476</v>
      </c>
      <c r="CL18" s="199">
        <f t="shared" si="50"/>
        <v>1216.467304687767</v>
      </c>
      <c r="CM18" s="196">
        <f t="shared" si="75"/>
        <v>8508.6791032799811</v>
      </c>
      <c r="CN18" s="197">
        <f t="shared" si="51"/>
        <v>1098.3039799445205</v>
      </c>
      <c r="CO18" s="197">
        <f t="shared" si="52"/>
        <v>7816.3255418151284</v>
      </c>
      <c r="CP18" s="197">
        <f t="shared" si="53"/>
        <v>692.3535614648531</v>
      </c>
      <c r="CQ18" s="199">
        <f t="shared" si="54"/>
        <v>1790.6575414093738</v>
      </c>
      <c r="CR18" s="197"/>
      <c r="CT18" s="204">
        <f t="shared" si="76"/>
        <v>7</v>
      </c>
      <c r="CU18" s="197">
        <f t="shared" si="55"/>
        <v>0</v>
      </c>
      <c r="CV18" s="197">
        <f>'Energy margins'!$S$12</f>
        <v>72</v>
      </c>
      <c r="CW18" s="197">
        <f t="shared" si="56"/>
        <v>0</v>
      </c>
      <c r="CX18" s="197">
        <f>'Margins summary'!$U$14</f>
        <v>175.95</v>
      </c>
      <c r="CY18" s="197">
        <f t="shared" si="57"/>
        <v>175.95</v>
      </c>
      <c r="CZ18" s="197"/>
      <c r="DA18" s="918">
        <f>'Energy NPV'!U71</f>
        <v>309.57878399999998</v>
      </c>
      <c r="DB18" s="197"/>
      <c r="DC18" s="197">
        <f t="shared" si="58"/>
        <v>309.57878399999998</v>
      </c>
      <c r="DD18" s="197">
        <f t="shared" si="8"/>
        <v>-309.57878399999998</v>
      </c>
      <c r="DE18" s="197">
        <f t="shared" si="9"/>
        <v>-133.628784</v>
      </c>
      <c r="DF18" s="196">
        <f t="shared" si="59"/>
        <v>0</v>
      </c>
      <c r="DG18" s="197">
        <f t="shared" si="60"/>
        <v>139.05584080221914</v>
      </c>
      <c r="DH18" s="197">
        <f t="shared" si="61"/>
        <v>244.66460985307521</v>
      </c>
      <c r="DI18" s="197">
        <f t="shared" si="62"/>
        <v>-244.66460985307521</v>
      </c>
      <c r="DJ18" s="199">
        <f t="shared" si="63"/>
        <v>-105.60876905085608</v>
      </c>
      <c r="DK18" s="196">
        <f t="shared" si="77"/>
        <v>0</v>
      </c>
      <c r="DL18" s="197">
        <f t="shared" si="64"/>
        <v>1098.3039799445205</v>
      </c>
      <c r="DM18" s="197">
        <f t="shared" si="65"/>
        <v>7816.3255418151284</v>
      </c>
      <c r="DN18" s="197">
        <f t="shared" si="66"/>
        <v>-7816.3255418151284</v>
      </c>
      <c r="DO18" s="199">
        <f t="shared" si="67"/>
        <v>-6718.0215618706079</v>
      </c>
    </row>
    <row r="19" spans="2:119" x14ac:dyDescent="0.3">
      <c r="B19" s="204">
        <f t="shared" si="68"/>
        <v>8</v>
      </c>
      <c r="C19" s="197">
        <f>'Energy NPV'!$D72*$E$8</f>
        <v>11.617000000000001</v>
      </c>
      <c r="D19" s="197">
        <f>'Energy margins'!$S$12</f>
        <v>72</v>
      </c>
      <c r="E19" s="197">
        <f t="shared" si="10"/>
        <v>836.42400000000009</v>
      </c>
      <c r="F19" s="197">
        <f>'Margins summary'!$U$14</f>
        <v>175.95</v>
      </c>
      <c r="G19" s="197">
        <f t="shared" si="11"/>
        <v>1012.374</v>
      </c>
      <c r="H19" s="197"/>
      <c r="I19" s="918">
        <f>'Energy NPV'!U72</f>
        <v>309.57878399999998</v>
      </c>
      <c r="J19" s="197"/>
      <c r="K19" s="197">
        <f t="shared" si="12"/>
        <v>309.57878399999998</v>
      </c>
      <c r="L19" s="197">
        <f t="shared" si="0"/>
        <v>526.84521600000016</v>
      </c>
      <c r="M19" s="197">
        <f t="shared" si="1"/>
        <v>702.79521599999998</v>
      </c>
      <c r="N19" s="196">
        <f t="shared" si="13"/>
        <v>635.61349698972265</v>
      </c>
      <c r="O19" s="197">
        <f t="shared" si="14"/>
        <v>133.70753923290303</v>
      </c>
      <c r="P19" s="197">
        <f t="shared" si="15"/>
        <v>235.25443255103389</v>
      </c>
      <c r="Q19" s="197">
        <f t="shared" si="16"/>
        <v>400.35906443868879</v>
      </c>
      <c r="R19" s="199">
        <f t="shared" si="17"/>
        <v>534.06660367159168</v>
      </c>
      <c r="S19" s="196">
        <f t="shared" si="69"/>
        <v>4889.9530486297135</v>
      </c>
      <c r="T19" s="197">
        <f t="shared" si="18"/>
        <v>1232.0115191774235</v>
      </c>
      <c r="U19" s="197">
        <f t="shared" si="18"/>
        <v>8051.5799743661619</v>
      </c>
      <c r="V19" s="197">
        <f t="shared" si="18"/>
        <v>-3161.6269257364506</v>
      </c>
      <c r="W19" s="199">
        <f t="shared" si="18"/>
        <v>-1929.6154065590263</v>
      </c>
      <c r="X19" s="197"/>
      <c r="Z19" s="204">
        <f t="shared" si="70"/>
        <v>8</v>
      </c>
      <c r="AA19" s="197">
        <f t="shared" si="19"/>
        <v>17.4255</v>
      </c>
      <c r="AB19" s="197">
        <f>'Energy margins'!$S$12</f>
        <v>72</v>
      </c>
      <c r="AC19" s="197">
        <f t="shared" si="20"/>
        <v>1254.636</v>
      </c>
      <c r="AD19" s="197">
        <f>'Margins summary'!$U$14</f>
        <v>175.95</v>
      </c>
      <c r="AE19" s="197">
        <f t="shared" si="21"/>
        <v>1430.586</v>
      </c>
      <c r="AF19" s="197"/>
      <c r="AG19" s="918">
        <f>'Energy NPV'!U72</f>
        <v>309.57878399999998</v>
      </c>
      <c r="AH19" s="197"/>
      <c r="AI19" s="197">
        <f t="shared" si="22"/>
        <v>309.57878399999998</v>
      </c>
      <c r="AJ19" s="197">
        <f t="shared" si="2"/>
        <v>945.05721599999993</v>
      </c>
      <c r="AK19" s="197">
        <f t="shared" si="3"/>
        <v>1121.007216</v>
      </c>
      <c r="AL19" s="196">
        <f t="shared" si="23"/>
        <v>953.4202454845838</v>
      </c>
      <c r="AM19" s="197">
        <f t="shared" si="24"/>
        <v>133.70753923290303</v>
      </c>
      <c r="AN19" s="197">
        <f t="shared" si="25"/>
        <v>235.25443255103389</v>
      </c>
      <c r="AO19" s="197">
        <f t="shared" si="26"/>
        <v>718.16581293354989</v>
      </c>
      <c r="AP19" s="199">
        <f t="shared" si="27"/>
        <v>851.87335216645295</v>
      </c>
      <c r="AQ19" s="196">
        <f t="shared" si="71"/>
        <v>7334.9295729445703</v>
      </c>
      <c r="AR19" s="197">
        <f t="shared" si="28"/>
        <v>1232.0115191774235</v>
      </c>
      <c r="AS19" s="197">
        <f t="shared" si="28"/>
        <v>8051.5799743661619</v>
      </c>
      <c r="AT19" s="197">
        <f t="shared" si="28"/>
        <v>-716.65040142159273</v>
      </c>
      <c r="AU19" s="199">
        <f t="shared" si="28"/>
        <v>515.3611177558289</v>
      </c>
      <c r="AV19" s="197"/>
      <c r="AX19" s="204">
        <f t="shared" si="72"/>
        <v>8</v>
      </c>
      <c r="AY19" s="197">
        <f t="shared" si="29"/>
        <v>5.8085000000000004</v>
      </c>
      <c r="AZ19" s="197">
        <f>'Energy margins'!$S$12</f>
        <v>72</v>
      </c>
      <c r="BA19" s="197">
        <f t="shared" si="30"/>
        <v>418.21200000000005</v>
      </c>
      <c r="BB19" s="197">
        <f>'Margins summary'!$U$14</f>
        <v>175.95</v>
      </c>
      <c r="BC19" s="197">
        <f t="shared" si="31"/>
        <v>594.16200000000003</v>
      </c>
      <c r="BD19" s="197"/>
      <c r="BE19" s="918">
        <f>'Energy NPV'!U72</f>
        <v>309.57878399999998</v>
      </c>
      <c r="BF19" s="197"/>
      <c r="BG19" s="197">
        <f t="shared" si="32"/>
        <v>309.57878399999998</v>
      </c>
      <c r="BH19" s="197">
        <f t="shared" si="4"/>
        <v>108.63321600000006</v>
      </c>
      <c r="BI19" s="197">
        <f t="shared" si="5"/>
        <v>284.58321600000005</v>
      </c>
      <c r="BJ19" s="196">
        <f t="shared" si="33"/>
        <v>317.80674849486132</v>
      </c>
      <c r="BK19" s="197">
        <f t="shared" si="34"/>
        <v>133.70753923290303</v>
      </c>
      <c r="BL19" s="197">
        <f t="shared" si="35"/>
        <v>235.25443255103389</v>
      </c>
      <c r="BM19" s="197">
        <f t="shared" si="36"/>
        <v>82.552315943827438</v>
      </c>
      <c r="BN19" s="199">
        <f t="shared" si="37"/>
        <v>216.25985517673047</v>
      </c>
      <c r="BO19" s="196">
        <f t="shared" si="73"/>
        <v>2444.9765243148568</v>
      </c>
      <c r="BP19" s="197">
        <f t="shared" si="38"/>
        <v>1232.0115191774235</v>
      </c>
      <c r="BQ19" s="197">
        <f t="shared" si="39"/>
        <v>8051.5799743661619</v>
      </c>
      <c r="BR19" s="197">
        <f t="shared" si="40"/>
        <v>-5606.603450051306</v>
      </c>
      <c r="BS19" s="199">
        <f t="shared" si="41"/>
        <v>-4374.5919308738821</v>
      </c>
      <c r="BT19" s="197"/>
      <c r="BV19" s="204">
        <f t="shared" si="74"/>
        <v>8</v>
      </c>
      <c r="BW19" s="197">
        <f t="shared" si="42"/>
        <v>23.234000000000002</v>
      </c>
      <c r="BX19" s="197">
        <f>'Energy margins'!$S$12</f>
        <v>72</v>
      </c>
      <c r="BY19" s="197">
        <f t="shared" si="43"/>
        <v>1672.8480000000002</v>
      </c>
      <c r="BZ19" s="197">
        <f>'Margins summary'!$U$14</f>
        <v>175.95</v>
      </c>
      <c r="CA19" s="197">
        <f t="shared" si="44"/>
        <v>1848.7980000000002</v>
      </c>
      <c r="CB19" s="197"/>
      <c r="CC19" s="918">
        <f>'Energy NPV'!U72</f>
        <v>309.57878399999998</v>
      </c>
      <c r="CD19" s="197"/>
      <c r="CE19" s="197">
        <f t="shared" si="45"/>
        <v>309.57878399999998</v>
      </c>
      <c r="CF19" s="197">
        <f t="shared" si="6"/>
        <v>1363.2692160000001</v>
      </c>
      <c r="CG19" s="197">
        <f t="shared" si="7"/>
        <v>1539.2192160000002</v>
      </c>
      <c r="CH19" s="196">
        <f t="shared" si="46"/>
        <v>1271.2269939794453</v>
      </c>
      <c r="CI19" s="197">
        <f t="shared" si="47"/>
        <v>133.70753923290303</v>
      </c>
      <c r="CJ19" s="197">
        <f t="shared" si="48"/>
        <v>235.25443255103389</v>
      </c>
      <c r="CK19" s="197">
        <f t="shared" si="49"/>
        <v>1035.9725614284114</v>
      </c>
      <c r="CL19" s="199">
        <f t="shared" si="50"/>
        <v>1169.6801006613143</v>
      </c>
      <c r="CM19" s="196">
        <f t="shared" si="75"/>
        <v>9779.906097259427</v>
      </c>
      <c r="CN19" s="197">
        <f t="shared" si="51"/>
        <v>1232.0115191774235</v>
      </c>
      <c r="CO19" s="197">
        <f t="shared" si="52"/>
        <v>8051.5799743661619</v>
      </c>
      <c r="CP19" s="197">
        <f t="shared" si="53"/>
        <v>1728.3261228932645</v>
      </c>
      <c r="CQ19" s="199">
        <f t="shared" si="54"/>
        <v>2960.3376420706882</v>
      </c>
      <c r="CR19" s="197"/>
      <c r="CT19" s="204">
        <f t="shared" si="76"/>
        <v>8</v>
      </c>
      <c r="CU19" s="197">
        <f t="shared" si="55"/>
        <v>0</v>
      </c>
      <c r="CV19" s="197">
        <f>'Energy margins'!$S$12</f>
        <v>72</v>
      </c>
      <c r="CW19" s="197">
        <f t="shared" si="56"/>
        <v>0</v>
      </c>
      <c r="CX19" s="197">
        <f>'Margins summary'!$U$14</f>
        <v>175.95</v>
      </c>
      <c r="CY19" s="197">
        <f t="shared" si="57"/>
        <v>175.95</v>
      </c>
      <c r="CZ19" s="197"/>
      <c r="DA19" s="918">
        <f>'Energy NPV'!U72</f>
        <v>309.57878399999998</v>
      </c>
      <c r="DB19" s="197"/>
      <c r="DC19" s="197">
        <f t="shared" si="58"/>
        <v>309.57878399999998</v>
      </c>
      <c r="DD19" s="197">
        <f t="shared" si="8"/>
        <v>-309.57878399999998</v>
      </c>
      <c r="DE19" s="197">
        <f t="shared" si="9"/>
        <v>-133.628784</v>
      </c>
      <c r="DF19" s="196">
        <f t="shared" si="59"/>
        <v>0</v>
      </c>
      <c r="DG19" s="197">
        <f t="shared" si="60"/>
        <v>133.70753923290303</v>
      </c>
      <c r="DH19" s="197">
        <f t="shared" si="61"/>
        <v>235.25443255103389</v>
      </c>
      <c r="DI19" s="197">
        <f t="shared" si="62"/>
        <v>-235.25443255103389</v>
      </c>
      <c r="DJ19" s="199">
        <f t="shared" si="63"/>
        <v>-101.54689331813086</v>
      </c>
      <c r="DK19" s="196">
        <f t="shared" si="77"/>
        <v>0</v>
      </c>
      <c r="DL19" s="197">
        <f t="shared" si="64"/>
        <v>1232.0115191774235</v>
      </c>
      <c r="DM19" s="197">
        <f t="shared" si="65"/>
        <v>8051.5799743661619</v>
      </c>
      <c r="DN19" s="197">
        <f t="shared" si="66"/>
        <v>-8051.5799743661619</v>
      </c>
      <c r="DO19" s="199">
        <f t="shared" si="67"/>
        <v>-6819.5684551887389</v>
      </c>
    </row>
    <row r="20" spans="2:119" x14ac:dyDescent="0.3">
      <c r="B20" s="204">
        <f t="shared" si="68"/>
        <v>9</v>
      </c>
      <c r="C20" s="197">
        <f>'Energy NPV'!$D73*$E$8</f>
        <v>11.617000000000001</v>
      </c>
      <c r="D20" s="197">
        <f>'Energy margins'!$S$12</f>
        <v>72</v>
      </c>
      <c r="E20" s="197">
        <f t="shared" si="10"/>
        <v>836.42400000000009</v>
      </c>
      <c r="F20" s="197">
        <f>'Margins summary'!$U$14</f>
        <v>175.95</v>
      </c>
      <c r="G20" s="197">
        <f t="shared" si="11"/>
        <v>1012.374</v>
      </c>
      <c r="H20" s="197"/>
      <c r="I20" s="918">
        <f>'Energy NPV'!U73</f>
        <v>309.57878399999998</v>
      </c>
      <c r="J20" s="197"/>
      <c r="K20" s="197">
        <f t="shared" si="12"/>
        <v>309.57878399999998</v>
      </c>
      <c r="L20" s="197">
        <f t="shared" si="0"/>
        <v>526.84521600000016</v>
      </c>
      <c r="M20" s="197">
        <f t="shared" si="1"/>
        <v>702.79521599999998</v>
      </c>
      <c r="N20" s="196">
        <f t="shared" si="13"/>
        <v>611.1668240285793</v>
      </c>
      <c r="O20" s="197">
        <f t="shared" si="14"/>
        <v>128.56494157009902</v>
      </c>
      <c r="P20" s="197">
        <f t="shared" si="15"/>
        <v>226.20618514522485</v>
      </c>
      <c r="Q20" s="197">
        <f t="shared" si="16"/>
        <v>384.96063888335453</v>
      </c>
      <c r="R20" s="199">
        <f t="shared" si="17"/>
        <v>513.52558045345347</v>
      </c>
      <c r="S20" s="196">
        <f t="shared" si="69"/>
        <v>5501.1198726582925</v>
      </c>
      <c r="T20" s="197">
        <f t="shared" si="18"/>
        <v>1360.5764607475226</v>
      </c>
      <c r="U20" s="197">
        <f t="shared" si="18"/>
        <v>8277.7861595113864</v>
      </c>
      <c r="V20" s="197">
        <f t="shared" si="18"/>
        <v>-2776.6662868530962</v>
      </c>
      <c r="W20" s="199">
        <f t="shared" si="18"/>
        <v>-1416.0898261055727</v>
      </c>
      <c r="X20" s="197"/>
      <c r="Z20" s="204">
        <f t="shared" si="70"/>
        <v>9</v>
      </c>
      <c r="AA20" s="197">
        <f t="shared" si="19"/>
        <v>17.4255</v>
      </c>
      <c r="AB20" s="197">
        <f>'Energy margins'!$S$12</f>
        <v>72</v>
      </c>
      <c r="AC20" s="197">
        <f t="shared" si="20"/>
        <v>1254.636</v>
      </c>
      <c r="AD20" s="197">
        <f>'Margins summary'!$U$14</f>
        <v>175.95</v>
      </c>
      <c r="AE20" s="197">
        <f t="shared" si="21"/>
        <v>1430.586</v>
      </c>
      <c r="AF20" s="197"/>
      <c r="AG20" s="918">
        <f>'Energy NPV'!U73</f>
        <v>309.57878399999998</v>
      </c>
      <c r="AH20" s="197"/>
      <c r="AI20" s="197">
        <f t="shared" si="22"/>
        <v>309.57878399999998</v>
      </c>
      <c r="AJ20" s="197">
        <f t="shared" si="2"/>
        <v>945.05721599999993</v>
      </c>
      <c r="AK20" s="197">
        <f t="shared" si="3"/>
        <v>1121.007216</v>
      </c>
      <c r="AL20" s="196">
        <f t="shared" si="23"/>
        <v>916.75023604286889</v>
      </c>
      <c r="AM20" s="197">
        <f t="shared" si="24"/>
        <v>128.56494157009902</v>
      </c>
      <c r="AN20" s="197">
        <f t="shared" si="25"/>
        <v>226.20618514522485</v>
      </c>
      <c r="AO20" s="197">
        <f t="shared" si="26"/>
        <v>690.54405089764396</v>
      </c>
      <c r="AP20" s="199">
        <f t="shared" si="27"/>
        <v>819.10899246774306</v>
      </c>
      <c r="AQ20" s="196">
        <f t="shared" si="71"/>
        <v>8251.6798089874392</v>
      </c>
      <c r="AR20" s="197">
        <f t="shared" si="28"/>
        <v>1360.5764607475226</v>
      </c>
      <c r="AS20" s="197">
        <f t="shared" si="28"/>
        <v>8277.7861595113864</v>
      </c>
      <c r="AT20" s="197">
        <f t="shared" si="28"/>
        <v>-26.106350523948777</v>
      </c>
      <c r="AU20" s="199">
        <f t="shared" si="28"/>
        <v>1334.470110223572</v>
      </c>
      <c r="AV20" s="197"/>
      <c r="AX20" s="204">
        <f t="shared" si="72"/>
        <v>9</v>
      </c>
      <c r="AY20" s="197">
        <f t="shared" si="29"/>
        <v>5.8085000000000004</v>
      </c>
      <c r="AZ20" s="197">
        <f>'Energy margins'!$S$12</f>
        <v>72</v>
      </c>
      <c r="BA20" s="197">
        <f t="shared" si="30"/>
        <v>418.21200000000005</v>
      </c>
      <c r="BB20" s="197">
        <f>'Margins summary'!$U$14</f>
        <v>175.95</v>
      </c>
      <c r="BC20" s="197">
        <f t="shared" si="31"/>
        <v>594.16200000000003</v>
      </c>
      <c r="BD20" s="197"/>
      <c r="BE20" s="918">
        <f>'Energy NPV'!U73</f>
        <v>309.57878399999998</v>
      </c>
      <c r="BF20" s="197"/>
      <c r="BG20" s="197">
        <f t="shared" si="32"/>
        <v>309.57878399999998</v>
      </c>
      <c r="BH20" s="197">
        <f t="shared" si="4"/>
        <v>108.63321600000006</v>
      </c>
      <c r="BI20" s="197">
        <f t="shared" si="5"/>
        <v>284.58321600000005</v>
      </c>
      <c r="BJ20" s="196">
        <f t="shared" si="33"/>
        <v>305.58341201428965</v>
      </c>
      <c r="BK20" s="197">
        <f t="shared" si="34"/>
        <v>128.56494157009902</v>
      </c>
      <c r="BL20" s="197">
        <f t="shared" si="35"/>
        <v>226.20618514522485</v>
      </c>
      <c r="BM20" s="197">
        <f t="shared" si="36"/>
        <v>79.377226869064827</v>
      </c>
      <c r="BN20" s="199">
        <f t="shared" si="37"/>
        <v>207.94216843916388</v>
      </c>
      <c r="BO20" s="196">
        <f t="shared" si="73"/>
        <v>2750.5599363291462</v>
      </c>
      <c r="BP20" s="197">
        <f t="shared" si="38"/>
        <v>1360.5764607475226</v>
      </c>
      <c r="BQ20" s="197">
        <f t="shared" si="39"/>
        <v>8277.7861595113864</v>
      </c>
      <c r="BR20" s="197">
        <f t="shared" si="40"/>
        <v>-5527.2262231822415</v>
      </c>
      <c r="BS20" s="199">
        <f t="shared" si="41"/>
        <v>-4166.6497624347185</v>
      </c>
      <c r="BT20" s="197"/>
      <c r="BV20" s="204">
        <f t="shared" si="74"/>
        <v>9</v>
      </c>
      <c r="BW20" s="197">
        <f t="shared" si="42"/>
        <v>23.234000000000002</v>
      </c>
      <c r="BX20" s="197">
        <f>'Energy margins'!$S$12</f>
        <v>72</v>
      </c>
      <c r="BY20" s="197">
        <f t="shared" si="43"/>
        <v>1672.8480000000002</v>
      </c>
      <c r="BZ20" s="197">
        <f>'Margins summary'!$U$14</f>
        <v>175.95</v>
      </c>
      <c r="CA20" s="197">
        <f t="shared" si="44"/>
        <v>1848.7980000000002</v>
      </c>
      <c r="CB20" s="197"/>
      <c r="CC20" s="918">
        <f>'Energy NPV'!U73</f>
        <v>309.57878399999998</v>
      </c>
      <c r="CD20" s="197"/>
      <c r="CE20" s="197">
        <f t="shared" si="45"/>
        <v>309.57878399999998</v>
      </c>
      <c r="CF20" s="197">
        <f t="shared" si="6"/>
        <v>1363.2692160000001</v>
      </c>
      <c r="CG20" s="197">
        <f t="shared" si="7"/>
        <v>1539.2192160000002</v>
      </c>
      <c r="CH20" s="196">
        <f t="shared" si="46"/>
        <v>1222.3336480571586</v>
      </c>
      <c r="CI20" s="197">
        <f t="shared" si="47"/>
        <v>128.56494157009902</v>
      </c>
      <c r="CJ20" s="197">
        <f t="shared" si="48"/>
        <v>226.20618514522485</v>
      </c>
      <c r="CK20" s="197">
        <f t="shared" si="49"/>
        <v>996.12746291193378</v>
      </c>
      <c r="CL20" s="199">
        <f t="shared" si="50"/>
        <v>1124.6924044820328</v>
      </c>
      <c r="CM20" s="196">
        <f t="shared" si="75"/>
        <v>11002.239745316585</v>
      </c>
      <c r="CN20" s="197">
        <f t="shared" si="51"/>
        <v>1360.5764607475226</v>
      </c>
      <c r="CO20" s="197">
        <f t="shared" si="52"/>
        <v>8277.7861595113864</v>
      </c>
      <c r="CP20" s="197">
        <f t="shared" si="53"/>
        <v>2724.4535858051981</v>
      </c>
      <c r="CQ20" s="199">
        <f t="shared" si="54"/>
        <v>4085.0300465527207</v>
      </c>
      <c r="CR20" s="197"/>
      <c r="CT20" s="204">
        <f t="shared" si="76"/>
        <v>9</v>
      </c>
      <c r="CU20" s="197">
        <f t="shared" si="55"/>
        <v>0</v>
      </c>
      <c r="CV20" s="197">
        <f>'Energy margins'!$S$12</f>
        <v>72</v>
      </c>
      <c r="CW20" s="197">
        <f t="shared" si="56"/>
        <v>0</v>
      </c>
      <c r="CX20" s="197">
        <f>'Margins summary'!$U$14</f>
        <v>175.95</v>
      </c>
      <c r="CY20" s="197">
        <f t="shared" si="57"/>
        <v>175.95</v>
      </c>
      <c r="CZ20" s="197"/>
      <c r="DA20" s="918">
        <f>'Energy NPV'!U73</f>
        <v>309.57878399999998</v>
      </c>
      <c r="DB20" s="197"/>
      <c r="DC20" s="197">
        <f t="shared" si="58"/>
        <v>309.57878399999998</v>
      </c>
      <c r="DD20" s="197">
        <f t="shared" si="8"/>
        <v>-309.57878399999998</v>
      </c>
      <c r="DE20" s="197">
        <f t="shared" si="9"/>
        <v>-133.628784</v>
      </c>
      <c r="DF20" s="196">
        <f t="shared" si="59"/>
        <v>0</v>
      </c>
      <c r="DG20" s="197">
        <f t="shared" si="60"/>
        <v>128.56494157009902</v>
      </c>
      <c r="DH20" s="197">
        <f t="shared" si="61"/>
        <v>226.20618514522485</v>
      </c>
      <c r="DI20" s="197">
        <f t="shared" si="62"/>
        <v>-226.20618514522485</v>
      </c>
      <c r="DJ20" s="199">
        <f t="shared" si="63"/>
        <v>-97.641243575125813</v>
      </c>
      <c r="DK20" s="196">
        <f t="shared" si="77"/>
        <v>0</v>
      </c>
      <c r="DL20" s="197">
        <f t="shared" si="64"/>
        <v>1360.5764607475226</v>
      </c>
      <c r="DM20" s="197">
        <f t="shared" si="65"/>
        <v>8277.7861595113864</v>
      </c>
      <c r="DN20" s="197">
        <f t="shared" si="66"/>
        <v>-8277.7861595113864</v>
      </c>
      <c r="DO20" s="199">
        <f t="shared" si="67"/>
        <v>-6917.2096987638643</v>
      </c>
    </row>
    <row r="21" spans="2:119" x14ac:dyDescent="0.3">
      <c r="B21" s="204">
        <f t="shared" si="68"/>
        <v>10</v>
      </c>
      <c r="C21" s="197">
        <f>'Energy NPV'!$D74*$E$8</f>
        <v>11.617000000000001</v>
      </c>
      <c r="D21" s="197">
        <f>'Energy margins'!$S$12</f>
        <v>72</v>
      </c>
      <c r="E21" s="197">
        <f t="shared" si="10"/>
        <v>836.42400000000009</v>
      </c>
      <c r="F21" s="197">
        <f>'Margins summary'!$U$14</f>
        <v>175.95</v>
      </c>
      <c r="G21" s="197">
        <f t="shared" si="11"/>
        <v>1012.374</v>
      </c>
      <c r="H21" s="197"/>
      <c r="I21" s="918">
        <f>'Energy NPV'!U74</f>
        <v>309.57878399999998</v>
      </c>
      <c r="J21" s="197"/>
      <c r="K21" s="197">
        <f t="shared" si="12"/>
        <v>309.57878399999998</v>
      </c>
      <c r="L21" s="197">
        <f t="shared" si="0"/>
        <v>526.84521600000016</v>
      </c>
      <c r="M21" s="197">
        <f t="shared" si="1"/>
        <v>702.79521599999998</v>
      </c>
      <c r="N21" s="196">
        <f t="shared" si="13"/>
        <v>587.66040771978783</v>
      </c>
      <c r="O21" s="197">
        <f t="shared" si="14"/>
        <v>123.62013612509521</v>
      </c>
      <c r="P21" s="197">
        <f t="shared" si="15"/>
        <v>217.50594725502387</v>
      </c>
      <c r="Q21" s="197">
        <f t="shared" si="16"/>
        <v>370.15446046476393</v>
      </c>
      <c r="R21" s="199">
        <f t="shared" si="17"/>
        <v>493.77459658985907</v>
      </c>
      <c r="S21" s="196">
        <f t="shared" si="69"/>
        <v>6088.7802803780805</v>
      </c>
      <c r="T21" s="197">
        <f t="shared" si="18"/>
        <v>1484.1965968726179</v>
      </c>
      <c r="U21" s="197">
        <f t="shared" si="18"/>
        <v>8495.2921067664101</v>
      </c>
      <c r="V21" s="197">
        <f t="shared" si="18"/>
        <v>-2406.5118263883323</v>
      </c>
      <c r="W21" s="199">
        <f t="shared" si="18"/>
        <v>-922.31522951571355</v>
      </c>
      <c r="X21" s="197"/>
      <c r="Z21" s="204">
        <f t="shared" si="70"/>
        <v>10</v>
      </c>
      <c r="AA21" s="197">
        <f t="shared" si="19"/>
        <v>17.4255</v>
      </c>
      <c r="AB21" s="197">
        <f>'Energy margins'!$S$12</f>
        <v>72</v>
      </c>
      <c r="AC21" s="197">
        <f t="shared" si="20"/>
        <v>1254.636</v>
      </c>
      <c r="AD21" s="197">
        <f>'Margins summary'!$U$14</f>
        <v>175.95</v>
      </c>
      <c r="AE21" s="197">
        <f t="shared" si="21"/>
        <v>1430.586</v>
      </c>
      <c r="AF21" s="197"/>
      <c r="AG21" s="918">
        <f>'Energy NPV'!U74</f>
        <v>309.57878399999998</v>
      </c>
      <c r="AH21" s="197"/>
      <c r="AI21" s="197">
        <f t="shared" si="22"/>
        <v>309.57878399999998</v>
      </c>
      <c r="AJ21" s="197">
        <f t="shared" si="2"/>
        <v>945.05721599999993</v>
      </c>
      <c r="AK21" s="197">
        <f t="shared" si="3"/>
        <v>1121.007216</v>
      </c>
      <c r="AL21" s="196">
        <f t="shared" si="23"/>
        <v>881.49061157968151</v>
      </c>
      <c r="AM21" s="197">
        <f t="shared" si="24"/>
        <v>123.62013612509521</v>
      </c>
      <c r="AN21" s="197">
        <f t="shared" si="25"/>
        <v>217.50594725502387</v>
      </c>
      <c r="AO21" s="197">
        <f t="shared" si="26"/>
        <v>663.98466432465761</v>
      </c>
      <c r="AP21" s="199">
        <f t="shared" si="27"/>
        <v>787.60480044975293</v>
      </c>
      <c r="AQ21" s="196">
        <f t="shared" si="71"/>
        <v>9133.1704205671213</v>
      </c>
      <c r="AR21" s="197">
        <f t="shared" si="28"/>
        <v>1484.1965968726179</v>
      </c>
      <c r="AS21" s="197">
        <f t="shared" si="28"/>
        <v>8495.2921067664101</v>
      </c>
      <c r="AT21" s="197">
        <f t="shared" si="28"/>
        <v>637.87831380070884</v>
      </c>
      <c r="AU21" s="199">
        <f t="shared" si="28"/>
        <v>2122.0749106733247</v>
      </c>
      <c r="AV21" s="197"/>
      <c r="AX21" s="204">
        <f t="shared" si="72"/>
        <v>10</v>
      </c>
      <c r="AY21" s="197">
        <f t="shared" si="29"/>
        <v>5.8085000000000004</v>
      </c>
      <c r="AZ21" s="197">
        <f>'Energy margins'!$S$12</f>
        <v>72</v>
      </c>
      <c r="BA21" s="197">
        <f t="shared" si="30"/>
        <v>418.21200000000005</v>
      </c>
      <c r="BB21" s="197">
        <f>'Margins summary'!$U$14</f>
        <v>175.95</v>
      </c>
      <c r="BC21" s="197">
        <f t="shared" si="31"/>
        <v>594.16200000000003</v>
      </c>
      <c r="BD21" s="197"/>
      <c r="BE21" s="918">
        <f>'Energy NPV'!U74</f>
        <v>309.57878399999998</v>
      </c>
      <c r="BF21" s="197"/>
      <c r="BG21" s="197">
        <f t="shared" si="32"/>
        <v>309.57878399999998</v>
      </c>
      <c r="BH21" s="197">
        <f t="shared" si="4"/>
        <v>108.63321600000006</v>
      </c>
      <c r="BI21" s="197">
        <f t="shared" si="5"/>
        <v>284.58321600000005</v>
      </c>
      <c r="BJ21" s="196">
        <f t="shared" si="33"/>
        <v>293.83020385989391</v>
      </c>
      <c r="BK21" s="197">
        <f t="shared" si="34"/>
        <v>123.62013612509521</v>
      </c>
      <c r="BL21" s="197">
        <f t="shared" si="35"/>
        <v>217.50594725502387</v>
      </c>
      <c r="BM21" s="197">
        <f t="shared" si="36"/>
        <v>76.324256604870016</v>
      </c>
      <c r="BN21" s="199">
        <f t="shared" si="37"/>
        <v>199.94439272996524</v>
      </c>
      <c r="BO21" s="196">
        <f t="shared" si="73"/>
        <v>3044.3901401890403</v>
      </c>
      <c r="BP21" s="197">
        <f t="shared" si="38"/>
        <v>1484.1965968726179</v>
      </c>
      <c r="BQ21" s="197">
        <f t="shared" si="39"/>
        <v>8495.2921067664101</v>
      </c>
      <c r="BR21" s="197">
        <f t="shared" si="40"/>
        <v>-5450.9019665773712</v>
      </c>
      <c r="BS21" s="199">
        <f t="shared" si="41"/>
        <v>-3966.7053697047531</v>
      </c>
      <c r="BT21" s="197"/>
      <c r="BV21" s="204">
        <f t="shared" si="74"/>
        <v>10</v>
      </c>
      <c r="BW21" s="197">
        <f t="shared" si="42"/>
        <v>23.234000000000002</v>
      </c>
      <c r="BX21" s="197">
        <f>'Energy margins'!$S$12</f>
        <v>72</v>
      </c>
      <c r="BY21" s="197">
        <f t="shared" si="43"/>
        <v>1672.8480000000002</v>
      </c>
      <c r="BZ21" s="197">
        <f>'Margins summary'!$U$14</f>
        <v>175.95</v>
      </c>
      <c r="CA21" s="197">
        <f t="shared" si="44"/>
        <v>1848.7980000000002</v>
      </c>
      <c r="CB21" s="197"/>
      <c r="CC21" s="918">
        <f>'Energy NPV'!U74</f>
        <v>309.57878399999998</v>
      </c>
      <c r="CD21" s="197"/>
      <c r="CE21" s="197">
        <f t="shared" si="45"/>
        <v>309.57878399999998</v>
      </c>
      <c r="CF21" s="197">
        <f t="shared" si="6"/>
        <v>1363.2692160000001</v>
      </c>
      <c r="CG21" s="197">
        <f t="shared" si="7"/>
        <v>1539.2192160000002</v>
      </c>
      <c r="CH21" s="196">
        <f t="shared" si="46"/>
        <v>1175.3208154395757</v>
      </c>
      <c r="CI21" s="197">
        <f t="shared" si="47"/>
        <v>123.62013612509521</v>
      </c>
      <c r="CJ21" s="197">
        <f t="shared" si="48"/>
        <v>217.50594725502387</v>
      </c>
      <c r="CK21" s="197">
        <f t="shared" si="49"/>
        <v>957.81486818455164</v>
      </c>
      <c r="CL21" s="199">
        <f t="shared" si="50"/>
        <v>1081.435004309647</v>
      </c>
      <c r="CM21" s="196">
        <f t="shared" si="75"/>
        <v>12177.560560756161</v>
      </c>
      <c r="CN21" s="197">
        <f t="shared" si="51"/>
        <v>1484.1965968726179</v>
      </c>
      <c r="CO21" s="197">
        <f t="shared" si="52"/>
        <v>8495.2921067664101</v>
      </c>
      <c r="CP21" s="197">
        <f t="shared" si="53"/>
        <v>3682.26845398975</v>
      </c>
      <c r="CQ21" s="199">
        <f t="shared" si="54"/>
        <v>5166.4650508623672</v>
      </c>
      <c r="CR21" s="197"/>
      <c r="CT21" s="204">
        <f t="shared" si="76"/>
        <v>10</v>
      </c>
      <c r="CU21" s="197">
        <f t="shared" si="55"/>
        <v>0</v>
      </c>
      <c r="CV21" s="197">
        <f>'Energy margins'!$S$12</f>
        <v>72</v>
      </c>
      <c r="CW21" s="197">
        <f t="shared" si="56"/>
        <v>0</v>
      </c>
      <c r="CX21" s="197">
        <f>'Margins summary'!$U$14</f>
        <v>175.95</v>
      </c>
      <c r="CY21" s="197">
        <f t="shared" si="57"/>
        <v>175.95</v>
      </c>
      <c r="CZ21" s="197"/>
      <c r="DA21" s="918">
        <f>'Energy NPV'!U74</f>
        <v>309.57878399999998</v>
      </c>
      <c r="DB21" s="197"/>
      <c r="DC21" s="197">
        <f t="shared" si="58"/>
        <v>309.57878399999998</v>
      </c>
      <c r="DD21" s="197">
        <f t="shared" si="8"/>
        <v>-309.57878399999998</v>
      </c>
      <c r="DE21" s="197">
        <f t="shared" si="9"/>
        <v>-133.628784</v>
      </c>
      <c r="DF21" s="196">
        <f t="shared" si="59"/>
        <v>0</v>
      </c>
      <c r="DG21" s="197">
        <f t="shared" si="60"/>
        <v>123.62013612509521</v>
      </c>
      <c r="DH21" s="197">
        <f t="shared" si="61"/>
        <v>217.50594725502387</v>
      </c>
      <c r="DI21" s="197">
        <f t="shared" si="62"/>
        <v>-217.50594725502387</v>
      </c>
      <c r="DJ21" s="199">
        <f t="shared" si="63"/>
        <v>-93.885811129928655</v>
      </c>
      <c r="DK21" s="196">
        <f t="shared" si="77"/>
        <v>0</v>
      </c>
      <c r="DL21" s="197">
        <f t="shared" si="64"/>
        <v>1484.1965968726179</v>
      </c>
      <c r="DM21" s="197">
        <f t="shared" si="65"/>
        <v>8495.2921067664101</v>
      </c>
      <c r="DN21" s="197">
        <f t="shared" si="66"/>
        <v>-8495.2921067664101</v>
      </c>
      <c r="DO21" s="199">
        <f t="shared" si="67"/>
        <v>-7011.095509893793</v>
      </c>
    </row>
    <row r="22" spans="2:119" x14ac:dyDescent="0.3">
      <c r="B22" s="204">
        <f t="shared" si="68"/>
        <v>11</v>
      </c>
      <c r="C22" s="197">
        <f>'Energy NPV'!$D75*$E$8</f>
        <v>11.617000000000001</v>
      </c>
      <c r="D22" s="197">
        <f>'Energy margins'!$S$12</f>
        <v>72</v>
      </c>
      <c r="E22" s="197">
        <f t="shared" si="10"/>
        <v>836.42400000000009</v>
      </c>
      <c r="F22" s="197">
        <f>'Margins summary'!$U$14</f>
        <v>175.95</v>
      </c>
      <c r="G22" s="197">
        <f t="shared" si="11"/>
        <v>1012.374</v>
      </c>
      <c r="H22" s="197"/>
      <c r="I22" s="918">
        <f>'Energy NPV'!U75</f>
        <v>309.57878399999998</v>
      </c>
      <c r="J22" s="197"/>
      <c r="K22" s="197">
        <f t="shared" si="12"/>
        <v>309.57878399999998</v>
      </c>
      <c r="L22" s="197">
        <f t="shared" si="0"/>
        <v>526.84521600000016</v>
      </c>
      <c r="M22" s="197">
        <f t="shared" si="1"/>
        <v>702.79521599999998</v>
      </c>
      <c r="N22" s="196">
        <f t="shared" si="13"/>
        <v>565.05808434594974</v>
      </c>
      <c r="O22" s="197">
        <f t="shared" si="14"/>
        <v>118.86551550489925</v>
      </c>
      <c r="P22" s="197">
        <f t="shared" si="15"/>
        <v>209.1403338990614</v>
      </c>
      <c r="Q22" s="197">
        <f t="shared" si="16"/>
        <v>355.91775044688842</v>
      </c>
      <c r="R22" s="199">
        <f t="shared" si="17"/>
        <v>474.78326595178754</v>
      </c>
      <c r="S22" s="196">
        <f t="shared" si="69"/>
        <v>6653.8383647240298</v>
      </c>
      <c r="T22" s="197">
        <f t="shared" si="18"/>
        <v>1603.0621123775172</v>
      </c>
      <c r="U22" s="197">
        <f t="shared" si="18"/>
        <v>8704.4324406654723</v>
      </c>
      <c r="V22" s="197">
        <f t="shared" si="18"/>
        <v>-2050.5940759414439</v>
      </c>
      <c r="W22" s="199">
        <f t="shared" si="18"/>
        <v>-447.53196356392601</v>
      </c>
      <c r="X22" s="197"/>
      <c r="Z22" s="204">
        <f t="shared" si="70"/>
        <v>11</v>
      </c>
      <c r="AA22" s="197">
        <f t="shared" si="19"/>
        <v>17.4255</v>
      </c>
      <c r="AB22" s="197">
        <f>'Energy margins'!$S$12</f>
        <v>72</v>
      </c>
      <c r="AC22" s="197">
        <f t="shared" si="20"/>
        <v>1254.636</v>
      </c>
      <c r="AD22" s="197">
        <f>'Margins summary'!$U$14</f>
        <v>175.95</v>
      </c>
      <c r="AE22" s="197">
        <f t="shared" si="21"/>
        <v>1430.586</v>
      </c>
      <c r="AF22" s="197"/>
      <c r="AG22" s="918">
        <f>'Energy NPV'!U75</f>
        <v>309.57878399999998</v>
      </c>
      <c r="AH22" s="197"/>
      <c r="AI22" s="197">
        <f t="shared" si="22"/>
        <v>309.57878399999998</v>
      </c>
      <c r="AJ22" s="197">
        <f t="shared" si="2"/>
        <v>945.05721599999993</v>
      </c>
      <c r="AK22" s="197">
        <f t="shared" si="3"/>
        <v>1121.007216</v>
      </c>
      <c r="AL22" s="196">
        <f t="shared" si="23"/>
        <v>847.58712651892461</v>
      </c>
      <c r="AM22" s="197">
        <f t="shared" si="24"/>
        <v>118.86551550489925</v>
      </c>
      <c r="AN22" s="197">
        <f t="shared" si="25"/>
        <v>209.1403338990614</v>
      </c>
      <c r="AO22" s="197">
        <f t="shared" si="26"/>
        <v>638.44679261986312</v>
      </c>
      <c r="AP22" s="199">
        <f t="shared" si="27"/>
        <v>757.31230812476235</v>
      </c>
      <c r="AQ22" s="196">
        <f t="shared" si="71"/>
        <v>9980.7575470860465</v>
      </c>
      <c r="AR22" s="197">
        <f t="shared" si="28"/>
        <v>1603.0621123775172</v>
      </c>
      <c r="AS22" s="197">
        <f t="shared" si="28"/>
        <v>8704.4324406654723</v>
      </c>
      <c r="AT22" s="197">
        <f t="shared" si="28"/>
        <v>1276.325106420572</v>
      </c>
      <c r="AU22" s="199">
        <f t="shared" si="28"/>
        <v>2879.3872187980869</v>
      </c>
      <c r="AV22" s="197"/>
      <c r="AX22" s="204">
        <f t="shared" si="72"/>
        <v>11</v>
      </c>
      <c r="AY22" s="197">
        <f t="shared" si="29"/>
        <v>5.8085000000000004</v>
      </c>
      <c r="AZ22" s="197">
        <f>'Energy margins'!$S$12</f>
        <v>72</v>
      </c>
      <c r="BA22" s="197">
        <f t="shared" si="30"/>
        <v>418.21200000000005</v>
      </c>
      <c r="BB22" s="197">
        <f>'Margins summary'!$U$14</f>
        <v>175.95</v>
      </c>
      <c r="BC22" s="197">
        <f t="shared" si="31"/>
        <v>594.16200000000003</v>
      </c>
      <c r="BD22" s="197"/>
      <c r="BE22" s="918">
        <f>'Energy NPV'!U75</f>
        <v>309.57878399999998</v>
      </c>
      <c r="BF22" s="197"/>
      <c r="BG22" s="197">
        <f t="shared" si="32"/>
        <v>309.57878399999998</v>
      </c>
      <c r="BH22" s="197">
        <f t="shared" si="4"/>
        <v>108.63321600000006</v>
      </c>
      <c r="BI22" s="197">
        <f t="shared" si="5"/>
        <v>284.58321600000005</v>
      </c>
      <c r="BJ22" s="196">
        <f t="shared" si="33"/>
        <v>282.52904217297487</v>
      </c>
      <c r="BK22" s="197">
        <f t="shared" si="34"/>
        <v>118.86551550489925</v>
      </c>
      <c r="BL22" s="197">
        <f t="shared" si="35"/>
        <v>209.1403338990614</v>
      </c>
      <c r="BM22" s="197">
        <f t="shared" si="36"/>
        <v>73.38870827391348</v>
      </c>
      <c r="BN22" s="199">
        <f t="shared" si="37"/>
        <v>192.25422377881273</v>
      </c>
      <c r="BO22" s="196">
        <f t="shared" si="73"/>
        <v>3326.9191823620149</v>
      </c>
      <c r="BP22" s="197">
        <f t="shared" si="38"/>
        <v>1603.0621123775172</v>
      </c>
      <c r="BQ22" s="197">
        <f t="shared" si="39"/>
        <v>8704.4324406654723</v>
      </c>
      <c r="BR22" s="197">
        <f t="shared" si="40"/>
        <v>-5377.5132583034574</v>
      </c>
      <c r="BS22" s="199">
        <f t="shared" si="41"/>
        <v>-3774.4511459259402</v>
      </c>
      <c r="BT22" s="197"/>
      <c r="BV22" s="204">
        <f t="shared" si="74"/>
        <v>11</v>
      </c>
      <c r="BW22" s="197">
        <f t="shared" si="42"/>
        <v>23.234000000000002</v>
      </c>
      <c r="BX22" s="197">
        <f>'Energy margins'!$S$12</f>
        <v>72</v>
      </c>
      <c r="BY22" s="197">
        <f t="shared" si="43"/>
        <v>1672.8480000000002</v>
      </c>
      <c r="BZ22" s="197">
        <f>'Margins summary'!$U$14</f>
        <v>175.95</v>
      </c>
      <c r="CA22" s="197">
        <f t="shared" si="44"/>
        <v>1848.7980000000002</v>
      </c>
      <c r="CB22" s="197"/>
      <c r="CC22" s="918">
        <f>'Energy NPV'!U75</f>
        <v>309.57878399999998</v>
      </c>
      <c r="CD22" s="197"/>
      <c r="CE22" s="197">
        <f t="shared" si="45"/>
        <v>309.57878399999998</v>
      </c>
      <c r="CF22" s="197">
        <f t="shared" si="6"/>
        <v>1363.2692160000001</v>
      </c>
      <c r="CG22" s="197">
        <f t="shared" si="7"/>
        <v>1539.2192160000002</v>
      </c>
      <c r="CH22" s="196">
        <f t="shared" si="46"/>
        <v>1130.1161686918995</v>
      </c>
      <c r="CI22" s="197">
        <f t="shared" si="47"/>
        <v>118.86551550489925</v>
      </c>
      <c r="CJ22" s="197">
        <f t="shared" si="48"/>
        <v>209.1403338990614</v>
      </c>
      <c r="CK22" s="197">
        <f t="shared" si="49"/>
        <v>920.9758347928381</v>
      </c>
      <c r="CL22" s="199">
        <f t="shared" si="50"/>
        <v>1039.8413502977373</v>
      </c>
      <c r="CM22" s="196">
        <f t="shared" si="75"/>
        <v>13307.67672944806</v>
      </c>
      <c r="CN22" s="197">
        <f t="shared" si="51"/>
        <v>1603.0621123775172</v>
      </c>
      <c r="CO22" s="197">
        <f t="shared" si="52"/>
        <v>8704.4324406654723</v>
      </c>
      <c r="CP22" s="197">
        <f t="shared" si="53"/>
        <v>4603.2442887825882</v>
      </c>
      <c r="CQ22" s="199">
        <f t="shared" si="54"/>
        <v>6206.3064011601045</v>
      </c>
      <c r="CR22" s="197"/>
      <c r="CT22" s="204">
        <f t="shared" si="76"/>
        <v>11</v>
      </c>
      <c r="CU22" s="197">
        <f t="shared" si="55"/>
        <v>0</v>
      </c>
      <c r="CV22" s="197">
        <f>'Energy margins'!$S$12</f>
        <v>72</v>
      </c>
      <c r="CW22" s="197">
        <f t="shared" si="56"/>
        <v>0</v>
      </c>
      <c r="CX22" s="197">
        <f>'Margins summary'!$U$14</f>
        <v>175.95</v>
      </c>
      <c r="CY22" s="197">
        <f t="shared" si="57"/>
        <v>175.95</v>
      </c>
      <c r="CZ22" s="197"/>
      <c r="DA22" s="918">
        <f>'Energy NPV'!U75</f>
        <v>309.57878399999998</v>
      </c>
      <c r="DB22" s="197"/>
      <c r="DC22" s="197">
        <f t="shared" si="58"/>
        <v>309.57878399999998</v>
      </c>
      <c r="DD22" s="197">
        <f t="shared" si="8"/>
        <v>-309.57878399999998</v>
      </c>
      <c r="DE22" s="197">
        <f t="shared" si="9"/>
        <v>-133.628784</v>
      </c>
      <c r="DF22" s="196">
        <f t="shared" si="59"/>
        <v>0</v>
      </c>
      <c r="DG22" s="197">
        <f t="shared" si="60"/>
        <v>118.86551550489925</v>
      </c>
      <c r="DH22" s="197">
        <f t="shared" si="61"/>
        <v>209.1403338990614</v>
      </c>
      <c r="DI22" s="197">
        <f t="shared" si="62"/>
        <v>-209.1403338990614</v>
      </c>
      <c r="DJ22" s="199">
        <f t="shared" si="63"/>
        <v>-90.274818394162168</v>
      </c>
      <c r="DK22" s="196">
        <f t="shared" si="77"/>
        <v>0</v>
      </c>
      <c r="DL22" s="197">
        <f t="shared" si="64"/>
        <v>1603.0621123775172</v>
      </c>
      <c r="DM22" s="197">
        <f t="shared" si="65"/>
        <v>8704.4324406654723</v>
      </c>
      <c r="DN22" s="197">
        <f t="shared" si="66"/>
        <v>-8704.4324406654723</v>
      </c>
      <c r="DO22" s="199">
        <f t="shared" si="67"/>
        <v>-7101.3703282879551</v>
      </c>
    </row>
    <row r="23" spans="2:119" x14ac:dyDescent="0.3">
      <c r="B23" s="204">
        <f t="shared" si="68"/>
        <v>12</v>
      </c>
      <c r="C23" s="197">
        <f>'Energy NPV'!$D76*$E$8</f>
        <v>11.617000000000001</v>
      </c>
      <c r="D23" s="197">
        <f>'Energy margins'!$S$12</f>
        <v>72</v>
      </c>
      <c r="E23" s="197">
        <f t="shared" si="10"/>
        <v>836.42400000000009</v>
      </c>
      <c r="F23" s="197">
        <f>'Margins summary'!$U$14</f>
        <v>175.95</v>
      </c>
      <c r="G23" s="197">
        <f t="shared" si="11"/>
        <v>1012.374</v>
      </c>
      <c r="H23" s="197"/>
      <c r="I23" s="918">
        <f>'Energy NPV'!U76</f>
        <v>309.57878399999998</v>
      </c>
      <c r="J23" s="197"/>
      <c r="K23" s="197">
        <f t="shared" si="12"/>
        <v>309.57878399999998</v>
      </c>
      <c r="L23" s="197">
        <f t="shared" si="0"/>
        <v>526.84521600000016</v>
      </c>
      <c r="M23" s="197">
        <f t="shared" si="1"/>
        <v>702.79521599999998</v>
      </c>
      <c r="N23" s="196">
        <f t="shared" si="13"/>
        <v>543.32508110187484</v>
      </c>
      <c r="O23" s="197">
        <f t="shared" si="14"/>
        <v>114.29376490855698</v>
      </c>
      <c r="P23" s="197">
        <f t="shared" si="15"/>
        <v>201.09647490294367</v>
      </c>
      <c r="Q23" s="197">
        <f t="shared" si="16"/>
        <v>342.22860619893117</v>
      </c>
      <c r="R23" s="199">
        <f t="shared" si="17"/>
        <v>456.52237110748808</v>
      </c>
      <c r="S23" s="196">
        <f t="shared" si="69"/>
        <v>7197.163445825905</v>
      </c>
      <c r="T23" s="197">
        <f t="shared" si="18"/>
        <v>1717.3558772860742</v>
      </c>
      <c r="U23" s="197">
        <f t="shared" si="18"/>
        <v>8905.5289155684168</v>
      </c>
      <c r="V23" s="197">
        <f t="shared" si="18"/>
        <v>-1708.3654697425127</v>
      </c>
      <c r="W23" s="199">
        <f t="shared" si="18"/>
        <v>8.9904075435620712</v>
      </c>
      <c r="X23" s="197"/>
      <c r="Z23" s="204">
        <f t="shared" si="70"/>
        <v>12</v>
      </c>
      <c r="AA23" s="197">
        <f t="shared" si="19"/>
        <v>17.4255</v>
      </c>
      <c r="AB23" s="197">
        <f>'Energy margins'!$S$12</f>
        <v>72</v>
      </c>
      <c r="AC23" s="197">
        <f t="shared" si="20"/>
        <v>1254.636</v>
      </c>
      <c r="AD23" s="197">
        <f>'Margins summary'!$U$14</f>
        <v>175.95</v>
      </c>
      <c r="AE23" s="197">
        <f t="shared" si="21"/>
        <v>1430.586</v>
      </c>
      <c r="AF23" s="197"/>
      <c r="AG23" s="918">
        <f>'Energy NPV'!U76</f>
        <v>309.57878399999998</v>
      </c>
      <c r="AH23" s="197"/>
      <c r="AI23" s="197">
        <f t="shared" si="22"/>
        <v>309.57878399999998</v>
      </c>
      <c r="AJ23" s="197">
        <f t="shared" si="2"/>
        <v>945.05721599999993</v>
      </c>
      <c r="AK23" s="197">
        <f t="shared" si="3"/>
        <v>1121.007216</v>
      </c>
      <c r="AL23" s="196">
        <f t="shared" si="23"/>
        <v>814.98762165281209</v>
      </c>
      <c r="AM23" s="197">
        <f t="shared" si="24"/>
        <v>114.29376490855698</v>
      </c>
      <c r="AN23" s="197">
        <f t="shared" si="25"/>
        <v>201.09647490294367</v>
      </c>
      <c r="AO23" s="197">
        <f t="shared" si="26"/>
        <v>613.89114674986843</v>
      </c>
      <c r="AP23" s="199">
        <f t="shared" si="27"/>
        <v>728.18491165842545</v>
      </c>
      <c r="AQ23" s="196">
        <f t="shared" si="71"/>
        <v>10795.745168738858</v>
      </c>
      <c r="AR23" s="197">
        <f t="shared" si="28"/>
        <v>1717.3558772860742</v>
      </c>
      <c r="AS23" s="197">
        <f t="shared" si="28"/>
        <v>8905.5289155684168</v>
      </c>
      <c r="AT23" s="197">
        <f t="shared" si="28"/>
        <v>1890.2162531704403</v>
      </c>
      <c r="AU23" s="199">
        <f t="shared" si="28"/>
        <v>3607.5721304565122</v>
      </c>
      <c r="AV23" s="197"/>
      <c r="AX23" s="204">
        <f t="shared" si="72"/>
        <v>12</v>
      </c>
      <c r="AY23" s="197">
        <f t="shared" si="29"/>
        <v>5.8085000000000004</v>
      </c>
      <c r="AZ23" s="197">
        <f>'Energy margins'!$S$12</f>
        <v>72</v>
      </c>
      <c r="BA23" s="197">
        <f t="shared" si="30"/>
        <v>418.21200000000005</v>
      </c>
      <c r="BB23" s="197">
        <f>'Margins summary'!$U$14</f>
        <v>175.95</v>
      </c>
      <c r="BC23" s="197">
        <f t="shared" si="31"/>
        <v>594.16200000000003</v>
      </c>
      <c r="BD23" s="197"/>
      <c r="BE23" s="918">
        <f>'Energy NPV'!U76</f>
        <v>309.57878399999998</v>
      </c>
      <c r="BF23" s="197"/>
      <c r="BG23" s="197">
        <f t="shared" si="32"/>
        <v>309.57878399999998</v>
      </c>
      <c r="BH23" s="197">
        <f t="shared" si="4"/>
        <v>108.63321600000006</v>
      </c>
      <c r="BI23" s="197">
        <f t="shared" si="5"/>
        <v>284.58321600000005</v>
      </c>
      <c r="BJ23" s="196">
        <f t="shared" si="33"/>
        <v>271.66254055093742</v>
      </c>
      <c r="BK23" s="197">
        <f t="shared" si="34"/>
        <v>114.29376490855698</v>
      </c>
      <c r="BL23" s="197">
        <f t="shared" si="35"/>
        <v>201.09647490294367</v>
      </c>
      <c r="BM23" s="197">
        <f t="shared" si="36"/>
        <v>70.566065647993739</v>
      </c>
      <c r="BN23" s="199">
        <f t="shared" si="37"/>
        <v>184.85983055655072</v>
      </c>
      <c r="BO23" s="196">
        <f t="shared" si="73"/>
        <v>3598.5817229129525</v>
      </c>
      <c r="BP23" s="197">
        <f t="shared" si="38"/>
        <v>1717.3558772860742</v>
      </c>
      <c r="BQ23" s="197">
        <f t="shared" si="39"/>
        <v>8905.5289155684168</v>
      </c>
      <c r="BR23" s="197">
        <f t="shared" si="40"/>
        <v>-5306.9471926554634</v>
      </c>
      <c r="BS23" s="199">
        <f t="shared" si="41"/>
        <v>-3589.5913153693896</v>
      </c>
      <c r="BT23" s="197"/>
      <c r="BV23" s="204">
        <f t="shared" si="74"/>
        <v>12</v>
      </c>
      <c r="BW23" s="197">
        <f t="shared" si="42"/>
        <v>23.234000000000002</v>
      </c>
      <c r="BX23" s="197">
        <f>'Energy margins'!$S$12</f>
        <v>72</v>
      </c>
      <c r="BY23" s="197">
        <f t="shared" si="43"/>
        <v>1672.8480000000002</v>
      </c>
      <c r="BZ23" s="197">
        <f>'Margins summary'!$U$14</f>
        <v>175.95</v>
      </c>
      <c r="CA23" s="197">
        <f t="shared" si="44"/>
        <v>1848.7980000000002</v>
      </c>
      <c r="CB23" s="197"/>
      <c r="CC23" s="918">
        <f>'Energy NPV'!U76</f>
        <v>309.57878399999998</v>
      </c>
      <c r="CD23" s="197"/>
      <c r="CE23" s="197">
        <f t="shared" si="45"/>
        <v>309.57878399999998</v>
      </c>
      <c r="CF23" s="197">
        <f t="shared" si="6"/>
        <v>1363.2692160000001</v>
      </c>
      <c r="CG23" s="197">
        <f t="shared" si="7"/>
        <v>1539.2192160000002</v>
      </c>
      <c r="CH23" s="196">
        <f t="shared" si="46"/>
        <v>1086.6501622037497</v>
      </c>
      <c r="CI23" s="197">
        <f t="shared" si="47"/>
        <v>114.29376490855698</v>
      </c>
      <c r="CJ23" s="197">
        <f t="shared" si="48"/>
        <v>201.09647490294367</v>
      </c>
      <c r="CK23" s="197">
        <f t="shared" si="49"/>
        <v>885.55368730080602</v>
      </c>
      <c r="CL23" s="199">
        <f t="shared" si="50"/>
        <v>999.84745220936293</v>
      </c>
      <c r="CM23" s="196">
        <f t="shared" si="75"/>
        <v>14394.32689165181</v>
      </c>
      <c r="CN23" s="197">
        <f t="shared" si="51"/>
        <v>1717.3558772860742</v>
      </c>
      <c r="CO23" s="197">
        <f t="shared" si="52"/>
        <v>8905.5289155684168</v>
      </c>
      <c r="CP23" s="197">
        <f t="shared" si="53"/>
        <v>5488.7979760833941</v>
      </c>
      <c r="CQ23" s="199">
        <f t="shared" si="54"/>
        <v>7206.1538533694675</v>
      </c>
      <c r="CR23" s="197"/>
      <c r="CT23" s="204">
        <f t="shared" si="76"/>
        <v>12</v>
      </c>
      <c r="CU23" s="197">
        <f t="shared" si="55"/>
        <v>0</v>
      </c>
      <c r="CV23" s="197">
        <f>'Energy margins'!$S$12</f>
        <v>72</v>
      </c>
      <c r="CW23" s="197">
        <f t="shared" si="56"/>
        <v>0</v>
      </c>
      <c r="CX23" s="197">
        <f>'Margins summary'!$U$14</f>
        <v>175.95</v>
      </c>
      <c r="CY23" s="197">
        <f t="shared" si="57"/>
        <v>175.95</v>
      </c>
      <c r="CZ23" s="197"/>
      <c r="DA23" s="918">
        <f>'Energy NPV'!U76</f>
        <v>309.57878399999998</v>
      </c>
      <c r="DB23" s="197"/>
      <c r="DC23" s="197">
        <f t="shared" si="58"/>
        <v>309.57878399999998</v>
      </c>
      <c r="DD23" s="197">
        <f t="shared" si="8"/>
        <v>-309.57878399999998</v>
      </c>
      <c r="DE23" s="197">
        <f t="shared" si="9"/>
        <v>-133.628784</v>
      </c>
      <c r="DF23" s="196">
        <f t="shared" si="59"/>
        <v>0</v>
      </c>
      <c r="DG23" s="197">
        <f t="shared" si="60"/>
        <v>114.29376490855698</v>
      </c>
      <c r="DH23" s="197">
        <f t="shared" si="61"/>
        <v>201.09647490294367</v>
      </c>
      <c r="DI23" s="197">
        <f t="shared" si="62"/>
        <v>-201.09647490294367</v>
      </c>
      <c r="DJ23" s="199">
        <f t="shared" si="63"/>
        <v>-86.802709994386703</v>
      </c>
      <c r="DK23" s="196">
        <f t="shared" si="77"/>
        <v>0</v>
      </c>
      <c r="DL23" s="197">
        <f t="shared" si="64"/>
        <v>1717.3558772860742</v>
      </c>
      <c r="DM23" s="197">
        <f t="shared" si="65"/>
        <v>8905.5289155684168</v>
      </c>
      <c r="DN23" s="197">
        <f t="shared" si="66"/>
        <v>-8905.5289155684168</v>
      </c>
      <c r="DO23" s="199">
        <f t="shared" si="67"/>
        <v>-7188.1730382823416</v>
      </c>
    </row>
    <row r="24" spans="2:119" x14ac:dyDescent="0.3">
      <c r="B24" s="204">
        <f t="shared" si="68"/>
        <v>13</v>
      </c>
      <c r="C24" s="197">
        <f>'Energy NPV'!$D77*$E$8</f>
        <v>11.617000000000001</v>
      </c>
      <c r="D24" s="197">
        <f>'Energy margins'!$S$12</f>
        <v>72</v>
      </c>
      <c r="E24" s="197">
        <f t="shared" si="10"/>
        <v>836.42400000000009</v>
      </c>
      <c r="F24" s="197">
        <f>'Margins summary'!$U$14</f>
        <v>175.95</v>
      </c>
      <c r="G24" s="197">
        <f t="shared" si="11"/>
        <v>1012.374</v>
      </c>
      <c r="H24" s="197"/>
      <c r="I24" s="918">
        <f>'Energy NPV'!U77</f>
        <v>309.57878399999998</v>
      </c>
      <c r="J24" s="197"/>
      <c r="K24" s="197">
        <f t="shared" si="12"/>
        <v>309.57878399999998</v>
      </c>
      <c r="L24" s="197">
        <f t="shared" si="0"/>
        <v>526.84521600000016</v>
      </c>
      <c r="M24" s="197">
        <f t="shared" si="1"/>
        <v>702.79521599999998</v>
      </c>
      <c r="N24" s="196">
        <f t="shared" si="13"/>
        <v>522.42796259795648</v>
      </c>
      <c r="O24" s="197">
        <f t="shared" si="14"/>
        <v>109.89785087361246</v>
      </c>
      <c r="P24" s="197">
        <f t="shared" si="15"/>
        <v>193.36199509898427</v>
      </c>
      <c r="Q24" s="197">
        <f t="shared" si="16"/>
        <v>329.06596749897221</v>
      </c>
      <c r="R24" s="199">
        <f t="shared" si="17"/>
        <v>438.96381837258457</v>
      </c>
      <c r="S24" s="196">
        <f t="shared" si="69"/>
        <v>7719.5914084238611</v>
      </c>
      <c r="T24" s="197">
        <f t="shared" si="18"/>
        <v>1827.2537281596867</v>
      </c>
      <c r="U24" s="197">
        <f t="shared" si="18"/>
        <v>9098.8909106674018</v>
      </c>
      <c r="V24" s="197">
        <f t="shared" si="18"/>
        <v>-1379.2995022435405</v>
      </c>
      <c r="W24" s="199">
        <f t="shared" si="18"/>
        <v>447.95422591614664</v>
      </c>
      <c r="X24" s="197"/>
      <c r="Z24" s="204">
        <f t="shared" si="70"/>
        <v>13</v>
      </c>
      <c r="AA24" s="197">
        <f t="shared" si="19"/>
        <v>17.4255</v>
      </c>
      <c r="AB24" s="197">
        <f>'Energy margins'!$S$12</f>
        <v>72</v>
      </c>
      <c r="AC24" s="197">
        <f t="shared" si="20"/>
        <v>1254.636</v>
      </c>
      <c r="AD24" s="197">
        <f>'Margins summary'!$U$14</f>
        <v>175.95</v>
      </c>
      <c r="AE24" s="197">
        <f t="shared" si="21"/>
        <v>1430.586</v>
      </c>
      <c r="AF24" s="197"/>
      <c r="AG24" s="918">
        <f>'Energy NPV'!U77</f>
        <v>309.57878399999998</v>
      </c>
      <c r="AH24" s="197"/>
      <c r="AI24" s="197">
        <f t="shared" si="22"/>
        <v>309.57878399999998</v>
      </c>
      <c r="AJ24" s="197">
        <f t="shared" si="2"/>
        <v>945.05721599999993</v>
      </c>
      <c r="AK24" s="197">
        <f t="shared" si="3"/>
        <v>1121.007216</v>
      </c>
      <c r="AL24" s="196">
        <f t="shared" si="23"/>
        <v>783.64194389693455</v>
      </c>
      <c r="AM24" s="197">
        <f t="shared" si="24"/>
        <v>109.89785087361246</v>
      </c>
      <c r="AN24" s="197">
        <f t="shared" si="25"/>
        <v>193.36199509898427</v>
      </c>
      <c r="AO24" s="197">
        <f t="shared" si="26"/>
        <v>590.27994879795028</v>
      </c>
      <c r="AP24" s="199">
        <f t="shared" si="27"/>
        <v>700.17779967156275</v>
      </c>
      <c r="AQ24" s="196">
        <f t="shared" si="71"/>
        <v>11579.387112635794</v>
      </c>
      <c r="AR24" s="197">
        <f t="shared" si="28"/>
        <v>1827.2537281596867</v>
      </c>
      <c r="AS24" s="197">
        <f t="shared" si="28"/>
        <v>9098.8909106674018</v>
      </c>
      <c r="AT24" s="197">
        <f t="shared" si="28"/>
        <v>2480.4962019683908</v>
      </c>
      <c r="AU24" s="199">
        <f t="shared" si="28"/>
        <v>4307.749930128075</v>
      </c>
      <c r="AV24" s="197"/>
      <c r="AX24" s="204">
        <f t="shared" si="72"/>
        <v>13</v>
      </c>
      <c r="AY24" s="197">
        <f t="shared" si="29"/>
        <v>5.8085000000000004</v>
      </c>
      <c r="AZ24" s="197">
        <f>'Energy margins'!$S$12</f>
        <v>72</v>
      </c>
      <c r="BA24" s="197">
        <f t="shared" si="30"/>
        <v>418.21200000000005</v>
      </c>
      <c r="BB24" s="197">
        <f>'Margins summary'!$U$14</f>
        <v>175.95</v>
      </c>
      <c r="BC24" s="197">
        <f t="shared" si="31"/>
        <v>594.16200000000003</v>
      </c>
      <c r="BD24" s="197"/>
      <c r="BE24" s="918">
        <f>'Energy NPV'!U77</f>
        <v>309.57878399999998</v>
      </c>
      <c r="BF24" s="197"/>
      <c r="BG24" s="197">
        <f t="shared" si="32"/>
        <v>309.57878399999998</v>
      </c>
      <c r="BH24" s="197">
        <f t="shared" si="4"/>
        <v>108.63321600000006</v>
      </c>
      <c r="BI24" s="197">
        <f t="shared" si="5"/>
        <v>284.58321600000005</v>
      </c>
      <c r="BJ24" s="196">
        <f t="shared" si="33"/>
        <v>261.21398129897824</v>
      </c>
      <c r="BK24" s="197">
        <f t="shared" si="34"/>
        <v>109.89785087361246</v>
      </c>
      <c r="BL24" s="197">
        <f t="shared" si="35"/>
        <v>193.36199509898427</v>
      </c>
      <c r="BM24" s="197">
        <f t="shared" si="36"/>
        <v>67.851986199993959</v>
      </c>
      <c r="BN24" s="199">
        <f t="shared" si="37"/>
        <v>177.74983707360641</v>
      </c>
      <c r="BO24" s="196">
        <f t="shared" si="73"/>
        <v>3859.7957042119306</v>
      </c>
      <c r="BP24" s="197">
        <f t="shared" si="38"/>
        <v>1827.2537281596867</v>
      </c>
      <c r="BQ24" s="197">
        <f t="shared" si="39"/>
        <v>9098.8909106674018</v>
      </c>
      <c r="BR24" s="197">
        <f t="shared" si="40"/>
        <v>-5239.0952064554695</v>
      </c>
      <c r="BS24" s="199">
        <f t="shared" si="41"/>
        <v>-3411.841478295783</v>
      </c>
      <c r="BT24" s="197"/>
      <c r="BV24" s="204">
        <f t="shared" si="74"/>
        <v>13</v>
      </c>
      <c r="BW24" s="197">
        <f t="shared" si="42"/>
        <v>23.234000000000002</v>
      </c>
      <c r="BX24" s="197">
        <f>'Energy margins'!$S$12</f>
        <v>72</v>
      </c>
      <c r="BY24" s="197">
        <f t="shared" si="43"/>
        <v>1672.8480000000002</v>
      </c>
      <c r="BZ24" s="197">
        <f>'Margins summary'!$U$14</f>
        <v>175.95</v>
      </c>
      <c r="CA24" s="197">
        <f t="shared" si="44"/>
        <v>1848.7980000000002</v>
      </c>
      <c r="CB24" s="197"/>
      <c r="CC24" s="918">
        <f>'Energy NPV'!U77</f>
        <v>309.57878399999998</v>
      </c>
      <c r="CD24" s="197"/>
      <c r="CE24" s="197">
        <f t="shared" si="45"/>
        <v>309.57878399999998</v>
      </c>
      <c r="CF24" s="197">
        <f t="shared" si="6"/>
        <v>1363.2692160000001</v>
      </c>
      <c r="CG24" s="197">
        <f t="shared" si="7"/>
        <v>1539.2192160000002</v>
      </c>
      <c r="CH24" s="196">
        <f t="shared" si="46"/>
        <v>1044.855925195913</v>
      </c>
      <c r="CI24" s="197">
        <f t="shared" si="47"/>
        <v>109.89785087361246</v>
      </c>
      <c r="CJ24" s="197">
        <f t="shared" si="48"/>
        <v>193.36199509898427</v>
      </c>
      <c r="CK24" s="197">
        <f t="shared" si="49"/>
        <v>851.49393009692858</v>
      </c>
      <c r="CL24" s="199">
        <f t="shared" si="50"/>
        <v>961.39178097054116</v>
      </c>
      <c r="CM24" s="196">
        <f t="shared" si="75"/>
        <v>15439.182816847722</v>
      </c>
      <c r="CN24" s="197">
        <f t="shared" si="51"/>
        <v>1827.2537281596867</v>
      </c>
      <c r="CO24" s="197">
        <f t="shared" si="52"/>
        <v>9098.8909106674018</v>
      </c>
      <c r="CP24" s="197">
        <f t="shared" si="53"/>
        <v>6340.2919061803223</v>
      </c>
      <c r="CQ24" s="199">
        <f t="shared" si="54"/>
        <v>8167.5456343400083</v>
      </c>
      <c r="CR24" s="197"/>
      <c r="CT24" s="204">
        <f t="shared" si="76"/>
        <v>13</v>
      </c>
      <c r="CU24" s="197">
        <f t="shared" si="55"/>
        <v>0</v>
      </c>
      <c r="CV24" s="197">
        <f>'Energy margins'!$S$12</f>
        <v>72</v>
      </c>
      <c r="CW24" s="197">
        <f t="shared" si="56"/>
        <v>0</v>
      </c>
      <c r="CX24" s="197">
        <f>'Margins summary'!$U$14</f>
        <v>175.95</v>
      </c>
      <c r="CY24" s="197">
        <f t="shared" si="57"/>
        <v>175.95</v>
      </c>
      <c r="CZ24" s="197"/>
      <c r="DA24" s="918">
        <f>'Energy NPV'!U77</f>
        <v>309.57878399999998</v>
      </c>
      <c r="DB24" s="197"/>
      <c r="DC24" s="197">
        <f t="shared" si="58"/>
        <v>309.57878399999998</v>
      </c>
      <c r="DD24" s="197">
        <f t="shared" si="8"/>
        <v>-309.57878399999998</v>
      </c>
      <c r="DE24" s="197">
        <f t="shared" si="9"/>
        <v>-133.628784</v>
      </c>
      <c r="DF24" s="196">
        <f t="shared" si="59"/>
        <v>0</v>
      </c>
      <c r="DG24" s="197">
        <f t="shared" si="60"/>
        <v>109.89785087361246</v>
      </c>
      <c r="DH24" s="197">
        <f t="shared" si="61"/>
        <v>193.36199509898427</v>
      </c>
      <c r="DI24" s="197">
        <f t="shared" si="62"/>
        <v>-193.36199509898427</v>
      </c>
      <c r="DJ24" s="199">
        <f t="shared" si="63"/>
        <v>-83.464144225371811</v>
      </c>
      <c r="DK24" s="196">
        <f t="shared" si="77"/>
        <v>0</v>
      </c>
      <c r="DL24" s="197">
        <f t="shared" si="64"/>
        <v>1827.2537281596867</v>
      </c>
      <c r="DM24" s="197">
        <f t="shared" si="65"/>
        <v>9098.8909106674018</v>
      </c>
      <c r="DN24" s="197">
        <f t="shared" si="66"/>
        <v>-9098.8909106674018</v>
      </c>
      <c r="DO24" s="199">
        <f t="shared" si="67"/>
        <v>-7271.6371825077131</v>
      </c>
    </row>
    <row r="25" spans="2:119" x14ac:dyDescent="0.3">
      <c r="B25" s="204">
        <f t="shared" si="68"/>
        <v>14</v>
      </c>
      <c r="C25" s="197">
        <f>'Energy NPV'!$D78*$E$8</f>
        <v>11.617000000000001</v>
      </c>
      <c r="D25" s="197">
        <f>'Energy margins'!$S$12</f>
        <v>72</v>
      </c>
      <c r="E25" s="197">
        <f t="shared" si="10"/>
        <v>836.42400000000009</v>
      </c>
      <c r="F25" s="197">
        <f>'Margins summary'!$U$14</f>
        <v>175.95</v>
      </c>
      <c r="G25" s="197">
        <f t="shared" si="11"/>
        <v>1012.374</v>
      </c>
      <c r="H25" s="197"/>
      <c r="I25" s="918">
        <f>'Energy NPV'!U78</f>
        <v>309.57878399999998</v>
      </c>
      <c r="J25" s="197"/>
      <c r="K25" s="197">
        <f t="shared" si="12"/>
        <v>309.57878399999998</v>
      </c>
      <c r="L25" s="197">
        <f t="shared" si="0"/>
        <v>526.84521600000016</v>
      </c>
      <c r="M25" s="197">
        <f t="shared" si="1"/>
        <v>702.79521599999998</v>
      </c>
      <c r="N25" s="196">
        <f t="shared" si="13"/>
        <v>502.33457942111198</v>
      </c>
      <c r="O25" s="197">
        <f t="shared" si="14"/>
        <v>105.67101045539658</v>
      </c>
      <c r="P25" s="197">
        <f t="shared" si="15"/>
        <v>185.92499528748488</v>
      </c>
      <c r="Q25" s="197">
        <f t="shared" si="16"/>
        <v>316.40958413362716</v>
      </c>
      <c r="R25" s="199">
        <f t="shared" si="17"/>
        <v>422.08059458902363</v>
      </c>
      <c r="S25" s="196">
        <f t="shared" si="69"/>
        <v>8221.9259878449739</v>
      </c>
      <c r="T25" s="197">
        <f t="shared" si="18"/>
        <v>1932.9247386150832</v>
      </c>
      <c r="U25" s="197">
        <f t="shared" si="18"/>
        <v>9284.8159059548871</v>
      </c>
      <c r="V25" s="197">
        <f t="shared" si="18"/>
        <v>-1062.8899181099132</v>
      </c>
      <c r="W25" s="199">
        <f t="shared" si="18"/>
        <v>870.03482050517027</v>
      </c>
      <c r="X25" s="197"/>
      <c r="Z25" s="204">
        <f t="shared" si="70"/>
        <v>14</v>
      </c>
      <c r="AA25" s="197">
        <f t="shared" si="19"/>
        <v>17.4255</v>
      </c>
      <c r="AB25" s="197">
        <f>'Energy margins'!$S$12</f>
        <v>72</v>
      </c>
      <c r="AC25" s="197">
        <f t="shared" si="20"/>
        <v>1254.636</v>
      </c>
      <c r="AD25" s="197">
        <f>'Margins summary'!$U$14</f>
        <v>175.95</v>
      </c>
      <c r="AE25" s="197">
        <f t="shared" si="21"/>
        <v>1430.586</v>
      </c>
      <c r="AF25" s="197"/>
      <c r="AG25" s="918">
        <f>'Energy NPV'!U78</f>
        <v>309.57878399999998</v>
      </c>
      <c r="AH25" s="197"/>
      <c r="AI25" s="197">
        <f t="shared" si="22"/>
        <v>309.57878399999998</v>
      </c>
      <c r="AJ25" s="197">
        <f t="shared" si="2"/>
        <v>945.05721599999993</v>
      </c>
      <c r="AK25" s="197">
        <f t="shared" si="3"/>
        <v>1121.007216</v>
      </c>
      <c r="AL25" s="196">
        <f t="shared" si="23"/>
        <v>753.50186913166783</v>
      </c>
      <c r="AM25" s="197">
        <f t="shared" si="24"/>
        <v>105.67101045539658</v>
      </c>
      <c r="AN25" s="197">
        <f t="shared" si="25"/>
        <v>185.92499528748488</v>
      </c>
      <c r="AO25" s="197">
        <f t="shared" si="26"/>
        <v>567.57687384418296</v>
      </c>
      <c r="AP25" s="199">
        <f t="shared" si="27"/>
        <v>673.2478842995796</v>
      </c>
      <c r="AQ25" s="196">
        <f t="shared" si="71"/>
        <v>12332.888981767461</v>
      </c>
      <c r="AR25" s="197">
        <f t="shared" si="28"/>
        <v>1932.9247386150832</v>
      </c>
      <c r="AS25" s="197">
        <f t="shared" si="28"/>
        <v>9284.8159059548871</v>
      </c>
      <c r="AT25" s="197">
        <f t="shared" si="28"/>
        <v>3048.0730758125737</v>
      </c>
      <c r="AU25" s="199">
        <f t="shared" si="28"/>
        <v>4980.9978144276547</v>
      </c>
      <c r="AV25" s="197"/>
      <c r="AX25" s="204">
        <f t="shared" si="72"/>
        <v>14</v>
      </c>
      <c r="AY25" s="197">
        <f t="shared" si="29"/>
        <v>5.8085000000000004</v>
      </c>
      <c r="AZ25" s="197">
        <f>'Energy margins'!$S$12</f>
        <v>72</v>
      </c>
      <c r="BA25" s="197">
        <f t="shared" si="30"/>
        <v>418.21200000000005</v>
      </c>
      <c r="BB25" s="197">
        <f>'Margins summary'!$U$14</f>
        <v>175.95</v>
      </c>
      <c r="BC25" s="197">
        <f t="shared" si="31"/>
        <v>594.16200000000003</v>
      </c>
      <c r="BD25" s="197"/>
      <c r="BE25" s="918">
        <f>'Energy NPV'!U78</f>
        <v>309.57878399999998</v>
      </c>
      <c r="BF25" s="197"/>
      <c r="BG25" s="197">
        <f t="shared" si="32"/>
        <v>309.57878399999998</v>
      </c>
      <c r="BH25" s="197">
        <f t="shared" si="4"/>
        <v>108.63321600000006</v>
      </c>
      <c r="BI25" s="197">
        <f t="shared" si="5"/>
        <v>284.58321600000005</v>
      </c>
      <c r="BJ25" s="196">
        <f t="shared" si="33"/>
        <v>251.16728971055599</v>
      </c>
      <c r="BK25" s="197">
        <f t="shared" si="34"/>
        <v>105.67101045539658</v>
      </c>
      <c r="BL25" s="197">
        <f t="shared" si="35"/>
        <v>185.92499528748488</v>
      </c>
      <c r="BM25" s="197">
        <f t="shared" si="36"/>
        <v>65.242294423071115</v>
      </c>
      <c r="BN25" s="199">
        <f t="shared" si="37"/>
        <v>170.9133048784677</v>
      </c>
      <c r="BO25" s="196">
        <f t="shared" si="73"/>
        <v>4110.9629939224869</v>
      </c>
      <c r="BP25" s="197">
        <f t="shared" si="38"/>
        <v>1932.9247386150832</v>
      </c>
      <c r="BQ25" s="197">
        <f t="shared" si="39"/>
        <v>9284.8159059548871</v>
      </c>
      <c r="BR25" s="197">
        <f t="shared" si="40"/>
        <v>-5173.8529120323983</v>
      </c>
      <c r="BS25" s="199">
        <f t="shared" si="41"/>
        <v>-3240.9281734173151</v>
      </c>
      <c r="BT25" s="197"/>
      <c r="BV25" s="204">
        <f t="shared" si="74"/>
        <v>14</v>
      </c>
      <c r="BW25" s="197">
        <f t="shared" si="42"/>
        <v>23.234000000000002</v>
      </c>
      <c r="BX25" s="197">
        <f>'Energy margins'!$S$12</f>
        <v>72</v>
      </c>
      <c r="BY25" s="197">
        <f t="shared" si="43"/>
        <v>1672.8480000000002</v>
      </c>
      <c r="BZ25" s="197">
        <f>'Margins summary'!$U$14</f>
        <v>175.95</v>
      </c>
      <c r="CA25" s="197">
        <f t="shared" si="44"/>
        <v>1848.7980000000002</v>
      </c>
      <c r="CB25" s="197"/>
      <c r="CC25" s="918">
        <f>'Energy NPV'!U78</f>
        <v>309.57878399999998</v>
      </c>
      <c r="CD25" s="197"/>
      <c r="CE25" s="197">
        <f t="shared" si="45"/>
        <v>309.57878399999998</v>
      </c>
      <c r="CF25" s="197">
        <f t="shared" si="6"/>
        <v>1363.2692160000001</v>
      </c>
      <c r="CG25" s="197">
        <f t="shared" si="7"/>
        <v>1539.2192160000002</v>
      </c>
      <c r="CH25" s="196">
        <f t="shared" si="46"/>
        <v>1004.669158842224</v>
      </c>
      <c r="CI25" s="197">
        <f t="shared" si="47"/>
        <v>105.67101045539658</v>
      </c>
      <c r="CJ25" s="197">
        <f t="shared" si="48"/>
        <v>185.92499528748488</v>
      </c>
      <c r="CK25" s="197">
        <f t="shared" si="49"/>
        <v>818.74416355473909</v>
      </c>
      <c r="CL25" s="199">
        <f t="shared" si="50"/>
        <v>924.41517401013562</v>
      </c>
      <c r="CM25" s="196">
        <f t="shared" si="75"/>
        <v>16443.851975689948</v>
      </c>
      <c r="CN25" s="197">
        <f t="shared" si="51"/>
        <v>1932.9247386150832</v>
      </c>
      <c r="CO25" s="197">
        <f t="shared" si="52"/>
        <v>9284.8159059548871</v>
      </c>
      <c r="CP25" s="197">
        <f t="shared" si="53"/>
        <v>7159.0360697350616</v>
      </c>
      <c r="CQ25" s="199">
        <f t="shared" si="54"/>
        <v>9091.9608083501444</v>
      </c>
      <c r="CR25" s="197"/>
      <c r="CT25" s="204">
        <f t="shared" si="76"/>
        <v>14</v>
      </c>
      <c r="CU25" s="197">
        <f t="shared" si="55"/>
        <v>0</v>
      </c>
      <c r="CV25" s="197">
        <f>'Energy margins'!$S$12</f>
        <v>72</v>
      </c>
      <c r="CW25" s="197">
        <f t="shared" si="56"/>
        <v>0</v>
      </c>
      <c r="CX25" s="197">
        <f>'Margins summary'!$U$14</f>
        <v>175.95</v>
      </c>
      <c r="CY25" s="197">
        <f t="shared" si="57"/>
        <v>175.95</v>
      </c>
      <c r="CZ25" s="197"/>
      <c r="DA25" s="918">
        <f>'Energy NPV'!U78</f>
        <v>309.57878399999998</v>
      </c>
      <c r="DB25" s="197"/>
      <c r="DC25" s="197">
        <f t="shared" si="58"/>
        <v>309.57878399999998</v>
      </c>
      <c r="DD25" s="197">
        <f t="shared" si="8"/>
        <v>-309.57878399999998</v>
      </c>
      <c r="DE25" s="197">
        <f t="shared" si="9"/>
        <v>-133.628784</v>
      </c>
      <c r="DF25" s="196">
        <f t="shared" si="59"/>
        <v>0</v>
      </c>
      <c r="DG25" s="197">
        <f t="shared" si="60"/>
        <v>105.67101045539658</v>
      </c>
      <c r="DH25" s="197">
        <f t="shared" si="61"/>
        <v>185.92499528748488</v>
      </c>
      <c r="DI25" s="197">
        <f t="shared" si="62"/>
        <v>-185.92499528748488</v>
      </c>
      <c r="DJ25" s="199">
        <f t="shared" si="63"/>
        <v>-80.253984832088278</v>
      </c>
      <c r="DK25" s="196">
        <f t="shared" si="77"/>
        <v>0</v>
      </c>
      <c r="DL25" s="197">
        <f t="shared" si="64"/>
        <v>1932.9247386150832</v>
      </c>
      <c r="DM25" s="197">
        <f t="shared" si="65"/>
        <v>9284.8159059548871</v>
      </c>
      <c r="DN25" s="197">
        <f t="shared" si="66"/>
        <v>-9284.8159059548871</v>
      </c>
      <c r="DO25" s="199">
        <f t="shared" si="67"/>
        <v>-7351.8911673398015</v>
      </c>
    </row>
    <row r="26" spans="2:119" x14ac:dyDescent="0.3">
      <c r="B26" s="204">
        <f t="shared" si="68"/>
        <v>15</v>
      </c>
      <c r="C26" s="197">
        <f>'Energy NPV'!$D79*$E$8</f>
        <v>11.617000000000001</v>
      </c>
      <c r="D26" s="197">
        <f>'Energy margins'!$S$12</f>
        <v>72</v>
      </c>
      <c r="E26" s="197">
        <f t="shared" si="10"/>
        <v>836.42400000000009</v>
      </c>
      <c r="F26" s="197">
        <f>'Margins summary'!$U$14</f>
        <v>175.95</v>
      </c>
      <c r="G26" s="197">
        <f t="shared" si="11"/>
        <v>1012.374</v>
      </c>
      <c r="H26" s="197"/>
      <c r="I26" s="918">
        <f>'Energy NPV'!U79</f>
        <v>309.57878399999998</v>
      </c>
      <c r="J26" s="197"/>
      <c r="K26" s="197">
        <f t="shared" si="12"/>
        <v>309.57878399999998</v>
      </c>
      <c r="L26" s="197">
        <f t="shared" si="0"/>
        <v>526.84521600000016</v>
      </c>
      <c r="M26" s="197">
        <f t="shared" si="1"/>
        <v>702.79521599999998</v>
      </c>
      <c r="N26" s="196">
        <f t="shared" si="13"/>
        <v>483.01401867414614</v>
      </c>
      <c r="O26" s="197">
        <f t="shared" si="14"/>
        <v>101.60674082249672</v>
      </c>
      <c r="P26" s="197">
        <f t="shared" si="15"/>
        <v>178.7740339302739</v>
      </c>
      <c r="Q26" s="197">
        <f t="shared" si="16"/>
        <v>304.23998474387224</v>
      </c>
      <c r="R26" s="199">
        <f t="shared" si="17"/>
        <v>405.84672556636889</v>
      </c>
      <c r="S26" s="196">
        <f t="shared" si="69"/>
        <v>8704.9400065191203</v>
      </c>
      <c r="T26" s="197">
        <f t="shared" si="18"/>
        <v>2034.5314794375799</v>
      </c>
      <c r="U26" s="197">
        <f t="shared" si="18"/>
        <v>9463.5899398851616</v>
      </c>
      <c r="V26" s="197">
        <f t="shared" si="18"/>
        <v>-758.64993336604095</v>
      </c>
      <c r="W26" s="199">
        <f t="shared" si="18"/>
        <v>1275.8815460715391</v>
      </c>
      <c r="X26" s="197"/>
      <c r="Z26" s="204">
        <f t="shared" si="70"/>
        <v>15</v>
      </c>
      <c r="AA26" s="197">
        <f t="shared" si="19"/>
        <v>17.4255</v>
      </c>
      <c r="AB26" s="197">
        <f>'Energy margins'!$S$12</f>
        <v>72</v>
      </c>
      <c r="AC26" s="197">
        <f t="shared" si="20"/>
        <v>1254.636</v>
      </c>
      <c r="AD26" s="197">
        <f>'Margins summary'!$U$14</f>
        <v>175.95</v>
      </c>
      <c r="AE26" s="197">
        <f t="shared" si="21"/>
        <v>1430.586</v>
      </c>
      <c r="AF26" s="197"/>
      <c r="AG26" s="918">
        <f>'Energy NPV'!U79</f>
        <v>309.57878399999998</v>
      </c>
      <c r="AH26" s="197"/>
      <c r="AI26" s="197">
        <f t="shared" si="22"/>
        <v>309.57878399999998</v>
      </c>
      <c r="AJ26" s="197">
        <f t="shared" si="2"/>
        <v>945.05721599999993</v>
      </c>
      <c r="AK26" s="197">
        <f t="shared" si="3"/>
        <v>1121.007216</v>
      </c>
      <c r="AL26" s="196">
        <f t="shared" si="23"/>
        <v>724.52102801121907</v>
      </c>
      <c r="AM26" s="197">
        <f t="shared" si="24"/>
        <v>101.60674082249672</v>
      </c>
      <c r="AN26" s="197">
        <f t="shared" si="25"/>
        <v>178.7740339302739</v>
      </c>
      <c r="AO26" s="197">
        <f t="shared" si="26"/>
        <v>545.74699408094511</v>
      </c>
      <c r="AP26" s="199">
        <f t="shared" si="27"/>
        <v>647.35373490344193</v>
      </c>
      <c r="AQ26" s="196">
        <f t="shared" si="71"/>
        <v>13057.41000977868</v>
      </c>
      <c r="AR26" s="197">
        <f t="shared" si="28"/>
        <v>2034.5314794375799</v>
      </c>
      <c r="AS26" s="197">
        <f t="shared" si="28"/>
        <v>9463.5899398851616</v>
      </c>
      <c r="AT26" s="197">
        <f t="shared" si="28"/>
        <v>3593.8200698935188</v>
      </c>
      <c r="AU26" s="199">
        <f t="shared" si="28"/>
        <v>5628.351549331097</v>
      </c>
      <c r="AV26" s="197"/>
      <c r="AX26" s="204">
        <f t="shared" si="72"/>
        <v>15</v>
      </c>
      <c r="AY26" s="197">
        <f t="shared" si="29"/>
        <v>5.8085000000000004</v>
      </c>
      <c r="AZ26" s="197">
        <f>'Energy margins'!$S$12</f>
        <v>72</v>
      </c>
      <c r="BA26" s="197">
        <f t="shared" si="30"/>
        <v>418.21200000000005</v>
      </c>
      <c r="BB26" s="197">
        <f>'Margins summary'!$U$14</f>
        <v>175.95</v>
      </c>
      <c r="BC26" s="197">
        <f t="shared" si="31"/>
        <v>594.16200000000003</v>
      </c>
      <c r="BD26" s="197"/>
      <c r="BE26" s="918">
        <f>'Energy NPV'!U79</f>
        <v>309.57878399999998</v>
      </c>
      <c r="BF26" s="197"/>
      <c r="BG26" s="197">
        <f t="shared" si="32"/>
        <v>309.57878399999998</v>
      </c>
      <c r="BH26" s="197">
        <f t="shared" si="4"/>
        <v>108.63321600000006</v>
      </c>
      <c r="BI26" s="197">
        <f t="shared" si="5"/>
        <v>284.58321600000005</v>
      </c>
      <c r="BJ26" s="196">
        <f t="shared" si="33"/>
        <v>241.50700933707307</v>
      </c>
      <c r="BK26" s="197">
        <f t="shared" si="34"/>
        <v>101.60674082249672</v>
      </c>
      <c r="BL26" s="197">
        <f t="shared" si="35"/>
        <v>178.7740339302739</v>
      </c>
      <c r="BM26" s="197">
        <f t="shared" si="36"/>
        <v>62.732975406799149</v>
      </c>
      <c r="BN26" s="199">
        <f t="shared" si="37"/>
        <v>164.33971622929587</v>
      </c>
      <c r="BO26" s="196">
        <f t="shared" si="73"/>
        <v>4352.4700032595601</v>
      </c>
      <c r="BP26" s="197">
        <f t="shared" si="38"/>
        <v>2034.5314794375799</v>
      </c>
      <c r="BQ26" s="197">
        <f t="shared" si="39"/>
        <v>9463.5899398851616</v>
      </c>
      <c r="BR26" s="197">
        <f t="shared" si="40"/>
        <v>-5111.1199366255987</v>
      </c>
      <c r="BS26" s="199">
        <f t="shared" si="41"/>
        <v>-3076.5884571880192</v>
      </c>
      <c r="BT26" s="197"/>
      <c r="BV26" s="204">
        <f t="shared" si="74"/>
        <v>15</v>
      </c>
      <c r="BW26" s="197">
        <f t="shared" si="42"/>
        <v>23.234000000000002</v>
      </c>
      <c r="BX26" s="197">
        <f>'Energy margins'!$S$12</f>
        <v>72</v>
      </c>
      <c r="BY26" s="197">
        <f t="shared" si="43"/>
        <v>1672.8480000000002</v>
      </c>
      <c r="BZ26" s="197">
        <f>'Margins summary'!$U$14</f>
        <v>175.95</v>
      </c>
      <c r="CA26" s="197">
        <f t="shared" si="44"/>
        <v>1848.7980000000002</v>
      </c>
      <c r="CB26" s="197"/>
      <c r="CC26" s="918">
        <f>'Energy NPV'!U79</f>
        <v>309.57878399999998</v>
      </c>
      <c r="CD26" s="197"/>
      <c r="CE26" s="197">
        <f t="shared" si="45"/>
        <v>309.57878399999998</v>
      </c>
      <c r="CF26" s="197">
        <f t="shared" si="6"/>
        <v>1363.2692160000001</v>
      </c>
      <c r="CG26" s="197">
        <f t="shared" si="7"/>
        <v>1539.2192160000002</v>
      </c>
      <c r="CH26" s="196">
        <f t="shared" si="46"/>
        <v>966.02803734829229</v>
      </c>
      <c r="CI26" s="197">
        <f t="shared" si="47"/>
        <v>101.60674082249672</v>
      </c>
      <c r="CJ26" s="197">
        <f t="shared" si="48"/>
        <v>178.7740339302739</v>
      </c>
      <c r="CK26" s="197">
        <f t="shared" si="49"/>
        <v>787.25400341801833</v>
      </c>
      <c r="CL26" s="199">
        <f t="shared" si="50"/>
        <v>888.86074424051503</v>
      </c>
      <c r="CM26" s="196">
        <f t="shared" si="75"/>
        <v>17409.880013038241</v>
      </c>
      <c r="CN26" s="197">
        <f t="shared" si="51"/>
        <v>2034.5314794375799</v>
      </c>
      <c r="CO26" s="197">
        <f t="shared" si="52"/>
        <v>9463.5899398851616</v>
      </c>
      <c r="CP26" s="197">
        <f t="shared" si="53"/>
        <v>7946.2900731530799</v>
      </c>
      <c r="CQ26" s="199">
        <f t="shared" si="54"/>
        <v>9980.8215525906598</v>
      </c>
      <c r="CR26" s="197"/>
      <c r="CT26" s="204">
        <f t="shared" si="76"/>
        <v>15</v>
      </c>
      <c r="CU26" s="197">
        <f t="shared" si="55"/>
        <v>0</v>
      </c>
      <c r="CV26" s="197">
        <f>'Energy margins'!$S$12</f>
        <v>72</v>
      </c>
      <c r="CW26" s="197">
        <f t="shared" si="56"/>
        <v>0</v>
      </c>
      <c r="CX26" s="197">
        <f>'Margins summary'!$U$14</f>
        <v>175.95</v>
      </c>
      <c r="CY26" s="197">
        <f t="shared" si="57"/>
        <v>175.95</v>
      </c>
      <c r="CZ26" s="197"/>
      <c r="DA26" s="918">
        <f>'Energy NPV'!U79</f>
        <v>309.57878399999998</v>
      </c>
      <c r="DB26" s="197"/>
      <c r="DC26" s="197">
        <f t="shared" si="58"/>
        <v>309.57878399999998</v>
      </c>
      <c r="DD26" s="197">
        <f t="shared" si="8"/>
        <v>-309.57878399999998</v>
      </c>
      <c r="DE26" s="197">
        <f t="shared" si="9"/>
        <v>-133.628784</v>
      </c>
      <c r="DF26" s="196">
        <f t="shared" si="59"/>
        <v>0</v>
      </c>
      <c r="DG26" s="197">
        <f t="shared" si="60"/>
        <v>101.60674082249672</v>
      </c>
      <c r="DH26" s="197">
        <f t="shared" si="61"/>
        <v>178.7740339302739</v>
      </c>
      <c r="DI26" s="197">
        <f t="shared" si="62"/>
        <v>-178.7740339302739</v>
      </c>
      <c r="DJ26" s="199">
        <f t="shared" si="63"/>
        <v>-77.167293107777198</v>
      </c>
      <c r="DK26" s="196">
        <f t="shared" si="77"/>
        <v>0</v>
      </c>
      <c r="DL26" s="197">
        <f t="shared" si="64"/>
        <v>2034.5314794375799</v>
      </c>
      <c r="DM26" s="197">
        <f t="shared" si="65"/>
        <v>9463.5899398851616</v>
      </c>
      <c r="DN26" s="197">
        <f t="shared" si="66"/>
        <v>-9463.5899398851616</v>
      </c>
      <c r="DO26" s="199">
        <f t="shared" si="67"/>
        <v>-7429.0584604475789</v>
      </c>
    </row>
    <row r="27" spans="2:119" x14ac:dyDescent="0.3">
      <c r="B27" s="206">
        <f t="shared" si="68"/>
        <v>16</v>
      </c>
      <c r="C27" s="207">
        <f>'Energy NPV'!$D80*$E$8</f>
        <v>11.617000000000001</v>
      </c>
      <c r="D27" s="207">
        <f>'Energy margins'!$S$12</f>
        <v>72</v>
      </c>
      <c r="E27" s="207">
        <f t="shared" si="10"/>
        <v>836.42400000000009</v>
      </c>
      <c r="F27" s="207">
        <f>'Margins summary'!$U$14</f>
        <v>175.95</v>
      </c>
      <c r="G27" s="207">
        <f t="shared" si="11"/>
        <v>1012.374</v>
      </c>
      <c r="H27" s="207"/>
      <c r="I27" s="919">
        <f>'Energy NPV'!U80</f>
        <v>196.57878399999998</v>
      </c>
      <c r="J27" s="207">
        <f>'Energy margins'!$X$67</f>
        <v>192.1</v>
      </c>
      <c r="K27" s="207">
        <f t="shared" si="12"/>
        <v>388.67878399999995</v>
      </c>
      <c r="L27" s="207">
        <f t="shared" si="0"/>
        <v>447.74521600000014</v>
      </c>
      <c r="M27" s="207">
        <f t="shared" si="1"/>
        <v>623.69521600000007</v>
      </c>
      <c r="N27" s="208">
        <f t="shared" si="13"/>
        <v>464.43655641744823</v>
      </c>
      <c r="O27" s="207">
        <f t="shared" si="14"/>
        <v>97.698789252400701</v>
      </c>
      <c r="P27" s="207">
        <f t="shared" si="15"/>
        <v>215.81953171296033</v>
      </c>
      <c r="Q27" s="207">
        <f t="shared" si="16"/>
        <v>248.6170247044879</v>
      </c>
      <c r="R27" s="209">
        <f>M27/((1+$B$4)^(B27-1))</f>
        <v>346.31581395688858</v>
      </c>
      <c r="S27" s="208">
        <f t="shared" si="69"/>
        <v>9169.376562936568</v>
      </c>
      <c r="T27" s="207">
        <f t="shared" si="18"/>
        <v>2132.2302686899807</v>
      </c>
      <c r="U27" s="207">
        <f t="shared" si="18"/>
        <v>9679.4094715981228</v>
      </c>
      <c r="V27" s="207">
        <f t="shared" si="18"/>
        <v>-510.03290866155305</v>
      </c>
      <c r="W27" s="209">
        <f t="shared" si="18"/>
        <v>1622.1973600284277</v>
      </c>
      <c r="X27" s="197"/>
      <c r="Z27" s="206">
        <f t="shared" si="70"/>
        <v>16</v>
      </c>
      <c r="AA27" s="207">
        <f t="shared" si="19"/>
        <v>17.4255</v>
      </c>
      <c r="AB27" s="207">
        <f>'Energy margins'!$S$12</f>
        <v>72</v>
      </c>
      <c r="AC27" s="207">
        <f>AA27*AB27</f>
        <v>1254.636</v>
      </c>
      <c r="AD27" s="207">
        <f>'Margins summary'!$U$14</f>
        <v>175.95</v>
      </c>
      <c r="AE27" s="207">
        <f t="shared" si="21"/>
        <v>1430.586</v>
      </c>
      <c r="AF27" s="207"/>
      <c r="AG27" s="919">
        <f>'Energy NPV'!U80</f>
        <v>196.57878399999998</v>
      </c>
      <c r="AH27" s="207">
        <f>'Energy margins'!$X$67</f>
        <v>192.1</v>
      </c>
      <c r="AI27" s="207">
        <f t="shared" si="22"/>
        <v>388.67878399999995</v>
      </c>
      <c r="AJ27" s="207">
        <f t="shared" si="2"/>
        <v>865.95721600000002</v>
      </c>
      <c r="AK27" s="207">
        <f t="shared" si="3"/>
        <v>1041.9072160000001</v>
      </c>
      <c r="AL27" s="208">
        <f t="shared" si="23"/>
        <v>696.65483462617226</v>
      </c>
      <c r="AM27" s="207">
        <f t="shared" si="24"/>
        <v>97.698789252400701</v>
      </c>
      <c r="AN27" s="207">
        <f t="shared" si="25"/>
        <v>215.81953171296033</v>
      </c>
      <c r="AO27" s="207">
        <f t="shared" si="26"/>
        <v>480.83530291321188</v>
      </c>
      <c r="AP27" s="209">
        <f>AK27/((1+$B$4)^(Z27-1))</f>
        <v>578.53409216561261</v>
      </c>
      <c r="AQ27" s="208">
        <f t="shared" si="71"/>
        <v>13754.064844404851</v>
      </c>
      <c r="AR27" s="207">
        <f t="shared" si="28"/>
        <v>2132.2302686899807</v>
      </c>
      <c r="AS27" s="207">
        <f t="shared" si="28"/>
        <v>9679.4094715981228</v>
      </c>
      <c r="AT27" s="207">
        <f t="shared" si="28"/>
        <v>4074.6553728067306</v>
      </c>
      <c r="AU27" s="209">
        <f t="shared" si="28"/>
        <v>6206.8856414967095</v>
      </c>
      <c r="AV27" s="197"/>
      <c r="AX27" s="206">
        <f t="shared" si="72"/>
        <v>16</v>
      </c>
      <c r="AY27" s="207">
        <f t="shared" si="29"/>
        <v>5.8085000000000004</v>
      </c>
      <c r="AZ27" s="207">
        <f>'Energy margins'!$S$12</f>
        <v>72</v>
      </c>
      <c r="BA27" s="207">
        <f>AY27*AZ27</f>
        <v>418.21200000000005</v>
      </c>
      <c r="BB27" s="207">
        <f>'Margins summary'!$U$14</f>
        <v>175.95</v>
      </c>
      <c r="BC27" s="207">
        <f t="shared" si="31"/>
        <v>594.16200000000003</v>
      </c>
      <c r="BD27" s="207"/>
      <c r="BE27" s="919">
        <f>'Energy NPV'!U80</f>
        <v>196.57878399999998</v>
      </c>
      <c r="BF27" s="207">
        <f>'Energy margins'!$X$67</f>
        <v>192.1</v>
      </c>
      <c r="BG27" s="207">
        <f t="shared" si="32"/>
        <v>388.67878399999995</v>
      </c>
      <c r="BH27" s="207">
        <f t="shared" si="4"/>
        <v>29.533216000000095</v>
      </c>
      <c r="BI27" s="207">
        <f t="shared" si="5"/>
        <v>205.48321600000008</v>
      </c>
      <c r="BJ27" s="208">
        <f t="shared" si="33"/>
        <v>232.21827820872412</v>
      </c>
      <c r="BK27" s="207">
        <f t="shared" si="34"/>
        <v>97.698789252400701</v>
      </c>
      <c r="BL27" s="207">
        <f t="shared" si="35"/>
        <v>215.81953171296033</v>
      </c>
      <c r="BM27" s="207">
        <f t="shared" si="36"/>
        <v>16.398746495763785</v>
      </c>
      <c r="BN27" s="209">
        <f>BI27/((1+$B$4)^(AX27-1))</f>
        <v>114.09753574816447</v>
      </c>
      <c r="BO27" s="208">
        <f t="shared" si="73"/>
        <v>4584.688281468284</v>
      </c>
      <c r="BP27" s="207">
        <f t="shared" si="38"/>
        <v>2132.2302686899807</v>
      </c>
      <c r="BQ27" s="207">
        <f t="shared" si="39"/>
        <v>9679.4094715981228</v>
      </c>
      <c r="BR27" s="207">
        <f t="shared" si="40"/>
        <v>-5094.7211901298351</v>
      </c>
      <c r="BS27" s="209">
        <f t="shared" si="41"/>
        <v>-2962.4909214398549</v>
      </c>
      <c r="BT27" s="197"/>
      <c r="BV27" s="206">
        <f t="shared" si="74"/>
        <v>16</v>
      </c>
      <c r="BW27" s="207">
        <f t="shared" si="42"/>
        <v>23.234000000000002</v>
      </c>
      <c r="BX27" s="207">
        <f>'Energy margins'!$S$12</f>
        <v>72</v>
      </c>
      <c r="BY27" s="207">
        <f t="shared" si="43"/>
        <v>1672.8480000000002</v>
      </c>
      <c r="BZ27" s="207">
        <f>'Margins summary'!$U$14</f>
        <v>175.95</v>
      </c>
      <c r="CA27" s="207">
        <f t="shared" si="44"/>
        <v>1848.7980000000002</v>
      </c>
      <c r="CB27" s="207"/>
      <c r="CC27" s="919">
        <f>'Energy NPV'!U80</f>
        <v>196.57878399999998</v>
      </c>
      <c r="CD27" s="207">
        <f>'Energy margins'!$X$67</f>
        <v>192.1</v>
      </c>
      <c r="CE27" s="207">
        <f t="shared" si="45"/>
        <v>388.67878399999995</v>
      </c>
      <c r="CF27" s="207">
        <f t="shared" si="6"/>
        <v>1284.1692160000002</v>
      </c>
      <c r="CG27" s="207">
        <f t="shared" si="7"/>
        <v>1460.1192160000003</v>
      </c>
      <c r="CH27" s="208">
        <f t="shared" si="46"/>
        <v>928.87311283489646</v>
      </c>
      <c r="CI27" s="207">
        <f t="shared" si="47"/>
        <v>97.698789252400701</v>
      </c>
      <c r="CJ27" s="207">
        <f t="shared" si="48"/>
        <v>215.81953171296033</v>
      </c>
      <c r="CK27" s="207">
        <f t="shared" si="49"/>
        <v>713.05358112193608</v>
      </c>
      <c r="CL27" s="209">
        <f>CG27/((1+$B$4)^(BV27-1))</f>
        <v>810.75237037433681</v>
      </c>
      <c r="CM27" s="208">
        <f t="shared" si="75"/>
        <v>18338.753125873136</v>
      </c>
      <c r="CN27" s="207">
        <f t="shared" si="51"/>
        <v>2132.2302686899807</v>
      </c>
      <c r="CO27" s="207">
        <f t="shared" si="52"/>
        <v>9679.4094715981228</v>
      </c>
      <c r="CP27" s="207">
        <f t="shared" si="53"/>
        <v>8659.3436542750169</v>
      </c>
      <c r="CQ27" s="209">
        <f t="shared" si="54"/>
        <v>10791.573922964997</v>
      </c>
      <c r="CR27" s="197"/>
      <c r="CT27" s="206">
        <f t="shared" si="76"/>
        <v>16</v>
      </c>
      <c r="CU27" s="207">
        <f t="shared" si="55"/>
        <v>0</v>
      </c>
      <c r="CV27" s="207">
        <f>'Energy margins'!$S$12</f>
        <v>72</v>
      </c>
      <c r="CW27" s="207">
        <f t="shared" si="56"/>
        <v>0</v>
      </c>
      <c r="CX27" s="207">
        <f>'Margins summary'!$U$14</f>
        <v>175.95</v>
      </c>
      <c r="CY27" s="207">
        <f t="shared" si="57"/>
        <v>175.95</v>
      </c>
      <c r="CZ27" s="207"/>
      <c r="DA27" s="919">
        <f>'Energy NPV'!U80</f>
        <v>196.57878399999998</v>
      </c>
      <c r="DB27" s="207">
        <f>'Energy margins'!$X$67</f>
        <v>192.1</v>
      </c>
      <c r="DC27" s="207">
        <f t="shared" si="58"/>
        <v>388.67878399999995</v>
      </c>
      <c r="DD27" s="207">
        <f t="shared" si="8"/>
        <v>-388.67878399999995</v>
      </c>
      <c r="DE27" s="207">
        <f t="shared" si="9"/>
        <v>-212.72878399999996</v>
      </c>
      <c r="DF27" s="208">
        <f t="shared" si="59"/>
        <v>0</v>
      </c>
      <c r="DG27" s="207">
        <f t="shared" si="60"/>
        <v>97.698789252400701</v>
      </c>
      <c r="DH27" s="207">
        <f t="shared" si="61"/>
        <v>215.81953171296033</v>
      </c>
      <c r="DI27" s="207">
        <f t="shared" si="62"/>
        <v>-215.81953171296033</v>
      </c>
      <c r="DJ27" s="209">
        <f>DE27/((1+$B$4)^(CT27-1))</f>
        <v>-118.12074246055963</v>
      </c>
      <c r="DK27" s="208">
        <f t="shared" si="77"/>
        <v>0</v>
      </c>
      <c r="DL27" s="207">
        <f t="shared" si="64"/>
        <v>2132.2302686899807</v>
      </c>
      <c r="DM27" s="207">
        <f t="shared" si="65"/>
        <v>9679.4094715981228</v>
      </c>
      <c r="DN27" s="207">
        <f t="shared" si="66"/>
        <v>-9679.4094715981228</v>
      </c>
      <c r="DO27" s="209">
        <f t="shared" si="67"/>
        <v>-7547.1792029081389</v>
      </c>
    </row>
    <row r="29" spans="2:119" x14ac:dyDescent="0.3">
      <c r="AA29" s="197"/>
    </row>
    <row r="34" spans="2:119" x14ac:dyDescent="0.3">
      <c r="B34" s="228" t="s">
        <v>451</v>
      </c>
      <c r="C34" s="775" t="s">
        <v>418</v>
      </c>
      <c r="D34" s="269" t="s">
        <v>405</v>
      </c>
      <c r="E34" s="906">
        <v>1</v>
      </c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Z34" s="228" t="s">
        <v>451</v>
      </c>
      <c r="AA34" s="211" t="s">
        <v>327</v>
      </c>
      <c r="AB34" s="908">
        <v>1.5</v>
      </c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X34" s="228" t="s">
        <v>451</v>
      </c>
      <c r="AY34" s="211" t="s">
        <v>328</v>
      </c>
      <c r="AZ34" s="908">
        <v>0.5</v>
      </c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V34" s="228" t="s">
        <v>451</v>
      </c>
      <c r="BW34" s="268" t="s">
        <v>329</v>
      </c>
      <c r="BX34" s="905">
        <v>2</v>
      </c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T34" s="228" t="s">
        <v>451</v>
      </c>
      <c r="CU34" s="268" t="s">
        <v>330</v>
      </c>
      <c r="CV34" s="905">
        <v>0</v>
      </c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</row>
    <row r="35" spans="2:119" x14ac:dyDescent="0.3">
      <c r="B35" s="203"/>
      <c r="C35" s="148"/>
      <c r="D35" s="148"/>
      <c r="E35" s="1086"/>
      <c r="F35" s="1086"/>
      <c r="G35" s="1086"/>
      <c r="H35" s="148"/>
      <c r="I35" s="931"/>
      <c r="J35" s="1086"/>
      <c r="K35" s="1086"/>
      <c r="L35" s="148"/>
      <c r="M35" s="148"/>
      <c r="N35" s="1087" t="s">
        <v>275</v>
      </c>
      <c r="O35" s="1088"/>
      <c r="P35" s="1088"/>
      <c r="Q35" s="1088"/>
      <c r="R35" s="1089"/>
      <c r="S35" s="1087" t="s">
        <v>276</v>
      </c>
      <c r="T35" s="1088"/>
      <c r="U35" s="1088"/>
      <c r="V35" s="1088"/>
      <c r="W35" s="1089"/>
      <c r="X35" s="987"/>
      <c r="Z35" s="203"/>
      <c r="AA35" s="148"/>
      <c r="AB35" s="148"/>
      <c r="AC35" s="1086"/>
      <c r="AD35" s="1086"/>
      <c r="AE35" s="1086"/>
      <c r="AF35" s="148"/>
      <c r="AG35" s="931"/>
      <c r="AH35" s="1086"/>
      <c r="AI35" s="1086"/>
      <c r="AJ35" s="148"/>
      <c r="AK35" s="148"/>
      <c r="AL35" s="1087" t="s">
        <v>275</v>
      </c>
      <c r="AM35" s="1088"/>
      <c r="AN35" s="1088"/>
      <c r="AO35" s="1088"/>
      <c r="AP35" s="1089"/>
      <c r="AQ35" s="1087" t="s">
        <v>276</v>
      </c>
      <c r="AR35" s="1088"/>
      <c r="AS35" s="1088"/>
      <c r="AT35" s="1088"/>
      <c r="AU35" s="1089"/>
      <c r="AV35" s="987"/>
      <c r="AX35" s="203"/>
      <c r="AY35" s="148"/>
      <c r="AZ35" s="148"/>
      <c r="BA35" s="1086"/>
      <c r="BB35" s="1086"/>
      <c r="BC35" s="1086"/>
      <c r="BD35" s="148"/>
      <c r="BE35" s="931"/>
      <c r="BF35" s="1086"/>
      <c r="BG35" s="1086"/>
      <c r="BH35" s="148"/>
      <c r="BI35" s="148"/>
      <c r="BJ35" s="1087" t="s">
        <v>275</v>
      </c>
      <c r="BK35" s="1088"/>
      <c r="BL35" s="1088"/>
      <c r="BM35" s="1088"/>
      <c r="BN35" s="1089"/>
      <c r="BO35" s="1087" t="s">
        <v>276</v>
      </c>
      <c r="BP35" s="1088"/>
      <c r="BQ35" s="1088"/>
      <c r="BR35" s="1088"/>
      <c r="BS35" s="1089"/>
      <c r="BT35" s="987"/>
      <c r="BV35" s="203"/>
      <c r="BW35" s="148"/>
      <c r="BX35" s="148"/>
      <c r="BY35" s="1086"/>
      <c r="BZ35" s="1086"/>
      <c r="CA35" s="1086"/>
      <c r="CB35" s="148"/>
      <c r="CC35" s="931"/>
      <c r="CD35" s="1086"/>
      <c r="CE35" s="1086"/>
      <c r="CF35" s="148"/>
      <c r="CG35" s="148"/>
      <c r="CH35" s="1087" t="s">
        <v>275</v>
      </c>
      <c r="CI35" s="1088"/>
      <c r="CJ35" s="1088"/>
      <c r="CK35" s="1088"/>
      <c r="CL35" s="1089"/>
      <c r="CM35" s="1087" t="s">
        <v>276</v>
      </c>
      <c r="CN35" s="1088"/>
      <c r="CO35" s="1088"/>
      <c r="CP35" s="1088"/>
      <c r="CQ35" s="1089"/>
      <c r="CR35" s="987"/>
      <c r="CT35" s="203"/>
      <c r="CU35" s="148"/>
      <c r="CV35" s="148"/>
      <c r="CW35" s="1086"/>
      <c r="CX35" s="1086"/>
      <c r="CY35" s="1086"/>
      <c r="CZ35" s="148"/>
      <c r="DA35" s="931"/>
      <c r="DB35" s="1086"/>
      <c r="DC35" s="1086"/>
      <c r="DD35" s="148"/>
      <c r="DE35" s="148"/>
      <c r="DF35" s="1087" t="s">
        <v>275</v>
      </c>
      <c r="DG35" s="1088"/>
      <c r="DH35" s="1088"/>
      <c r="DI35" s="1088"/>
      <c r="DJ35" s="1089"/>
      <c r="DK35" s="1087" t="s">
        <v>276</v>
      </c>
      <c r="DL35" s="1088"/>
      <c r="DM35" s="1088"/>
      <c r="DN35" s="1088"/>
      <c r="DO35" s="1089"/>
    </row>
    <row r="36" spans="2:119" ht="51" x14ac:dyDescent="0.3">
      <c r="B36" s="204" t="s">
        <v>277</v>
      </c>
      <c r="C36" s="205" t="s">
        <v>303</v>
      </c>
      <c r="D36" s="205" t="s">
        <v>304</v>
      </c>
      <c r="E36" s="171" t="s">
        <v>675</v>
      </c>
      <c r="F36" s="171" t="s">
        <v>666</v>
      </c>
      <c r="G36" s="171" t="s">
        <v>676</v>
      </c>
      <c r="H36" s="205" t="s">
        <v>301</v>
      </c>
      <c r="I36" s="935" t="str">
        <f>'Energy NPV'!U89</f>
        <v>Total Recurring Costs</v>
      </c>
      <c r="J36" s="205" t="s">
        <v>305</v>
      </c>
      <c r="K36" s="171" t="s">
        <v>283</v>
      </c>
      <c r="L36" s="171" t="s">
        <v>677</v>
      </c>
      <c r="M36" s="171" t="s">
        <v>678</v>
      </c>
      <c r="N36" s="195" t="s">
        <v>286</v>
      </c>
      <c r="O36" s="171" t="s">
        <v>679</v>
      </c>
      <c r="P36" s="171" t="s">
        <v>288</v>
      </c>
      <c r="Q36" s="171" t="s">
        <v>680</v>
      </c>
      <c r="R36" s="198" t="s">
        <v>290</v>
      </c>
      <c r="S36" s="195" t="s">
        <v>291</v>
      </c>
      <c r="T36" s="171" t="s">
        <v>681</v>
      </c>
      <c r="U36" s="171" t="s">
        <v>293</v>
      </c>
      <c r="V36" s="171" t="s">
        <v>682</v>
      </c>
      <c r="W36" s="198" t="s">
        <v>295</v>
      </c>
      <c r="X36" s="171"/>
      <c r="Z36" s="204" t="s">
        <v>277</v>
      </c>
      <c r="AA36" s="205" t="s">
        <v>303</v>
      </c>
      <c r="AB36" s="205" t="s">
        <v>304</v>
      </c>
      <c r="AC36" s="171" t="s">
        <v>675</v>
      </c>
      <c r="AD36" s="171" t="s">
        <v>666</v>
      </c>
      <c r="AE36" s="171" t="s">
        <v>676</v>
      </c>
      <c r="AF36" s="205" t="s">
        <v>301</v>
      </c>
      <c r="AG36" s="935" t="str">
        <f>'Energy NPV'!U89</f>
        <v>Total Recurring Costs</v>
      </c>
      <c r="AH36" s="205" t="s">
        <v>305</v>
      </c>
      <c r="AI36" s="171" t="s">
        <v>283</v>
      </c>
      <c r="AJ36" s="171" t="s">
        <v>677</v>
      </c>
      <c r="AK36" s="171" t="s">
        <v>678</v>
      </c>
      <c r="AL36" s="195" t="s">
        <v>286</v>
      </c>
      <c r="AM36" s="171" t="s">
        <v>679</v>
      </c>
      <c r="AN36" s="171" t="s">
        <v>288</v>
      </c>
      <c r="AO36" s="171" t="s">
        <v>680</v>
      </c>
      <c r="AP36" s="198" t="s">
        <v>290</v>
      </c>
      <c r="AQ36" s="195" t="s">
        <v>291</v>
      </c>
      <c r="AR36" s="171" t="s">
        <v>681</v>
      </c>
      <c r="AS36" s="171" t="s">
        <v>293</v>
      </c>
      <c r="AT36" s="171" t="s">
        <v>682</v>
      </c>
      <c r="AU36" s="198" t="s">
        <v>295</v>
      </c>
      <c r="AV36" s="171"/>
      <c r="AX36" s="204" t="s">
        <v>277</v>
      </c>
      <c r="AY36" s="205" t="s">
        <v>303</v>
      </c>
      <c r="AZ36" s="205" t="s">
        <v>304</v>
      </c>
      <c r="BA36" s="171" t="s">
        <v>675</v>
      </c>
      <c r="BB36" s="171" t="s">
        <v>666</v>
      </c>
      <c r="BC36" s="171" t="s">
        <v>676</v>
      </c>
      <c r="BD36" s="205" t="s">
        <v>301</v>
      </c>
      <c r="BE36" s="935" t="str">
        <f>'Energy NPV'!U89</f>
        <v>Total Recurring Costs</v>
      </c>
      <c r="BF36" s="205" t="s">
        <v>305</v>
      </c>
      <c r="BG36" s="171" t="s">
        <v>283</v>
      </c>
      <c r="BH36" s="171" t="s">
        <v>677</v>
      </c>
      <c r="BI36" s="171" t="s">
        <v>678</v>
      </c>
      <c r="BJ36" s="195" t="s">
        <v>286</v>
      </c>
      <c r="BK36" s="171" t="s">
        <v>679</v>
      </c>
      <c r="BL36" s="171" t="s">
        <v>288</v>
      </c>
      <c r="BM36" s="171" t="s">
        <v>680</v>
      </c>
      <c r="BN36" s="198" t="s">
        <v>290</v>
      </c>
      <c r="BO36" s="195" t="s">
        <v>291</v>
      </c>
      <c r="BP36" s="171" t="s">
        <v>681</v>
      </c>
      <c r="BQ36" s="171" t="s">
        <v>293</v>
      </c>
      <c r="BR36" s="171" t="s">
        <v>682</v>
      </c>
      <c r="BS36" s="198" t="s">
        <v>295</v>
      </c>
      <c r="BT36" s="171"/>
      <c r="BV36" s="204" t="s">
        <v>277</v>
      </c>
      <c r="BW36" s="205" t="s">
        <v>303</v>
      </c>
      <c r="BX36" s="205" t="s">
        <v>304</v>
      </c>
      <c r="BY36" s="171" t="s">
        <v>675</v>
      </c>
      <c r="BZ36" s="171" t="s">
        <v>666</v>
      </c>
      <c r="CA36" s="171" t="s">
        <v>676</v>
      </c>
      <c r="CB36" s="205" t="s">
        <v>301</v>
      </c>
      <c r="CC36" s="935" t="str">
        <f>'Energy NPV'!U89</f>
        <v>Total Recurring Costs</v>
      </c>
      <c r="CD36" s="205" t="s">
        <v>305</v>
      </c>
      <c r="CE36" s="171" t="s">
        <v>283</v>
      </c>
      <c r="CF36" s="171" t="s">
        <v>677</v>
      </c>
      <c r="CG36" s="171" t="s">
        <v>678</v>
      </c>
      <c r="CH36" s="195" t="s">
        <v>286</v>
      </c>
      <c r="CI36" s="171" t="s">
        <v>679</v>
      </c>
      <c r="CJ36" s="171" t="s">
        <v>288</v>
      </c>
      <c r="CK36" s="171" t="s">
        <v>680</v>
      </c>
      <c r="CL36" s="198" t="s">
        <v>290</v>
      </c>
      <c r="CM36" s="195" t="s">
        <v>291</v>
      </c>
      <c r="CN36" s="171" t="s">
        <v>681</v>
      </c>
      <c r="CO36" s="171" t="s">
        <v>293</v>
      </c>
      <c r="CP36" s="171" t="s">
        <v>682</v>
      </c>
      <c r="CQ36" s="198" t="s">
        <v>295</v>
      </c>
      <c r="CR36" s="171"/>
      <c r="CT36" s="204" t="s">
        <v>277</v>
      </c>
      <c r="CU36" s="205" t="s">
        <v>303</v>
      </c>
      <c r="CV36" s="205" t="s">
        <v>304</v>
      </c>
      <c r="CW36" s="171" t="s">
        <v>675</v>
      </c>
      <c r="CX36" s="171" t="s">
        <v>666</v>
      </c>
      <c r="CY36" s="171" t="s">
        <v>676</v>
      </c>
      <c r="CZ36" s="205" t="s">
        <v>301</v>
      </c>
      <c r="DA36" s="935" t="str">
        <f>'Energy NPV'!U89</f>
        <v>Total Recurring Costs</v>
      </c>
      <c r="DB36" s="205" t="s">
        <v>305</v>
      </c>
      <c r="DC36" s="171" t="s">
        <v>283</v>
      </c>
      <c r="DD36" s="171" t="s">
        <v>677</v>
      </c>
      <c r="DE36" s="171" t="s">
        <v>678</v>
      </c>
      <c r="DF36" s="195" t="s">
        <v>286</v>
      </c>
      <c r="DG36" s="171" t="s">
        <v>679</v>
      </c>
      <c r="DH36" s="171" t="s">
        <v>288</v>
      </c>
      <c r="DI36" s="171" t="s">
        <v>680</v>
      </c>
      <c r="DJ36" s="198" t="s">
        <v>290</v>
      </c>
      <c r="DK36" s="195" t="s">
        <v>291</v>
      </c>
      <c r="DL36" s="171" t="s">
        <v>681</v>
      </c>
      <c r="DM36" s="171" t="s">
        <v>293</v>
      </c>
      <c r="DN36" s="171" t="s">
        <v>682</v>
      </c>
      <c r="DO36" s="198" t="s">
        <v>295</v>
      </c>
    </row>
    <row r="37" spans="2:119" x14ac:dyDescent="0.3">
      <c r="B37" s="173"/>
      <c r="C37" s="226" t="s">
        <v>341</v>
      </c>
      <c r="D37" s="226" t="s">
        <v>601</v>
      </c>
      <c r="E37" s="201" t="s">
        <v>599</v>
      </c>
      <c r="F37" s="201" t="s">
        <v>599</v>
      </c>
      <c r="G37" s="201" t="s">
        <v>599</v>
      </c>
      <c r="H37" s="201" t="s">
        <v>599</v>
      </c>
      <c r="I37" s="969" t="str">
        <f>'Energy NPV'!U90</f>
        <v>(€ ha-1)</v>
      </c>
      <c r="J37" s="201" t="s">
        <v>599</v>
      </c>
      <c r="K37" s="201" t="s">
        <v>599</v>
      </c>
      <c r="L37" s="201" t="s">
        <v>599</v>
      </c>
      <c r="M37" s="202" t="s">
        <v>599</v>
      </c>
      <c r="N37" s="201" t="s">
        <v>599</v>
      </c>
      <c r="O37" s="201" t="s">
        <v>599</v>
      </c>
      <c r="P37" s="201" t="s">
        <v>599</v>
      </c>
      <c r="Q37" s="201" t="s">
        <v>599</v>
      </c>
      <c r="R37" s="202" t="s">
        <v>599</v>
      </c>
      <c r="S37" s="201" t="s">
        <v>599</v>
      </c>
      <c r="T37" s="201" t="s">
        <v>599</v>
      </c>
      <c r="U37" s="201" t="s">
        <v>599</v>
      </c>
      <c r="V37" s="201" t="s">
        <v>599</v>
      </c>
      <c r="W37" s="202" t="s">
        <v>599</v>
      </c>
      <c r="X37" s="988"/>
      <c r="Z37" s="173"/>
      <c r="AA37" s="226" t="s">
        <v>341</v>
      </c>
      <c r="AB37" s="226" t="s">
        <v>601</v>
      </c>
      <c r="AC37" s="201" t="s">
        <v>599</v>
      </c>
      <c r="AD37" s="201" t="s">
        <v>599</v>
      </c>
      <c r="AE37" s="201" t="s">
        <v>599</v>
      </c>
      <c r="AF37" s="201" t="s">
        <v>599</v>
      </c>
      <c r="AG37" s="969" t="str">
        <f>'Energy NPV'!U90</f>
        <v>(€ ha-1)</v>
      </c>
      <c r="AH37" s="201" t="s">
        <v>599</v>
      </c>
      <c r="AI37" s="201" t="s">
        <v>599</v>
      </c>
      <c r="AJ37" s="201" t="s">
        <v>599</v>
      </c>
      <c r="AK37" s="202" t="s">
        <v>599</v>
      </c>
      <c r="AL37" s="201" t="s">
        <v>599</v>
      </c>
      <c r="AM37" s="201" t="s">
        <v>599</v>
      </c>
      <c r="AN37" s="201" t="s">
        <v>599</v>
      </c>
      <c r="AO37" s="201" t="s">
        <v>599</v>
      </c>
      <c r="AP37" s="202" t="s">
        <v>599</v>
      </c>
      <c r="AQ37" s="201" t="s">
        <v>599</v>
      </c>
      <c r="AR37" s="201" t="s">
        <v>599</v>
      </c>
      <c r="AS37" s="201" t="s">
        <v>599</v>
      </c>
      <c r="AT37" s="201" t="s">
        <v>599</v>
      </c>
      <c r="AU37" s="202" t="s">
        <v>599</v>
      </c>
      <c r="AV37" s="988"/>
      <c r="AX37" s="173"/>
      <c r="AY37" s="226" t="s">
        <v>341</v>
      </c>
      <c r="AZ37" s="226" t="s">
        <v>601</v>
      </c>
      <c r="BA37" s="201" t="s">
        <v>599</v>
      </c>
      <c r="BB37" s="201" t="s">
        <v>599</v>
      </c>
      <c r="BC37" s="201" t="s">
        <v>599</v>
      </c>
      <c r="BD37" s="201" t="s">
        <v>599</v>
      </c>
      <c r="BE37" s="969" t="str">
        <f>'Energy NPV'!U90</f>
        <v>(€ ha-1)</v>
      </c>
      <c r="BF37" s="201" t="s">
        <v>599</v>
      </c>
      <c r="BG37" s="201" t="s">
        <v>599</v>
      </c>
      <c r="BH37" s="201" t="s">
        <v>599</v>
      </c>
      <c r="BI37" s="202" t="s">
        <v>599</v>
      </c>
      <c r="BJ37" s="201" t="s">
        <v>599</v>
      </c>
      <c r="BK37" s="201" t="s">
        <v>599</v>
      </c>
      <c r="BL37" s="201" t="s">
        <v>599</v>
      </c>
      <c r="BM37" s="201" t="s">
        <v>599</v>
      </c>
      <c r="BN37" s="202" t="s">
        <v>599</v>
      </c>
      <c r="BO37" s="201" t="s">
        <v>599</v>
      </c>
      <c r="BP37" s="201" t="s">
        <v>599</v>
      </c>
      <c r="BQ37" s="201" t="s">
        <v>599</v>
      </c>
      <c r="BR37" s="201" t="s">
        <v>599</v>
      </c>
      <c r="BS37" s="202" t="s">
        <v>599</v>
      </c>
      <c r="BT37" s="988"/>
      <c r="BV37" s="173"/>
      <c r="BW37" s="226" t="s">
        <v>341</v>
      </c>
      <c r="BX37" s="226" t="s">
        <v>601</v>
      </c>
      <c r="BY37" s="201" t="s">
        <v>599</v>
      </c>
      <c r="BZ37" s="201" t="s">
        <v>599</v>
      </c>
      <c r="CA37" s="201" t="s">
        <v>599</v>
      </c>
      <c r="CB37" s="201" t="s">
        <v>599</v>
      </c>
      <c r="CC37" s="969" t="str">
        <f>'Energy NPV'!U90</f>
        <v>(€ ha-1)</v>
      </c>
      <c r="CD37" s="201" t="s">
        <v>599</v>
      </c>
      <c r="CE37" s="201" t="s">
        <v>599</v>
      </c>
      <c r="CF37" s="201" t="s">
        <v>599</v>
      </c>
      <c r="CG37" s="202" t="s">
        <v>599</v>
      </c>
      <c r="CH37" s="201" t="s">
        <v>599</v>
      </c>
      <c r="CI37" s="201" t="s">
        <v>599</v>
      </c>
      <c r="CJ37" s="201" t="s">
        <v>599</v>
      </c>
      <c r="CK37" s="201" t="s">
        <v>599</v>
      </c>
      <c r="CL37" s="202" t="s">
        <v>599</v>
      </c>
      <c r="CM37" s="201" t="s">
        <v>599</v>
      </c>
      <c r="CN37" s="201" t="s">
        <v>599</v>
      </c>
      <c r="CO37" s="201" t="s">
        <v>599</v>
      </c>
      <c r="CP37" s="201" t="s">
        <v>599</v>
      </c>
      <c r="CQ37" s="202" t="s">
        <v>599</v>
      </c>
      <c r="CR37" s="988"/>
      <c r="CT37" s="173"/>
      <c r="CU37" s="226" t="s">
        <v>341</v>
      </c>
      <c r="CV37" s="226" t="s">
        <v>601</v>
      </c>
      <c r="CW37" s="201" t="s">
        <v>599</v>
      </c>
      <c r="CX37" s="201" t="s">
        <v>599</v>
      </c>
      <c r="CY37" s="201" t="s">
        <v>599</v>
      </c>
      <c r="CZ37" s="201" t="s">
        <v>599</v>
      </c>
      <c r="DA37" s="969" t="str">
        <f>'Energy NPV'!U90</f>
        <v>(€ ha-1)</v>
      </c>
      <c r="DB37" s="201" t="s">
        <v>599</v>
      </c>
      <c r="DC37" s="201" t="s">
        <v>599</v>
      </c>
      <c r="DD37" s="201" t="s">
        <v>599</v>
      </c>
      <c r="DE37" s="202" t="s">
        <v>599</v>
      </c>
      <c r="DF37" s="201" t="s">
        <v>599</v>
      </c>
      <c r="DG37" s="201" t="s">
        <v>599</v>
      </c>
      <c r="DH37" s="201" t="s">
        <v>599</v>
      </c>
      <c r="DI37" s="201" t="s">
        <v>599</v>
      </c>
      <c r="DJ37" s="202" t="s">
        <v>599</v>
      </c>
      <c r="DK37" s="201" t="s">
        <v>599</v>
      </c>
      <c r="DL37" s="201" t="s">
        <v>599</v>
      </c>
      <c r="DM37" s="201" t="s">
        <v>599</v>
      </c>
      <c r="DN37" s="201" t="s">
        <v>599</v>
      </c>
      <c r="DO37" s="202" t="s">
        <v>599</v>
      </c>
    </row>
    <row r="38" spans="2:119" x14ac:dyDescent="0.3">
      <c r="B38" s="204">
        <v>1</v>
      </c>
      <c r="C38" s="225">
        <f>'Energy NPV'!$D91*$E$34</f>
        <v>0</v>
      </c>
      <c r="D38" s="197">
        <f>'Energy margins'!$Z$12</f>
        <v>72</v>
      </c>
      <c r="E38" s="197">
        <f>C38*D38</f>
        <v>0</v>
      </c>
      <c r="F38" s="197">
        <f>'Margins summary'!$W$14</f>
        <v>175.95</v>
      </c>
      <c r="G38" s="197">
        <f>E38+F38</f>
        <v>175.95</v>
      </c>
      <c r="H38" s="197">
        <f>'Margins summary'!$V$20</f>
        <v>2234.4822840000002</v>
      </c>
      <c r="I38" s="918">
        <f>'Energy NPV'!U91</f>
        <v>0</v>
      </c>
      <c r="J38" s="197"/>
      <c r="K38" s="197">
        <f>H38+I38+J38</f>
        <v>2234.4822840000002</v>
      </c>
      <c r="L38" s="197">
        <f t="shared" ref="L38:L53" si="78">E38-K38</f>
        <v>-2234.4822840000002</v>
      </c>
      <c r="M38" s="197">
        <f t="shared" ref="M38:M53" si="79">G38-K38</f>
        <v>-2058.5322840000003</v>
      </c>
      <c r="N38" s="1018">
        <f>E38/(1+$B$4)^(B38-1)</f>
        <v>0</v>
      </c>
      <c r="O38" s="213">
        <f>F38/(1+$B$4)^(B38-1)</f>
        <v>175.95</v>
      </c>
      <c r="P38" s="213">
        <f>K38/(1+$B$4)^(B38-1)</f>
        <v>2234.4822840000002</v>
      </c>
      <c r="Q38" s="213">
        <f>L38/(1+$B$4)^(B38-1)</f>
        <v>-2234.4822840000002</v>
      </c>
      <c r="R38" s="929">
        <f>M38/(1+$B$4)^(B38-1)</f>
        <v>-2058.5322840000003</v>
      </c>
      <c r="S38" s="196">
        <f>N38</f>
        <v>0</v>
      </c>
      <c r="T38" s="197">
        <f>O38</f>
        <v>175.95</v>
      </c>
      <c r="U38" s="197">
        <f>P38</f>
        <v>2234.4822840000002</v>
      </c>
      <c r="V38" s="197">
        <f>Q38</f>
        <v>-2234.4822840000002</v>
      </c>
      <c r="W38" s="199">
        <f>R38</f>
        <v>-2058.5322840000003</v>
      </c>
      <c r="X38" s="197"/>
      <c r="Z38" s="204">
        <v>1</v>
      </c>
      <c r="AA38" s="197">
        <f>'Energy NPV'!$D91*$AB$34</f>
        <v>0</v>
      </c>
      <c r="AB38" s="197">
        <f>'Energy margins'!$Z$12</f>
        <v>72</v>
      </c>
      <c r="AC38" s="197">
        <f>AA38*AB38</f>
        <v>0</v>
      </c>
      <c r="AD38" s="197">
        <f>'Margins summary'!$W$14</f>
        <v>175.95</v>
      </c>
      <c r="AE38" s="197">
        <f>AC38+AD38</f>
        <v>175.95</v>
      </c>
      <c r="AF38" s="197">
        <f>'Margins summary'!$V$20</f>
        <v>2234.4822840000002</v>
      </c>
      <c r="AG38" s="918">
        <f>'Energy NPV'!U91</f>
        <v>0</v>
      </c>
      <c r="AH38" s="197"/>
      <c r="AI38" s="197">
        <f>AF38+AG38+AH38</f>
        <v>2234.4822840000002</v>
      </c>
      <c r="AJ38" s="197">
        <f t="shared" ref="AJ38:AJ53" si="80">AC38-AI38</f>
        <v>-2234.4822840000002</v>
      </c>
      <c r="AK38" s="197">
        <f t="shared" ref="AK38:AK53" si="81">AE38-AI38</f>
        <v>-2058.5322840000003</v>
      </c>
      <c r="AL38" s="1018">
        <f>AC38/(1+$B$4)^(Z38-1)</f>
        <v>0</v>
      </c>
      <c r="AM38" s="213">
        <f>AD38/(1+$B$4)^(Z38-1)</f>
        <v>175.95</v>
      </c>
      <c r="AN38" s="213">
        <f>AI38/(1+$B$4)^(Z38-1)</f>
        <v>2234.4822840000002</v>
      </c>
      <c r="AO38" s="213">
        <f>AJ38/(1+$B$4)^(Z38-1)</f>
        <v>-2234.4822840000002</v>
      </c>
      <c r="AP38" s="929">
        <f>AK38/(1+$B$4)^(Z38-1)</f>
        <v>-2058.5322840000003</v>
      </c>
      <c r="AQ38" s="196">
        <f>AL38</f>
        <v>0</v>
      </c>
      <c r="AR38" s="197">
        <f>AM38</f>
        <v>175.95</v>
      </c>
      <c r="AS38" s="197">
        <f>AN38</f>
        <v>2234.4822840000002</v>
      </c>
      <c r="AT38" s="197">
        <f>AO38</f>
        <v>-2234.4822840000002</v>
      </c>
      <c r="AU38" s="199">
        <f>AP38</f>
        <v>-2058.5322840000003</v>
      </c>
      <c r="AV38" s="197"/>
      <c r="AX38" s="204">
        <v>1</v>
      </c>
      <c r="AY38" s="197">
        <f>'Energy NPV'!$D91*$AZ$34</f>
        <v>0</v>
      </c>
      <c r="AZ38" s="197">
        <f>'Energy margins'!$Z$12</f>
        <v>72</v>
      </c>
      <c r="BA38" s="197">
        <f>AY38*AZ38</f>
        <v>0</v>
      </c>
      <c r="BB38" s="197">
        <f>'Margins summary'!$W$14</f>
        <v>175.95</v>
      </c>
      <c r="BC38" s="197">
        <f>BA38+BB38</f>
        <v>175.95</v>
      </c>
      <c r="BD38" s="197">
        <f>'Margins summary'!$V$20</f>
        <v>2234.4822840000002</v>
      </c>
      <c r="BE38" s="918">
        <f>'Energy NPV'!U91</f>
        <v>0</v>
      </c>
      <c r="BF38" s="197"/>
      <c r="BG38" s="197">
        <f>BD38+BE38+BF38</f>
        <v>2234.4822840000002</v>
      </c>
      <c r="BH38" s="197">
        <f t="shared" ref="BH38:BH53" si="82">BA38-BG38</f>
        <v>-2234.4822840000002</v>
      </c>
      <c r="BI38" s="197">
        <f t="shared" ref="BI38:BI53" si="83">BC38-BG38</f>
        <v>-2058.5322840000003</v>
      </c>
      <c r="BJ38" s="1018">
        <f>BA38/(1+$B$4)^(AX38-1)</f>
        <v>0</v>
      </c>
      <c r="BK38" s="213">
        <f>BB38/(1+$B$4)^(AX38-1)</f>
        <v>175.95</v>
      </c>
      <c r="BL38" s="213">
        <f>BG38/(1+$B$4)^(AX38-1)</f>
        <v>2234.4822840000002</v>
      </c>
      <c r="BM38" s="213">
        <f>BH38/(1+$B$4)^(AX38-1)</f>
        <v>-2234.4822840000002</v>
      </c>
      <c r="BN38" s="929">
        <f>BI38/(1+$B$4)^(AX38-1)</f>
        <v>-2058.5322840000003</v>
      </c>
      <c r="BO38" s="196">
        <f>BJ38</f>
        <v>0</v>
      </c>
      <c r="BP38" s="197">
        <f>BK38</f>
        <v>175.95</v>
      </c>
      <c r="BQ38" s="197">
        <f>BL38</f>
        <v>2234.4822840000002</v>
      </c>
      <c r="BR38" s="197">
        <f>BM38</f>
        <v>-2234.4822840000002</v>
      </c>
      <c r="BS38" s="199">
        <f>BN38</f>
        <v>-2058.5322840000003</v>
      </c>
      <c r="BT38" s="197"/>
      <c r="BV38" s="204">
        <v>1</v>
      </c>
      <c r="BW38" s="197">
        <f>'Energy NPV'!$D91*$BX$34</f>
        <v>0</v>
      </c>
      <c r="BX38" s="197">
        <f>'Energy margins'!$Z$12</f>
        <v>72</v>
      </c>
      <c r="BY38" s="197">
        <f>BW38*BX38</f>
        <v>0</v>
      </c>
      <c r="BZ38" s="197">
        <f>'Margins summary'!$W$14</f>
        <v>175.95</v>
      </c>
      <c r="CA38" s="197">
        <f>BY38+BZ38</f>
        <v>175.95</v>
      </c>
      <c r="CB38" s="197">
        <f>'Margins summary'!$V$20</f>
        <v>2234.4822840000002</v>
      </c>
      <c r="CC38" s="918">
        <f>'Energy NPV'!U91</f>
        <v>0</v>
      </c>
      <c r="CD38" s="197"/>
      <c r="CE38" s="197">
        <f>CB38+CC38+CD38</f>
        <v>2234.4822840000002</v>
      </c>
      <c r="CF38" s="197">
        <f t="shared" ref="CF38:CF53" si="84">BY38-CE38</f>
        <v>-2234.4822840000002</v>
      </c>
      <c r="CG38" s="197">
        <f t="shared" ref="CG38:CG53" si="85">CA38-CE38</f>
        <v>-2058.5322840000003</v>
      </c>
      <c r="CH38" s="1018">
        <f>BY38/(1+$B$4)^(BV38-1)</f>
        <v>0</v>
      </c>
      <c r="CI38" s="213">
        <f>BZ38/(1+$B$4)^(BV38-1)</f>
        <v>175.95</v>
      </c>
      <c r="CJ38" s="213">
        <f>CE38/(1+$B$4)^(BV38-1)</f>
        <v>2234.4822840000002</v>
      </c>
      <c r="CK38" s="213">
        <f>CF38/(1+$B$4)^(BV38-1)</f>
        <v>-2234.4822840000002</v>
      </c>
      <c r="CL38" s="929">
        <f>CG38/(1+$B$4)^(BV38-1)</f>
        <v>-2058.5322840000003</v>
      </c>
      <c r="CM38" s="196">
        <f>CH38</f>
        <v>0</v>
      </c>
      <c r="CN38" s="197">
        <f>CI38</f>
        <v>175.95</v>
      </c>
      <c r="CO38" s="197">
        <f>CJ38</f>
        <v>2234.4822840000002</v>
      </c>
      <c r="CP38" s="197">
        <f>CK38</f>
        <v>-2234.4822840000002</v>
      </c>
      <c r="CQ38" s="199">
        <f>CL38</f>
        <v>-2058.5322840000003</v>
      </c>
      <c r="CR38" s="197"/>
      <c r="CT38" s="204">
        <v>1</v>
      </c>
      <c r="CU38" s="197">
        <f>'Energy NPV'!$D91*$CV$34</f>
        <v>0</v>
      </c>
      <c r="CV38" s="197">
        <f>'Energy margins'!$Z$12</f>
        <v>72</v>
      </c>
      <c r="CW38" s="197">
        <f>CU38*CV38</f>
        <v>0</v>
      </c>
      <c r="CX38" s="197">
        <f>'Margins summary'!$W$14</f>
        <v>175.95</v>
      </c>
      <c r="CY38" s="197">
        <f>CW38+CX38</f>
        <v>175.95</v>
      </c>
      <c r="CZ38" s="197">
        <f>'Margins summary'!$V$20</f>
        <v>2234.4822840000002</v>
      </c>
      <c r="DA38" s="918">
        <f>'Energy NPV'!U91</f>
        <v>0</v>
      </c>
      <c r="DB38" s="197"/>
      <c r="DC38" s="197">
        <f>CZ38+DA38+DB38</f>
        <v>2234.4822840000002</v>
      </c>
      <c r="DD38" s="197">
        <f t="shared" ref="DD38:DD53" si="86">CW38-DC38</f>
        <v>-2234.4822840000002</v>
      </c>
      <c r="DE38" s="197">
        <f t="shared" ref="DE38:DE53" si="87">CY38-DC38</f>
        <v>-2058.5322840000003</v>
      </c>
      <c r="DF38" s="1018">
        <f>CW38/(1+$B$4)^(CT38-1)</f>
        <v>0</v>
      </c>
      <c r="DG38" s="213">
        <f>CX38/(1+$B$4)^(CT38-1)</f>
        <v>175.95</v>
      </c>
      <c r="DH38" s="213">
        <f>DC38/(1+$B$4)^(CT38-1)</f>
        <v>2234.4822840000002</v>
      </c>
      <c r="DI38" s="213">
        <f>DD38/(1+$B$4)^(CT38-1)</f>
        <v>-2234.4822840000002</v>
      </c>
      <c r="DJ38" s="929">
        <f>DE38/(1+$B$4)^(CT38-1)</f>
        <v>-2058.5322840000003</v>
      </c>
      <c r="DK38" s="196">
        <f>DF38</f>
        <v>0</v>
      </c>
      <c r="DL38" s="197">
        <f>DG38</f>
        <v>175.95</v>
      </c>
      <c r="DM38" s="197">
        <f>DH38</f>
        <v>2234.4822840000002</v>
      </c>
      <c r="DN38" s="197">
        <f>DI38</f>
        <v>-2234.4822840000002</v>
      </c>
      <c r="DO38" s="199">
        <f>DJ38</f>
        <v>-2058.5322840000003</v>
      </c>
    </row>
    <row r="39" spans="2:119" x14ac:dyDescent="0.3">
      <c r="B39" s="204">
        <v>2</v>
      </c>
      <c r="C39" s="197">
        <f>'Energy NPV'!$D92*$E$34</f>
        <v>9.9333333333333336</v>
      </c>
      <c r="D39" s="197">
        <f>'Energy margins'!$Z$12</f>
        <v>72</v>
      </c>
      <c r="E39" s="197">
        <f>C39*D39</f>
        <v>715.2</v>
      </c>
      <c r="F39" s="197">
        <f>'Margins summary'!$W$14</f>
        <v>175.95</v>
      </c>
      <c r="G39" s="197">
        <f t="shared" ref="G39:G53" si="88">E39+F39</f>
        <v>891.15000000000009</v>
      </c>
      <c r="H39" s="197"/>
      <c r="I39" s="918">
        <f>'Energy NPV'!U92</f>
        <v>590.26478399999996</v>
      </c>
      <c r="J39" s="197"/>
      <c r="K39" s="197">
        <f t="shared" ref="K39:K53" si="89">H39+I39+J39</f>
        <v>590.26478399999996</v>
      </c>
      <c r="L39" s="197">
        <f t="shared" si="78"/>
        <v>124.93521600000008</v>
      </c>
      <c r="M39" s="197">
        <f t="shared" si="79"/>
        <v>300.88521600000013</v>
      </c>
      <c r="N39" s="196">
        <f t="shared" ref="N39:N53" si="90">E39/(1+$B$4)^(B39-1)</f>
        <v>687.69230769230774</v>
      </c>
      <c r="O39" s="197">
        <f t="shared" ref="O39:O53" si="91">F39/(1+$B$4)^(B39-1)</f>
        <v>169.18269230769229</v>
      </c>
      <c r="P39" s="197">
        <f t="shared" ref="P39:P52" si="92">K39/(1+$B$4)^(B39-1)</f>
        <v>567.56229230769225</v>
      </c>
      <c r="Q39" s="197">
        <f t="shared" ref="Q39:Q53" si="93">L39/(1+$B$4)^(B39-1)</f>
        <v>120.13001538461546</v>
      </c>
      <c r="R39" s="199">
        <f t="shared" ref="R39:R52" si="94">M39/(1+$B$4)^(B39-1)</f>
        <v>289.31270769230781</v>
      </c>
      <c r="S39" s="196">
        <f>S38+N39</f>
        <v>687.69230769230774</v>
      </c>
      <c r="T39" s="197">
        <f t="shared" ref="T39:W53" si="95">T38+O39</f>
        <v>345.13269230769231</v>
      </c>
      <c r="U39" s="197">
        <f t="shared" si="95"/>
        <v>2802.0445763076923</v>
      </c>
      <c r="V39" s="197">
        <f t="shared" si="95"/>
        <v>-2114.3522686153847</v>
      </c>
      <c r="W39" s="199">
        <f t="shared" si="95"/>
        <v>-1769.2195763076925</v>
      </c>
      <c r="X39" s="197"/>
      <c r="Z39" s="204">
        <v>2</v>
      </c>
      <c r="AA39" s="197">
        <f>'Energy NPV'!$D92*$AB$34</f>
        <v>14.9</v>
      </c>
      <c r="AB39" s="197">
        <f>'Energy margins'!$Z$12</f>
        <v>72</v>
      </c>
      <c r="AC39" s="197">
        <f>AA39*AB39</f>
        <v>1072.8</v>
      </c>
      <c r="AD39" s="197">
        <f>'Margins summary'!$W$14</f>
        <v>175.95</v>
      </c>
      <c r="AE39" s="197">
        <f t="shared" ref="AE39:AE53" si="96">AC39+AD39</f>
        <v>1248.75</v>
      </c>
      <c r="AF39" s="197"/>
      <c r="AG39" s="918">
        <f>'Energy NPV'!U92</f>
        <v>590.26478399999996</v>
      </c>
      <c r="AH39" s="197"/>
      <c r="AI39" s="197">
        <f t="shared" ref="AI39:AI53" si="97">AF39+AG39+AH39</f>
        <v>590.26478399999996</v>
      </c>
      <c r="AJ39" s="197">
        <f t="shared" si="80"/>
        <v>482.53521599999999</v>
      </c>
      <c r="AK39" s="197">
        <f t="shared" si="81"/>
        <v>658.48521600000004</v>
      </c>
      <c r="AL39" s="196">
        <f t="shared" ref="AL39:AL53" si="98">AC39/(1+$B$4)^(Z39-1)</f>
        <v>1031.5384615384614</v>
      </c>
      <c r="AM39" s="197">
        <f t="shared" ref="AM39:AM53" si="99">AD39/(1+$B$4)^(Z39-1)</f>
        <v>169.18269230769229</v>
      </c>
      <c r="AN39" s="197">
        <f t="shared" ref="AN39:AN52" si="100">AI39/(1+$B$4)^(Z39-1)</f>
        <v>567.56229230769225</v>
      </c>
      <c r="AO39" s="197">
        <f t="shared" ref="AO39:AO53" si="101">AJ39/(1+$B$4)^(Z39-1)</f>
        <v>463.97616923076919</v>
      </c>
      <c r="AP39" s="199">
        <f t="shared" ref="AP39:AP52" si="102">AK39/(1+$B$4)^(Z39-1)</f>
        <v>633.15886153846157</v>
      </c>
      <c r="AQ39" s="196">
        <f>AQ38+AL39</f>
        <v>1031.5384615384614</v>
      </c>
      <c r="AR39" s="197">
        <f t="shared" ref="AR39:AU53" si="103">AR38+AM39</f>
        <v>345.13269230769231</v>
      </c>
      <c r="AS39" s="197">
        <f t="shared" si="103"/>
        <v>2802.0445763076923</v>
      </c>
      <c r="AT39" s="197">
        <f t="shared" si="103"/>
        <v>-1770.5061147692309</v>
      </c>
      <c r="AU39" s="199">
        <f t="shared" si="103"/>
        <v>-1425.3734224615387</v>
      </c>
      <c r="AV39" s="197"/>
      <c r="AX39" s="204">
        <v>2</v>
      </c>
      <c r="AY39" s="197">
        <f>'Energy NPV'!$D92*$AZ$34</f>
        <v>4.9666666666666668</v>
      </c>
      <c r="AZ39" s="197">
        <f>'Energy margins'!$Z$12</f>
        <v>72</v>
      </c>
      <c r="BA39" s="197">
        <f>AY39*AZ39</f>
        <v>357.6</v>
      </c>
      <c r="BB39" s="197">
        <f>'Margins summary'!$W$14</f>
        <v>175.95</v>
      </c>
      <c r="BC39" s="197">
        <f t="shared" ref="BC39:BC53" si="104">BA39+BB39</f>
        <v>533.54999999999995</v>
      </c>
      <c r="BD39" s="197"/>
      <c r="BE39" s="918">
        <f>'Energy NPV'!U92</f>
        <v>590.26478399999996</v>
      </c>
      <c r="BF39" s="197"/>
      <c r="BG39" s="197">
        <f t="shared" ref="BG39:BG53" si="105">BD39+BE39+BF39</f>
        <v>590.26478399999996</v>
      </c>
      <c r="BH39" s="197">
        <f t="shared" si="82"/>
        <v>-232.66478399999994</v>
      </c>
      <c r="BI39" s="197">
        <f t="shared" si="83"/>
        <v>-56.714784000000009</v>
      </c>
      <c r="BJ39" s="196">
        <f t="shared" ref="BJ39:BJ53" si="106">BA39/(1+$B$4)^(AX39-1)</f>
        <v>343.84615384615387</v>
      </c>
      <c r="BK39" s="197">
        <f t="shared" ref="BK39:BK53" si="107">BB39/(1+$B$4)^(AX39-1)</f>
        <v>169.18269230769229</v>
      </c>
      <c r="BL39" s="197">
        <f t="shared" ref="BL39:BL52" si="108">BG39/(1+$B$4)^(AX39-1)</f>
        <v>567.56229230769225</v>
      </c>
      <c r="BM39" s="197">
        <f t="shared" ref="BM39:BM53" si="109">BH39/(1+$B$4)^(AX39-1)</f>
        <v>-223.71613846153841</v>
      </c>
      <c r="BN39" s="199">
        <f t="shared" ref="BN39:BN52" si="110">BI39/(1+$B$4)^(AX39-1)</f>
        <v>-54.533446153846164</v>
      </c>
      <c r="BO39" s="196">
        <f>BO38+BJ39</f>
        <v>343.84615384615387</v>
      </c>
      <c r="BP39" s="197">
        <f t="shared" ref="BP39:BP53" si="111">BP38+BK39</f>
        <v>345.13269230769231</v>
      </c>
      <c r="BQ39" s="197">
        <f t="shared" ref="BQ39:BQ53" si="112">BQ38+BL39</f>
        <v>2802.0445763076923</v>
      </c>
      <c r="BR39" s="197">
        <f t="shared" ref="BR39:BR53" si="113">BR38+BM39</f>
        <v>-2458.1984224615385</v>
      </c>
      <c r="BS39" s="199">
        <f t="shared" ref="BS39:BS53" si="114">BS38+BN39</f>
        <v>-2113.0657301538463</v>
      </c>
      <c r="BT39" s="197"/>
      <c r="BV39" s="204">
        <v>2</v>
      </c>
      <c r="BW39" s="197">
        <f>'Energy NPV'!$D92*$BX$34</f>
        <v>19.866666666666667</v>
      </c>
      <c r="BX39" s="197">
        <f>'Energy margins'!$Z$12</f>
        <v>72</v>
      </c>
      <c r="BY39" s="197">
        <f>BW39*BX39</f>
        <v>1430.4</v>
      </c>
      <c r="BZ39" s="197">
        <f>'Margins summary'!$W$14</f>
        <v>175.95</v>
      </c>
      <c r="CA39" s="197">
        <f t="shared" ref="CA39:CA53" si="115">BY39+BZ39</f>
        <v>1606.3500000000001</v>
      </c>
      <c r="CB39" s="197"/>
      <c r="CC39" s="918">
        <f>'Energy NPV'!U92</f>
        <v>590.26478399999996</v>
      </c>
      <c r="CD39" s="197"/>
      <c r="CE39" s="197">
        <f t="shared" ref="CE39:CE53" si="116">CB39+CC39+CD39</f>
        <v>590.26478399999996</v>
      </c>
      <c r="CF39" s="197">
        <f t="shared" si="84"/>
        <v>840.13521600000013</v>
      </c>
      <c r="CG39" s="197">
        <f t="shared" si="85"/>
        <v>1016.0852160000002</v>
      </c>
      <c r="CH39" s="196">
        <f t="shared" ref="CH39:CH53" si="117">BY39/(1+$B$4)^(BV39-1)</f>
        <v>1375.3846153846155</v>
      </c>
      <c r="CI39" s="197">
        <f t="shared" ref="CI39:CI53" si="118">BZ39/(1+$B$4)^(BV39-1)</f>
        <v>169.18269230769229</v>
      </c>
      <c r="CJ39" s="197">
        <f t="shared" ref="CJ39:CJ52" si="119">CE39/(1+$B$4)^(BV39-1)</f>
        <v>567.56229230769225</v>
      </c>
      <c r="CK39" s="197">
        <f t="shared" ref="CK39:CK53" si="120">CF39/(1+$B$4)^(BV39-1)</f>
        <v>807.82232307692323</v>
      </c>
      <c r="CL39" s="199">
        <f t="shared" ref="CL39:CL52" si="121">CG39/(1+$B$4)^(BV39-1)</f>
        <v>977.00501538461549</v>
      </c>
      <c r="CM39" s="196">
        <f>CM38+CH39</f>
        <v>1375.3846153846155</v>
      </c>
      <c r="CN39" s="197">
        <f t="shared" ref="CN39:CN53" si="122">CN38+CI39</f>
        <v>345.13269230769231</v>
      </c>
      <c r="CO39" s="197">
        <f t="shared" ref="CO39:CO53" si="123">CO38+CJ39</f>
        <v>2802.0445763076923</v>
      </c>
      <c r="CP39" s="197">
        <f t="shared" ref="CP39:CP53" si="124">CP38+CK39</f>
        <v>-1426.6599609230771</v>
      </c>
      <c r="CQ39" s="199">
        <f t="shared" ref="CQ39:CQ53" si="125">CQ38+CL39</f>
        <v>-1081.5272686153849</v>
      </c>
      <c r="CR39" s="197"/>
      <c r="CT39" s="204">
        <v>2</v>
      </c>
      <c r="CU39" s="197">
        <f>'Energy NPV'!$D92*$CV$34</f>
        <v>0</v>
      </c>
      <c r="CV39" s="197">
        <f>'Energy margins'!$Z$12</f>
        <v>72</v>
      </c>
      <c r="CW39" s="197">
        <f>CU39*CV39</f>
        <v>0</v>
      </c>
      <c r="CX39" s="197">
        <f>'Margins summary'!$W$14</f>
        <v>175.95</v>
      </c>
      <c r="CY39" s="197">
        <f t="shared" ref="CY39:CY53" si="126">CW39+CX39</f>
        <v>175.95</v>
      </c>
      <c r="CZ39" s="197"/>
      <c r="DA39" s="918">
        <f>'Energy NPV'!U92</f>
        <v>590.26478399999996</v>
      </c>
      <c r="DB39" s="197"/>
      <c r="DC39" s="197">
        <f t="shared" ref="DC39:DC53" si="127">CZ39+DA39+DB39</f>
        <v>590.26478399999996</v>
      </c>
      <c r="DD39" s="197">
        <f t="shared" si="86"/>
        <v>-590.26478399999996</v>
      </c>
      <c r="DE39" s="197">
        <f t="shared" si="87"/>
        <v>-414.31478399999997</v>
      </c>
      <c r="DF39" s="196">
        <f t="shared" ref="DF39:DF53" si="128">CW39/(1+$B$4)^(CT39-1)</f>
        <v>0</v>
      </c>
      <c r="DG39" s="197">
        <f t="shared" ref="DG39:DG53" si="129">CX39/(1+$B$4)^(CT39-1)</f>
        <v>169.18269230769229</v>
      </c>
      <c r="DH39" s="197">
        <f t="shared" ref="DH39:DH52" si="130">DC39/(1+$B$4)^(CT39-1)</f>
        <v>567.56229230769225</v>
      </c>
      <c r="DI39" s="197">
        <f t="shared" ref="DI39:DI53" si="131">DD39/(1+$B$4)^(CT39-1)</f>
        <v>-567.56229230769225</v>
      </c>
      <c r="DJ39" s="199">
        <f t="shared" ref="DJ39:DJ52" si="132">DE39/(1+$B$4)^(CT39-1)</f>
        <v>-398.37959999999998</v>
      </c>
      <c r="DK39" s="196">
        <f>DK38+DF39</f>
        <v>0</v>
      </c>
      <c r="DL39" s="197">
        <f t="shared" ref="DL39:DL53" si="133">DL38+DG39</f>
        <v>345.13269230769231</v>
      </c>
      <c r="DM39" s="197">
        <f t="shared" ref="DM39:DM53" si="134">DM38+DH39</f>
        <v>2802.0445763076923</v>
      </c>
      <c r="DN39" s="197">
        <f t="shared" ref="DN39:DN53" si="135">DN38+DI39</f>
        <v>-2802.0445763076923</v>
      </c>
      <c r="DO39" s="199">
        <f t="shared" ref="DO39:DO53" si="136">DO38+DJ39</f>
        <v>-2456.9118840000001</v>
      </c>
    </row>
    <row r="40" spans="2:119" x14ac:dyDescent="0.3">
      <c r="B40" s="204">
        <f t="shared" ref="B40:B53" si="137">B39+1</f>
        <v>3</v>
      </c>
      <c r="C40" s="197">
        <f>'Energy NPV'!$D93*$E$34</f>
        <v>14.700000000000001</v>
      </c>
      <c r="D40" s="197">
        <f>'Energy margins'!$Z$12</f>
        <v>72</v>
      </c>
      <c r="E40" s="197">
        <f t="shared" ref="E40:E53" si="138">C40*D40</f>
        <v>1058.4000000000001</v>
      </c>
      <c r="F40" s="197">
        <f>'Margins summary'!$W$14</f>
        <v>175.95</v>
      </c>
      <c r="G40" s="197">
        <f t="shared" si="88"/>
        <v>1234.3500000000001</v>
      </c>
      <c r="H40" s="197"/>
      <c r="I40" s="918">
        <f>'Energy NPV'!U93</f>
        <v>590.26478399999996</v>
      </c>
      <c r="J40" s="197"/>
      <c r="K40" s="197">
        <f t="shared" si="89"/>
        <v>590.26478399999996</v>
      </c>
      <c r="L40" s="197">
        <f t="shared" si="78"/>
        <v>468.13521600000013</v>
      </c>
      <c r="M40" s="197">
        <f t="shared" si="79"/>
        <v>644.08521600000017</v>
      </c>
      <c r="N40" s="196">
        <f t="shared" si="90"/>
        <v>978.55029585798809</v>
      </c>
      <c r="O40" s="197">
        <f t="shared" si="91"/>
        <v>162.67566568047334</v>
      </c>
      <c r="P40" s="197">
        <f t="shared" si="92"/>
        <v>545.73297337278098</v>
      </c>
      <c r="Q40" s="197">
        <f t="shared" si="93"/>
        <v>432.81732248520717</v>
      </c>
      <c r="R40" s="199">
        <f t="shared" si="94"/>
        <v>595.49298816568057</v>
      </c>
      <c r="S40" s="196">
        <f t="shared" ref="S40:S53" si="139">S39+N40</f>
        <v>1666.2426035502958</v>
      </c>
      <c r="T40" s="197">
        <f t="shared" si="95"/>
        <v>507.80835798816565</v>
      </c>
      <c r="U40" s="197">
        <f t="shared" si="95"/>
        <v>3347.7775496804734</v>
      </c>
      <c r="V40" s="197">
        <f t="shared" si="95"/>
        <v>-1681.5349461301776</v>
      </c>
      <c r="W40" s="199">
        <f t="shared" si="95"/>
        <v>-1173.7265881420119</v>
      </c>
      <c r="X40" s="197"/>
      <c r="Z40" s="204">
        <f t="shared" ref="Z40:Z53" si="140">Z39+1</f>
        <v>3</v>
      </c>
      <c r="AA40" s="197">
        <f>'Energy NPV'!$D93*$AB$34</f>
        <v>22.05</v>
      </c>
      <c r="AB40" s="197">
        <f>'Energy margins'!$Z$12</f>
        <v>72</v>
      </c>
      <c r="AC40" s="197">
        <f t="shared" ref="AC40:AC53" si="141">AA40*AB40</f>
        <v>1587.6000000000001</v>
      </c>
      <c r="AD40" s="197">
        <f>'Margins summary'!$W$14</f>
        <v>175.95</v>
      </c>
      <c r="AE40" s="197">
        <f t="shared" si="96"/>
        <v>1763.5500000000002</v>
      </c>
      <c r="AF40" s="197"/>
      <c r="AG40" s="918">
        <f>'Energy NPV'!U93</f>
        <v>590.26478399999996</v>
      </c>
      <c r="AH40" s="197"/>
      <c r="AI40" s="197">
        <f t="shared" si="97"/>
        <v>590.26478399999996</v>
      </c>
      <c r="AJ40" s="197">
        <f t="shared" si="80"/>
        <v>997.33521600000017</v>
      </c>
      <c r="AK40" s="197">
        <f t="shared" si="81"/>
        <v>1173.2852160000002</v>
      </c>
      <c r="AL40" s="196">
        <f t="shared" si="98"/>
        <v>1467.8254437869823</v>
      </c>
      <c r="AM40" s="197">
        <f t="shared" si="99"/>
        <v>162.67566568047334</v>
      </c>
      <c r="AN40" s="197">
        <f t="shared" si="100"/>
        <v>545.73297337278098</v>
      </c>
      <c r="AO40" s="197">
        <f t="shared" si="101"/>
        <v>922.09247041420122</v>
      </c>
      <c r="AP40" s="199">
        <f t="shared" si="102"/>
        <v>1084.7681360946747</v>
      </c>
      <c r="AQ40" s="196">
        <f t="shared" ref="AQ40:AQ53" si="142">AQ39+AL40</f>
        <v>2499.3639053254437</v>
      </c>
      <c r="AR40" s="197">
        <f t="shared" si="103"/>
        <v>507.80835798816565</v>
      </c>
      <c r="AS40" s="197">
        <f t="shared" si="103"/>
        <v>3347.7775496804734</v>
      </c>
      <c r="AT40" s="197">
        <f t="shared" si="103"/>
        <v>-848.41364435502965</v>
      </c>
      <c r="AU40" s="199">
        <f t="shared" si="103"/>
        <v>-340.60528636686399</v>
      </c>
      <c r="AV40" s="197"/>
      <c r="AX40" s="204">
        <f t="shared" ref="AX40:AX53" si="143">AX39+1</f>
        <v>3</v>
      </c>
      <c r="AY40" s="197">
        <f>'Energy NPV'!$D93*$AZ$34</f>
        <v>7.3500000000000005</v>
      </c>
      <c r="AZ40" s="197">
        <f>'Energy margins'!$Z$12</f>
        <v>72</v>
      </c>
      <c r="BA40" s="197">
        <f t="shared" ref="BA40:BA53" si="144">AY40*AZ40</f>
        <v>529.20000000000005</v>
      </c>
      <c r="BB40" s="197">
        <f>'Margins summary'!$W$14</f>
        <v>175.95</v>
      </c>
      <c r="BC40" s="197">
        <f t="shared" si="104"/>
        <v>705.15000000000009</v>
      </c>
      <c r="BD40" s="197"/>
      <c r="BE40" s="918">
        <f>'Energy NPV'!U93</f>
        <v>590.26478399999996</v>
      </c>
      <c r="BF40" s="197"/>
      <c r="BG40" s="197">
        <f t="shared" si="105"/>
        <v>590.26478399999996</v>
      </c>
      <c r="BH40" s="197">
        <f t="shared" si="82"/>
        <v>-61.064783999999918</v>
      </c>
      <c r="BI40" s="197">
        <f t="shared" si="83"/>
        <v>114.88521600000013</v>
      </c>
      <c r="BJ40" s="196">
        <f t="shared" si="106"/>
        <v>489.27514792899404</v>
      </c>
      <c r="BK40" s="197">
        <f t="shared" si="107"/>
        <v>162.67566568047334</v>
      </c>
      <c r="BL40" s="197">
        <f t="shared" si="108"/>
        <v>545.73297337278098</v>
      </c>
      <c r="BM40" s="197">
        <f t="shared" si="109"/>
        <v>-56.457825443786902</v>
      </c>
      <c r="BN40" s="199">
        <f t="shared" si="110"/>
        <v>106.2178402366865</v>
      </c>
      <c r="BO40" s="196">
        <f t="shared" ref="BO40:BO53" si="145">BO39+BJ40</f>
        <v>833.12130177514791</v>
      </c>
      <c r="BP40" s="197">
        <f t="shared" si="111"/>
        <v>507.80835798816565</v>
      </c>
      <c r="BQ40" s="197">
        <f t="shared" si="112"/>
        <v>3347.7775496804734</v>
      </c>
      <c r="BR40" s="197">
        <f t="shared" si="113"/>
        <v>-2514.6562479053255</v>
      </c>
      <c r="BS40" s="199">
        <f t="shared" si="114"/>
        <v>-2006.8478899171598</v>
      </c>
      <c r="BT40" s="197"/>
      <c r="BV40" s="204">
        <f t="shared" ref="BV40:BV53" si="146">BV39+1</f>
        <v>3</v>
      </c>
      <c r="BW40" s="197">
        <f>'Energy NPV'!$D93*$BX$34</f>
        <v>29.400000000000002</v>
      </c>
      <c r="BX40" s="197">
        <f>'Energy margins'!$Z$12</f>
        <v>72</v>
      </c>
      <c r="BY40" s="197">
        <f t="shared" ref="BY40:BY53" si="147">BW40*BX40</f>
        <v>2116.8000000000002</v>
      </c>
      <c r="BZ40" s="197">
        <f>'Margins summary'!$W$14</f>
        <v>175.95</v>
      </c>
      <c r="CA40" s="197">
        <f t="shared" si="115"/>
        <v>2292.75</v>
      </c>
      <c r="CB40" s="197"/>
      <c r="CC40" s="918">
        <f>'Energy NPV'!U93</f>
        <v>590.26478399999996</v>
      </c>
      <c r="CD40" s="197"/>
      <c r="CE40" s="197">
        <f t="shared" si="116"/>
        <v>590.26478399999996</v>
      </c>
      <c r="CF40" s="197">
        <f t="shared" si="84"/>
        <v>1526.5352160000002</v>
      </c>
      <c r="CG40" s="197">
        <f t="shared" si="85"/>
        <v>1702.485216</v>
      </c>
      <c r="CH40" s="196">
        <f t="shared" si="117"/>
        <v>1957.1005917159762</v>
      </c>
      <c r="CI40" s="197">
        <f t="shared" si="118"/>
        <v>162.67566568047334</v>
      </c>
      <c r="CJ40" s="197">
        <f t="shared" si="119"/>
        <v>545.73297337278098</v>
      </c>
      <c r="CK40" s="197">
        <f t="shared" si="120"/>
        <v>1411.3676183431953</v>
      </c>
      <c r="CL40" s="199">
        <f t="shared" si="121"/>
        <v>1574.0432840236685</v>
      </c>
      <c r="CM40" s="196">
        <f t="shared" ref="CM40:CM53" si="148">CM39+CH40</f>
        <v>3332.4852071005917</v>
      </c>
      <c r="CN40" s="197">
        <f t="shared" si="122"/>
        <v>507.80835798816565</v>
      </c>
      <c r="CO40" s="197">
        <f t="shared" si="123"/>
        <v>3347.7775496804734</v>
      </c>
      <c r="CP40" s="197">
        <f t="shared" si="124"/>
        <v>-15.292342579881733</v>
      </c>
      <c r="CQ40" s="199">
        <f t="shared" si="125"/>
        <v>492.51601540828369</v>
      </c>
      <c r="CR40" s="197"/>
      <c r="CT40" s="204">
        <f t="shared" ref="CT40:CT53" si="149">CT39+1</f>
        <v>3</v>
      </c>
      <c r="CU40" s="197">
        <f>'Energy NPV'!$D93*$CV$34</f>
        <v>0</v>
      </c>
      <c r="CV40" s="197">
        <f>'Energy margins'!$Z$12</f>
        <v>72</v>
      </c>
      <c r="CW40" s="197">
        <f t="shared" ref="CW40:CW53" si="150">CU40*CV40</f>
        <v>0</v>
      </c>
      <c r="CX40" s="197">
        <f>'Margins summary'!$W$14</f>
        <v>175.95</v>
      </c>
      <c r="CY40" s="197">
        <f t="shared" si="126"/>
        <v>175.95</v>
      </c>
      <c r="CZ40" s="197"/>
      <c r="DA40" s="918">
        <f>'Energy NPV'!U93</f>
        <v>590.26478399999996</v>
      </c>
      <c r="DB40" s="197"/>
      <c r="DC40" s="197">
        <f t="shared" si="127"/>
        <v>590.26478399999996</v>
      </c>
      <c r="DD40" s="197">
        <f t="shared" si="86"/>
        <v>-590.26478399999996</v>
      </c>
      <c r="DE40" s="197">
        <f t="shared" si="87"/>
        <v>-414.31478399999997</v>
      </c>
      <c r="DF40" s="196">
        <f t="shared" si="128"/>
        <v>0</v>
      </c>
      <c r="DG40" s="197">
        <f t="shared" si="129"/>
        <v>162.67566568047334</v>
      </c>
      <c r="DH40" s="197">
        <f t="shared" si="130"/>
        <v>545.73297337278098</v>
      </c>
      <c r="DI40" s="197">
        <f t="shared" si="131"/>
        <v>-545.73297337278098</v>
      </c>
      <c r="DJ40" s="199">
        <f t="shared" si="132"/>
        <v>-383.05730769230763</v>
      </c>
      <c r="DK40" s="196">
        <f t="shared" ref="DK40:DK53" si="151">DK39+DF40</f>
        <v>0</v>
      </c>
      <c r="DL40" s="197">
        <f t="shared" si="133"/>
        <v>507.80835798816565</v>
      </c>
      <c r="DM40" s="197">
        <f t="shared" si="134"/>
        <v>3347.7775496804734</v>
      </c>
      <c r="DN40" s="197">
        <f t="shared" si="135"/>
        <v>-3347.7775496804734</v>
      </c>
      <c r="DO40" s="199">
        <f t="shared" si="136"/>
        <v>-2839.9691916923075</v>
      </c>
    </row>
    <row r="41" spans="2:119" x14ac:dyDescent="0.3">
      <c r="B41" s="204">
        <f t="shared" si="137"/>
        <v>4</v>
      </c>
      <c r="C41" s="197">
        <f>'Energy NPV'!$D94*$E$34</f>
        <v>15.733333333333334</v>
      </c>
      <c r="D41" s="197">
        <f>'Energy margins'!$Z$12</f>
        <v>72</v>
      </c>
      <c r="E41" s="197">
        <f t="shared" si="138"/>
        <v>1132.8000000000002</v>
      </c>
      <c r="F41" s="197">
        <f>'Margins summary'!$W$14</f>
        <v>175.95</v>
      </c>
      <c r="G41" s="197">
        <f t="shared" si="88"/>
        <v>1308.7500000000002</v>
      </c>
      <c r="H41" s="197"/>
      <c r="I41" s="918">
        <f>'Energy NPV'!U94</f>
        <v>408.3347839999999</v>
      </c>
      <c r="J41" s="197"/>
      <c r="K41" s="197">
        <f t="shared" si="89"/>
        <v>408.3347839999999</v>
      </c>
      <c r="L41" s="197">
        <f t="shared" si="78"/>
        <v>724.46521600000028</v>
      </c>
      <c r="M41" s="197">
        <f t="shared" si="79"/>
        <v>900.41521600000033</v>
      </c>
      <c r="N41" s="196">
        <f t="shared" si="90"/>
        <v>1007.0550751024125</v>
      </c>
      <c r="O41" s="197">
        <f t="shared" si="91"/>
        <v>156.41890930814745</v>
      </c>
      <c r="P41" s="197">
        <f t="shared" si="92"/>
        <v>363.00813609467446</v>
      </c>
      <c r="Q41" s="197">
        <f t="shared" si="93"/>
        <v>644.04693900773805</v>
      </c>
      <c r="R41" s="199">
        <f t="shared" si="94"/>
        <v>800.46584831588552</v>
      </c>
      <c r="S41" s="196">
        <f t="shared" si="139"/>
        <v>2673.2976786527083</v>
      </c>
      <c r="T41" s="197">
        <f t="shared" si="95"/>
        <v>664.22726729631313</v>
      </c>
      <c r="U41" s="197">
        <f t="shared" si="95"/>
        <v>3710.7856857751476</v>
      </c>
      <c r="V41" s="197">
        <f t="shared" si="95"/>
        <v>-1037.4880071224395</v>
      </c>
      <c r="W41" s="199">
        <f t="shared" si="95"/>
        <v>-373.26073982612638</v>
      </c>
      <c r="X41" s="197"/>
      <c r="Z41" s="204">
        <f t="shared" si="140"/>
        <v>4</v>
      </c>
      <c r="AA41" s="197">
        <f>'Energy NPV'!$D94*$AB$34</f>
        <v>23.6</v>
      </c>
      <c r="AB41" s="197">
        <f>'Energy margins'!$Z$12</f>
        <v>72</v>
      </c>
      <c r="AC41" s="197">
        <f t="shared" si="141"/>
        <v>1699.2</v>
      </c>
      <c r="AD41" s="197">
        <f>'Margins summary'!$W$14</f>
        <v>175.95</v>
      </c>
      <c r="AE41" s="197">
        <f t="shared" si="96"/>
        <v>1875.15</v>
      </c>
      <c r="AF41" s="197"/>
      <c r="AG41" s="918">
        <f>'Energy NPV'!U94</f>
        <v>408.3347839999999</v>
      </c>
      <c r="AH41" s="197"/>
      <c r="AI41" s="197">
        <f t="shared" si="97"/>
        <v>408.3347839999999</v>
      </c>
      <c r="AJ41" s="197">
        <f t="shared" si="80"/>
        <v>1290.8652160000001</v>
      </c>
      <c r="AK41" s="197">
        <f t="shared" si="81"/>
        <v>1466.8152160000002</v>
      </c>
      <c r="AL41" s="196">
        <f t="shared" si="98"/>
        <v>1510.5826126536185</v>
      </c>
      <c r="AM41" s="197">
        <f t="shared" si="99"/>
        <v>156.41890930814745</v>
      </c>
      <c r="AN41" s="197">
        <f t="shared" si="100"/>
        <v>363.00813609467446</v>
      </c>
      <c r="AO41" s="197">
        <f t="shared" si="101"/>
        <v>1147.5744765589441</v>
      </c>
      <c r="AP41" s="199">
        <f t="shared" si="102"/>
        <v>1303.9933858670915</v>
      </c>
      <c r="AQ41" s="196">
        <f t="shared" si="142"/>
        <v>4009.9465179790623</v>
      </c>
      <c r="AR41" s="197">
        <f t="shared" si="103"/>
        <v>664.22726729631313</v>
      </c>
      <c r="AS41" s="197">
        <f t="shared" si="103"/>
        <v>3710.7856857751476</v>
      </c>
      <c r="AT41" s="197">
        <f t="shared" si="103"/>
        <v>299.16083220391442</v>
      </c>
      <c r="AU41" s="199">
        <f t="shared" si="103"/>
        <v>963.38809950022755</v>
      </c>
      <c r="AV41" s="197"/>
      <c r="AX41" s="204">
        <f t="shared" si="143"/>
        <v>4</v>
      </c>
      <c r="AY41" s="197">
        <f>'Energy NPV'!$D94*$AZ$34</f>
        <v>7.8666666666666671</v>
      </c>
      <c r="AZ41" s="197">
        <f>'Energy margins'!$Z$12</f>
        <v>72</v>
      </c>
      <c r="BA41" s="197">
        <f t="shared" si="144"/>
        <v>566.40000000000009</v>
      </c>
      <c r="BB41" s="197">
        <f>'Margins summary'!$W$14</f>
        <v>175.95</v>
      </c>
      <c r="BC41" s="197">
        <f t="shared" si="104"/>
        <v>742.35000000000014</v>
      </c>
      <c r="BD41" s="197"/>
      <c r="BE41" s="918">
        <f>'Energy NPV'!U94</f>
        <v>408.3347839999999</v>
      </c>
      <c r="BF41" s="197"/>
      <c r="BG41" s="197">
        <f t="shared" si="105"/>
        <v>408.3347839999999</v>
      </c>
      <c r="BH41" s="197">
        <f t="shared" si="82"/>
        <v>158.06521600000019</v>
      </c>
      <c r="BI41" s="197">
        <f t="shared" si="83"/>
        <v>334.01521600000024</v>
      </c>
      <c r="BJ41" s="196">
        <f t="shared" si="106"/>
        <v>503.52753755120625</v>
      </c>
      <c r="BK41" s="197">
        <f t="shared" si="107"/>
        <v>156.41890930814745</v>
      </c>
      <c r="BL41" s="197">
        <f t="shared" si="108"/>
        <v>363.00813609467446</v>
      </c>
      <c r="BM41" s="197">
        <f t="shared" si="109"/>
        <v>140.5194014565318</v>
      </c>
      <c r="BN41" s="199">
        <f t="shared" si="110"/>
        <v>296.93831076467927</v>
      </c>
      <c r="BO41" s="196">
        <f t="shared" si="145"/>
        <v>1336.6488393263542</v>
      </c>
      <c r="BP41" s="197">
        <f t="shared" si="111"/>
        <v>664.22726729631313</v>
      </c>
      <c r="BQ41" s="197">
        <f t="shared" si="112"/>
        <v>3710.7856857751476</v>
      </c>
      <c r="BR41" s="197">
        <f t="shared" si="113"/>
        <v>-2374.1368464487937</v>
      </c>
      <c r="BS41" s="199">
        <f t="shared" si="114"/>
        <v>-1709.9095791524805</v>
      </c>
      <c r="BT41" s="197"/>
      <c r="BV41" s="204">
        <f t="shared" si="146"/>
        <v>4</v>
      </c>
      <c r="BW41" s="197">
        <f>'Energy NPV'!$D94*$BX$34</f>
        <v>31.466666666666669</v>
      </c>
      <c r="BX41" s="197">
        <f>'Energy margins'!$Z$12</f>
        <v>72</v>
      </c>
      <c r="BY41" s="197">
        <f t="shared" si="147"/>
        <v>2265.6000000000004</v>
      </c>
      <c r="BZ41" s="197">
        <f>'Margins summary'!$W$14</f>
        <v>175.95</v>
      </c>
      <c r="CA41" s="197">
        <f t="shared" si="115"/>
        <v>2441.5500000000002</v>
      </c>
      <c r="CB41" s="197"/>
      <c r="CC41" s="918">
        <f>'Energy NPV'!U94</f>
        <v>408.3347839999999</v>
      </c>
      <c r="CD41" s="197"/>
      <c r="CE41" s="197">
        <f t="shared" si="116"/>
        <v>408.3347839999999</v>
      </c>
      <c r="CF41" s="197">
        <f t="shared" si="84"/>
        <v>1857.2652160000005</v>
      </c>
      <c r="CG41" s="197">
        <f t="shared" si="85"/>
        <v>2033.2152160000003</v>
      </c>
      <c r="CH41" s="196">
        <f t="shared" si="117"/>
        <v>2014.110150204825</v>
      </c>
      <c r="CI41" s="197">
        <f t="shared" si="118"/>
        <v>156.41890930814745</v>
      </c>
      <c r="CJ41" s="197">
        <f t="shared" si="119"/>
        <v>363.00813609467446</v>
      </c>
      <c r="CK41" s="197">
        <f t="shared" si="120"/>
        <v>1651.1020141101505</v>
      </c>
      <c r="CL41" s="199">
        <f t="shared" si="121"/>
        <v>1807.5209234182978</v>
      </c>
      <c r="CM41" s="196">
        <f t="shared" si="148"/>
        <v>5346.5953573054167</v>
      </c>
      <c r="CN41" s="197">
        <f t="shared" si="122"/>
        <v>664.22726729631313</v>
      </c>
      <c r="CO41" s="197">
        <f t="shared" si="123"/>
        <v>3710.7856857751476</v>
      </c>
      <c r="CP41" s="197">
        <f t="shared" si="124"/>
        <v>1635.8096715302688</v>
      </c>
      <c r="CQ41" s="199">
        <f t="shared" si="125"/>
        <v>2300.0369388265817</v>
      </c>
      <c r="CR41" s="197"/>
      <c r="CT41" s="204">
        <f t="shared" si="149"/>
        <v>4</v>
      </c>
      <c r="CU41" s="197">
        <f>'Energy NPV'!$D94*$CV$34</f>
        <v>0</v>
      </c>
      <c r="CV41" s="197">
        <f>'Energy margins'!$Z$12</f>
        <v>72</v>
      </c>
      <c r="CW41" s="197">
        <f t="shared" si="150"/>
        <v>0</v>
      </c>
      <c r="CX41" s="197">
        <f>'Margins summary'!$W$14</f>
        <v>175.95</v>
      </c>
      <c r="CY41" s="197">
        <f t="shared" si="126"/>
        <v>175.95</v>
      </c>
      <c r="CZ41" s="197"/>
      <c r="DA41" s="918">
        <f>'Energy NPV'!U94</f>
        <v>408.3347839999999</v>
      </c>
      <c r="DB41" s="197"/>
      <c r="DC41" s="197">
        <f t="shared" si="127"/>
        <v>408.3347839999999</v>
      </c>
      <c r="DD41" s="197">
        <f t="shared" si="86"/>
        <v>-408.3347839999999</v>
      </c>
      <c r="DE41" s="197">
        <f t="shared" si="87"/>
        <v>-232.38478399999991</v>
      </c>
      <c r="DF41" s="196">
        <f t="shared" si="128"/>
        <v>0</v>
      </c>
      <c r="DG41" s="197">
        <f t="shared" si="129"/>
        <v>156.41890930814745</v>
      </c>
      <c r="DH41" s="197">
        <f t="shared" si="130"/>
        <v>363.00813609467446</v>
      </c>
      <c r="DI41" s="197">
        <f t="shared" si="131"/>
        <v>-363.00813609467446</v>
      </c>
      <c r="DJ41" s="199">
        <f t="shared" si="132"/>
        <v>-206.58922678652698</v>
      </c>
      <c r="DK41" s="196">
        <f t="shared" si="151"/>
        <v>0</v>
      </c>
      <c r="DL41" s="197">
        <f t="shared" si="133"/>
        <v>664.22726729631313</v>
      </c>
      <c r="DM41" s="197">
        <f t="shared" si="134"/>
        <v>3710.7856857751476</v>
      </c>
      <c r="DN41" s="197">
        <f t="shared" si="135"/>
        <v>-3710.7856857751476</v>
      </c>
      <c r="DO41" s="199">
        <f t="shared" si="136"/>
        <v>-3046.5584184788345</v>
      </c>
    </row>
    <row r="42" spans="2:119" x14ac:dyDescent="0.3">
      <c r="B42" s="204">
        <f t="shared" si="137"/>
        <v>5</v>
      </c>
      <c r="C42" s="225">
        <f>'Energy NPV'!$D95*$E$34</f>
        <v>16.3</v>
      </c>
      <c r="D42" s="197">
        <f>'Energy margins'!$Z$12</f>
        <v>72</v>
      </c>
      <c r="E42" s="197">
        <f t="shared" si="138"/>
        <v>1173.6000000000001</v>
      </c>
      <c r="F42" s="197">
        <f>'Margins summary'!$W$14</f>
        <v>175.95</v>
      </c>
      <c r="G42" s="197">
        <f t="shared" si="88"/>
        <v>1349.5500000000002</v>
      </c>
      <c r="H42" s="197"/>
      <c r="I42" s="918">
        <f>'Energy NPV'!U95</f>
        <v>408.3347839999999</v>
      </c>
      <c r="J42" s="197"/>
      <c r="K42" s="197">
        <f t="shared" si="89"/>
        <v>408.3347839999999</v>
      </c>
      <c r="L42" s="197">
        <f t="shared" si="78"/>
        <v>765.26521600000024</v>
      </c>
      <c r="M42" s="197">
        <f t="shared" si="79"/>
        <v>941.21521600000028</v>
      </c>
      <c r="N42" s="196">
        <f t="shared" si="90"/>
        <v>1003.1981985924862</v>
      </c>
      <c r="O42" s="197">
        <f t="shared" si="91"/>
        <v>150.40279741168024</v>
      </c>
      <c r="P42" s="197">
        <f t="shared" si="92"/>
        <v>349.04628470641768</v>
      </c>
      <c r="Q42" s="197">
        <f t="shared" si="93"/>
        <v>654.15191388606854</v>
      </c>
      <c r="R42" s="199">
        <f t="shared" si="94"/>
        <v>804.55471129774878</v>
      </c>
      <c r="S42" s="196">
        <f t="shared" si="139"/>
        <v>3676.4958772451946</v>
      </c>
      <c r="T42" s="197">
        <f t="shared" si="95"/>
        <v>814.63006470799337</v>
      </c>
      <c r="U42" s="197">
        <f t="shared" si="95"/>
        <v>4059.8319704815653</v>
      </c>
      <c r="V42" s="197">
        <f t="shared" si="95"/>
        <v>-383.33609323637097</v>
      </c>
      <c r="W42" s="199">
        <f t="shared" si="95"/>
        <v>431.2939714716224</v>
      </c>
      <c r="X42" s="197"/>
      <c r="Z42" s="204">
        <f t="shared" si="140"/>
        <v>5</v>
      </c>
      <c r="AA42" s="197">
        <f>'Energy NPV'!$D95*$AB$34</f>
        <v>24.450000000000003</v>
      </c>
      <c r="AB42" s="197">
        <f>'Energy margins'!$Z$12</f>
        <v>72</v>
      </c>
      <c r="AC42" s="197">
        <f t="shared" si="141"/>
        <v>1760.4</v>
      </c>
      <c r="AD42" s="197">
        <f>'Margins summary'!$W$14</f>
        <v>175.95</v>
      </c>
      <c r="AE42" s="197">
        <f t="shared" si="96"/>
        <v>1936.3500000000001</v>
      </c>
      <c r="AF42" s="197"/>
      <c r="AG42" s="918">
        <f>'Energy NPV'!U95</f>
        <v>408.3347839999999</v>
      </c>
      <c r="AH42" s="197"/>
      <c r="AI42" s="197">
        <f t="shared" si="97"/>
        <v>408.3347839999999</v>
      </c>
      <c r="AJ42" s="197">
        <f t="shared" si="80"/>
        <v>1352.0652160000002</v>
      </c>
      <c r="AK42" s="197">
        <f t="shared" si="81"/>
        <v>1528.0152160000002</v>
      </c>
      <c r="AL42" s="196">
        <f t="shared" si="98"/>
        <v>1504.7972978887292</v>
      </c>
      <c r="AM42" s="197">
        <f t="shared" si="99"/>
        <v>150.40279741168024</v>
      </c>
      <c r="AN42" s="197">
        <f t="shared" si="100"/>
        <v>349.04628470641768</v>
      </c>
      <c r="AO42" s="197">
        <f t="shared" si="101"/>
        <v>1155.7510131823115</v>
      </c>
      <c r="AP42" s="199">
        <f t="shared" si="102"/>
        <v>1306.1538105939917</v>
      </c>
      <c r="AQ42" s="196">
        <f t="shared" si="142"/>
        <v>5514.7438158677915</v>
      </c>
      <c r="AR42" s="197">
        <f t="shared" si="103"/>
        <v>814.63006470799337</v>
      </c>
      <c r="AS42" s="197">
        <f t="shared" si="103"/>
        <v>4059.8319704815653</v>
      </c>
      <c r="AT42" s="197">
        <f t="shared" si="103"/>
        <v>1454.9118453862259</v>
      </c>
      <c r="AU42" s="199">
        <f t="shared" si="103"/>
        <v>2269.541910094219</v>
      </c>
      <c r="AV42" s="197"/>
      <c r="AX42" s="204">
        <f t="shared" si="143"/>
        <v>5</v>
      </c>
      <c r="AY42" s="197">
        <f>'Energy NPV'!$D95*$AZ$34</f>
        <v>8.15</v>
      </c>
      <c r="AZ42" s="197">
        <f>'Energy margins'!$Z$12</f>
        <v>72</v>
      </c>
      <c r="BA42" s="197">
        <f t="shared" si="144"/>
        <v>586.80000000000007</v>
      </c>
      <c r="BB42" s="197">
        <f>'Margins summary'!$W$14</f>
        <v>175.95</v>
      </c>
      <c r="BC42" s="197">
        <f t="shared" si="104"/>
        <v>762.75</v>
      </c>
      <c r="BD42" s="197"/>
      <c r="BE42" s="918">
        <f>'Energy NPV'!U95</f>
        <v>408.3347839999999</v>
      </c>
      <c r="BF42" s="197"/>
      <c r="BG42" s="197">
        <f t="shared" si="105"/>
        <v>408.3347839999999</v>
      </c>
      <c r="BH42" s="197">
        <f t="shared" si="82"/>
        <v>178.46521600000017</v>
      </c>
      <c r="BI42" s="197">
        <f t="shared" si="83"/>
        <v>354.4152160000001</v>
      </c>
      <c r="BJ42" s="196">
        <f t="shared" si="106"/>
        <v>501.59909929624308</v>
      </c>
      <c r="BK42" s="197">
        <f t="shared" si="107"/>
        <v>150.40279741168024</v>
      </c>
      <c r="BL42" s="197">
        <f t="shared" si="108"/>
        <v>349.04628470641768</v>
      </c>
      <c r="BM42" s="197">
        <f t="shared" si="109"/>
        <v>152.5528145898254</v>
      </c>
      <c r="BN42" s="199">
        <f t="shared" si="110"/>
        <v>302.95561200150559</v>
      </c>
      <c r="BO42" s="196">
        <f t="shared" si="145"/>
        <v>1838.2479386225973</v>
      </c>
      <c r="BP42" s="197">
        <f t="shared" si="111"/>
        <v>814.63006470799337</v>
      </c>
      <c r="BQ42" s="197">
        <f t="shared" si="112"/>
        <v>4059.8319704815653</v>
      </c>
      <c r="BR42" s="197">
        <f t="shared" si="113"/>
        <v>-2221.584031858968</v>
      </c>
      <c r="BS42" s="199">
        <f t="shared" si="114"/>
        <v>-1406.9539671509749</v>
      </c>
      <c r="BT42" s="197"/>
      <c r="BV42" s="204">
        <f t="shared" si="146"/>
        <v>5</v>
      </c>
      <c r="BW42" s="197">
        <f>'Energy NPV'!$D95*$BX$34</f>
        <v>32.6</v>
      </c>
      <c r="BX42" s="197">
        <f>'Energy margins'!$Z$12</f>
        <v>72</v>
      </c>
      <c r="BY42" s="197">
        <f t="shared" si="147"/>
        <v>2347.2000000000003</v>
      </c>
      <c r="BZ42" s="197">
        <f>'Margins summary'!$W$14</f>
        <v>175.95</v>
      </c>
      <c r="CA42" s="197">
        <f t="shared" si="115"/>
        <v>2523.15</v>
      </c>
      <c r="CB42" s="197"/>
      <c r="CC42" s="918">
        <f>'Energy NPV'!U95</f>
        <v>408.3347839999999</v>
      </c>
      <c r="CD42" s="197"/>
      <c r="CE42" s="197">
        <f t="shared" si="116"/>
        <v>408.3347839999999</v>
      </c>
      <c r="CF42" s="197">
        <f t="shared" si="84"/>
        <v>1938.8652160000004</v>
      </c>
      <c r="CG42" s="197">
        <f t="shared" si="85"/>
        <v>2114.815216</v>
      </c>
      <c r="CH42" s="196">
        <f t="shared" si="117"/>
        <v>2006.3963971849723</v>
      </c>
      <c r="CI42" s="197">
        <f t="shared" si="118"/>
        <v>150.40279741168024</v>
      </c>
      <c r="CJ42" s="197">
        <f t="shared" si="119"/>
        <v>349.04628470641768</v>
      </c>
      <c r="CK42" s="197">
        <f t="shared" si="120"/>
        <v>1657.3501124785546</v>
      </c>
      <c r="CL42" s="199">
        <f t="shared" si="121"/>
        <v>1807.7529098902346</v>
      </c>
      <c r="CM42" s="196">
        <f t="shared" si="148"/>
        <v>7352.9917544903892</v>
      </c>
      <c r="CN42" s="197">
        <f t="shared" si="122"/>
        <v>814.63006470799337</v>
      </c>
      <c r="CO42" s="197">
        <f t="shared" si="123"/>
        <v>4059.8319704815653</v>
      </c>
      <c r="CP42" s="197">
        <f t="shared" si="124"/>
        <v>3293.1597840088234</v>
      </c>
      <c r="CQ42" s="199">
        <f t="shared" si="125"/>
        <v>4107.7898487168168</v>
      </c>
      <c r="CR42" s="197"/>
      <c r="CT42" s="204">
        <f t="shared" si="149"/>
        <v>5</v>
      </c>
      <c r="CU42" s="197">
        <f>'Energy NPV'!$D95*$CV$34</f>
        <v>0</v>
      </c>
      <c r="CV42" s="197">
        <f>'Energy margins'!$Z$12</f>
        <v>72</v>
      </c>
      <c r="CW42" s="197">
        <f t="shared" si="150"/>
        <v>0</v>
      </c>
      <c r="CX42" s="197">
        <f>'Margins summary'!$W$14</f>
        <v>175.95</v>
      </c>
      <c r="CY42" s="197">
        <f t="shared" si="126"/>
        <v>175.95</v>
      </c>
      <c r="CZ42" s="197"/>
      <c r="DA42" s="918">
        <f>'Energy NPV'!U95</f>
        <v>408.3347839999999</v>
      </c>
      <c r="DB42" s="197"/>
      <c r="DC42" s="197">
        <f t="shared" si="127"/>
        <v>408.3347839999999</v>
      </c>
      <c r="DD42" s="197">
        <f t="shared" si="86"/>
        <v>-408.3347839999999</v>
      </c>
      <c r="DE42" s="197">
        <f t="shared" si="87"/>
        <v>-232.38478399999991</v>
      </c>
      <c r="DF42" s="196">
        <f t="shared" si="128"/>
        <v>0</v>
      </c>
      <c r="DG42" s="197">
        <f t="shared" si="129"/>
        <v>150.40279741168024</v>
      </c>
      <c r="DH42" s="197">
        <f t="shared" si="130"/>
        <v>349.04628470641768</v>
      </c>
      <c r="DI42" s="197">
        <f t="shared" si="131"/>
        <v>-349.04628470641768</v>
      </c>
      <c r="DJ42" s="199">
        <f t="shared" si="132"/>
        <v>-198.64348729473747</v>
      </c>
      <c r="DK42" s="196">
        <f t="shared" si="151"/>
        <v>0</v>
      </c>
      <c r="DL42" s="197">
        <f t="shared" si="133"/>
        <v>814.63006470799337</v>
      </c>
      <c r="DM42" s="197">
        <f t="shared" si="134"/>
        <v>4059.8319704815653</v>
      </c>
      <c r="DN42" s="197">
        <f t="shared" si="135"/>
        <v>-4059.8319704815653</v>
      </c>
      <c r="DO42" s="199">
        <f t="shared" si="136"/>
        <v>-3245.201905773572</v>
      </c>
    </row>
    <row r="43" spans="2:119" x14ac:dyDescent="0.3">
      <c r="B43" s="204">
        <f t="shared" si="137"/>
        <v>6</v>
      </c>
      <c r="C43" s="225">
        <f>'Energy NPV'!$D96*$E$34</f>
        <v>16.3</v>
      </c>
      <c r="D43" s="197">
        <f>'Energy margins'!$Z$12</f>
        <v>72</v>
      </c>
      <c r="E43" s="197">
        <f t="shared" si="138"/>
        <v>1173.6000000000001</v>
      </c>
      <c r="F43" s="197">
        <f>'Margins summary'!$W$14</f>
        <v>175.95</v>
      </c>
      <c r="G43" s="197">
        <f t="shared" si="88"/>
        <v>1349.5500000000002</v>
      </c>
      <c r="H43" s="197"/>
      <c r="I43" s="918">
        <f>'Energy NPV'!U96</f>
        <v>408.3347839999999</v>
      </c>
      <c r="J43" s="197"/>
      <c r="K43" s="197">
        <f t="shared" si="89"/>
        <v>408.3347839999999</v>
      </c>
      <c r="L43" s="197">
        <f t="shared" si="78"/>
        <v>765.26521600000024</v>
      </c>
      <c r="M43" s="197">
        <f t="shared" si="79"/>
        <v>941.21521600000028</v>
      </c>
      <c r="N43" s="196">
        <f t="shared" si="90"/>
        <v>964.61365249277503</v>
      </c>
      <c r="O43" s="197">
        <f t="shared" si="91"/>
        <v>144.61807443430789</v>
      </c>
      <c r="P43" s="197">
        <f t="shared" si="92"/>
        <v>335.62142760232467</v>
      </c>
      <c r="Q43" s="197">
        <f t="shared" si="93"/>
        <v>628.99222489045042</v>
      </c>
      <c r="R43" s="199">
        <f t="shared" si="94"/>
        <v>773.61029932475833</v>
      </c>
      <c r="S43" s="196">
        <f t="shared" si="139"/>
        <v>4641.1095297379698</v>
      </c>
      <c r="T43" s="197">
        <f t="shared" si="95"/>
        <v>959.24813914230128</v>
      </c>
      <c r="U43" s="197">
        <f t="shared" si="95"/>
        <v>4395.4533980838896</v>
      </c>
      <c r="V43" s="197">
        <f t="shared" si="95"/>
        <v>245.65613165407945</v>
      </c>
      <c r="W43" s="199">
        <f t="shared" si="95"/>
        <v>1204.9042707963808</v>
      </c>
      <c r="X43" s="197"/>
      <c r="Z43" s="204">
        <f t="shared" si="140"/>
        <v>6</v>
      </c>
      <c r="AA43" s="197">
        <f>'Energy NPV'!$D96*$AB$34</f>
        <v>24.450000000000003</v>
      </c>
      <c r="AB43" s="197">
        <f>'Energy margins'!$Z$12</f>
        <v>72</v>
      </c>
      <c r="AC43" s="197">
        <f t="shared" si="141"/>
        <v>1760.4</v>
      </c>
      <c r="AD43" s="197">
        <f>'Margins summary'!$W$14</f>
        <v>175.95</v>
      </c>
      <c r="AE43" s="197">
        <f t="shared" si="96"/>
        <v>1936.3500000000001</v>
      </c>
      <c r="AF43" s="197"/>
      <c r="AG43" s="918">
        <f>'Energy NPV'!U96</f>
        <v>408.3347839999999</v>
      </c>
      <c r="AH43" s="197"/>
      <c r="AI43" s="197">
        <f t="shared" si="97"/>
        <v>408.3347839999999</v>
      </c>
      <c r="AJ43" s="197">
        <f t="shared" si="80"/>
        <v>1352.0652160000002</v>
      </c>
      <c r="AK43" s="197">
        <f t="shared" si="81"/>
        <v>1528.0152160000002</v>
      </c>
      <c r="AL43" s="196">
        <f t="shared" si="98"/>
        <v>1446.9204787391625</v>
      </c>
      <c r="AM43" s="197">
        <f t="shared" si="99"/>
        <v>144.61807443430789</v>
      </c>
      <c r="AN43" s="197">
        <f t="shared" si="100"/>
        <v>335.62142760232467</v>
      </c>
      <c r="AO43" s="197">
        <f t="shared" si="101"/>
        <v>1111.2990511368378</v>
      </c>
      <c r="AP43" s="199">
        <f t="shared" si="102"/>
        <v>1255.9171255711458</v>
      </c>
      <c r="AQ43" s="196">
        <f t="shared" si="142"/>
        <v>6961.6642946069542</v>
      </c>
      <c r="AR43" s="197">
        <f t="shared" si="103"/>
        <v>959.24813914230128</v>
      </c>
      <c r="AS43" s="197">
        <f t="shared" si="103"/>
        <v>4395.4533980838896</v>
      </c>
      <c r="AT43" s="197">
        <f t="shared" si="103"/>
        <v>2566.2108965230636</v>
      </c>
      <c r="AU43" s="199">
        <f t="shared" si="103"/>
        <v>3525.4590356653648</v>
      </c>
      <c r="AV43" s="197"/>
      <c r="AX43" s="204">
        <f t="shared" si="143"/>
        <v>6</v>
      </c>
      <c r="AY43" s="197">
        <f>'Energy NPV'!$D96*$AZ$34</f>
        <v>8.15</v>
      </c>
      <c r="AZ43" s="197">
        <f>'Energy margins'!$Z$12</f>
        <v>72</v>
      </c>
      <c r="BA43" s="197">
        <f t="shared" si="144"/>
        <v>586.80000000000007</v>
      </c>
      <c r="BB43" s="197">
        <f>'Margins summary'!$W$14</f>
        <v>175.95</v>
      </c>
      <c r="BC43" s="197">
        <f t="shared" si="104"/>
        <v>762.75</v>
      </c>
      <c r="BD43" s="197"/>
      <c r="BE43" s="918">
        <f>'Energy NPV'!U96</f>
        <v>408.3347839999999</v>
      </c>
      <c r="BF43" s="197"/>
      <c r="BG43" s="197">
        <f t="shared" si="105"/>
        <v>408.3347839999999</v>
      </c>
      <c r="BH43" s="197">
        <f t="shared" si="82"/>
        <v>178.46521600000017</v>
      </c>
      <c r="BI43" s="197">
        <f t="shared" si="83"/>
        <v>354.4152160000001</v>
      </c>
      <c r="BJ43" s="196">
        <f t="shared" si="106"/>
        <v>482.30682624638752</v>
      </c>
      <c r="BK43" s="197">
        <f t="shared" si="107"/>
        <v>144.61807443430789</v>
      </c>
      <c r="BL43" s="197">
        <f t="shared" si="108"/>
        <v>335.62142760232467</v>
      </c>
      <c r="BM43" s="197">
        <f t="shared" si="109"/>
        <v>146.68539864406287</v>
      </c>
      <c r="BN43" s="199">
        <f t="shared" si="110"/>
        <v>291.3034730783707</v>
      </c>
      <c r="BO43" s="196">
        <f t="shared" si="145"/>
        <v>2320.5547648689849</v>
      </c>
      <c r="BP43" s="197">
        <f t="shared" si="111"/>
        <v>959.24813914230128</v>
      </c>
      <c r="BQ43" s="197">
        <f t="shared" si="112"/>
        <v>4395.4533980838896</v>
      </c>
      <c r="BR43" s="197">
        <f t="shared" si="113"/>
        <v>-2074.8986332149052</v>
      </c>
      <c r="BS43" s="199">
        <f t="shared" si="114"/>
        <v>-1115.6504940726043</v>
      </c>
      <c r="BT43" s="197"/>
      <c r="BV43" s="204">
        <f t="shared" si="146"/>
        <v>6</v>
      </c>
      <c r="BW43" s="197">
        <f>'Energy NPV'!$D96*$BX$34</f>
        <v>32.6</v>
      </c>
      <c r="BX43" s="197">
        <f>'Energy margins'!$Z$12</f>
        <v>72</v>
      </c>
      <c r="BY43" s="197">
        <f t="shared" si="147"/>
        <v>2347.2000000000003</v>
      </c>
      <c r="BZ43" s="197">
        <f>'Margins summary'!$W$14</f>
        <v>175.95</v>
      </c>
      <c r="CA43" s="197">
        <f t="shared" si="115"/>
        <v>2523.15</v>
      </c>
      <c r="CB43" s="197"/>
      <c r="CC43" s="918">
        <f>'Energy NPV'!U96</f>
        <v>408.3347839999999</v>
      </c>
      <c r="CD43" s="197"/>
      <c r="CE43" s="197">
        <f t="shared" si="116"/>
        <v>408.3347839999999</v>
      </c>
      <c r="CF43" s="197">
        <f t="shared" si="84"/>
        <v>1938.8652160000004</v>
      </c>
      <c r="CG43" s="197">
        <f t="shared" si="85"/>
        <v>2114.815216</v>
      </c>
      <c r="CH43" s="196">
        <f t="shared" si="117"/>
        <v>1929.2273049855501</v>
      </c>
      <c r="CI43" s="197">
        <f t="shared" si="118"/>
        <v>144.61807443430789</v>
      </c>
      <c r="CJ43" s="197">
        <f t="shared" si="119"/>
        <v>335.62142760232467</v>
      </c>
      <c r="CK43" s="197">
        <f t="shared" si="120"/>
        <v>1593.6058773832256</v>
      </c>
      <c r="CL43" s="199">
        <f t="shared" si="121"/>
        <v>1738.2239518175331</v>
      </c>
      <c r="CM43" s="196">
        <f t="shared" si="148"/>
        <v>9282.2190594759395</v>
      </c>
      <c r="CN43" s="197">
        <f t="shared" si="122"/>
        <v>959.24813914230128</v>
      </c>
      <c r="CO43" s="197">
        <f t="shared" si="123"/>
        <v>4395.4533980838896</v>
      </c>
      <c r="CP43" s="197">
        <f t="shared" si="124"/>
        <v>4886.765661392049</v>
      </c>
      <c r="CQ43" s="199">
        <f t="shared" si="125"/>
        <v>5846.0138005343497</v>
      </c>
      <c r="CR43" s="197"/>
      <c r="CT43" s="204">
        <f t="shared" si="149"/>
        <v>6</v>
      </c>
      <c r="CU43" s="197">
        <f>'Energy NPV'!$D96*$CV$34</f>
        <v>0</v>
      </c>
      <c r="CV43" s="197">
        <f>'Energy margins'!$Z$12</f>
        <v>72</v>
      </c>
      <c r="CW43" s="197">
        <f t="shared" si="150"/>
        <v>0</v>
      </c>
      <c r="CX43" s="197">
        <f>'Margins summary'!$W$14</f>
        <v>175.95</v>
      </c>
      <c r="CY43" s="197">
        <f t="shared" si="126"/>
        <v>175.95</v>
      </c>
      <c r="CZ43" s="197"/>
      <c r="DA43" s="918">
        <f>'Energy NPV'!U96</f>
        <v>408.3347839999999</v>
      </c>
      <c r="DB43" s="197"/>
      <c r="DC43" s="197">
        <f t="shared" si="127"/>
        <v>408.3347839999999</v>
      </c>
      <c r="DD43" s="197">
        <f t="shared" si="86"/>
        <v>-408.3347839999999</v>
      </c>
      <c r="DE43" s="197">
        <f t="shared" si="87"/>
        <v>-232.38478399999991</v>
      </c>
      <c r="DF43" s="196">
        <f t="shared" si="128"/>
        <v>0</v>
      </c>
      <c r="DG43" s="197">
        <f t="shared" si="129"/>
        <v>144.61807443430789</v>
      </c>
      <c r="DH43" s="197">
        <f t="shared" si="130"/>
        <v>335.62142760232467</v>
      </c>
      <c r="DI43" s="197">
        <f t="shared" si="131"/>
        <v>-335.62142760232467</v>
      </c>
      <c r="DJ43" s="199">
        <f t="shared" si="132"/>
        <v>-191.00335316801679</v>
      </c>
      <c r="DK43" s="196">
        <f t="shared" si="151"/>
        <v>0</v>
      </c>
      <c r="DL43" s="197">
        <f t="shared" si="133"/>
        <v>959.24813914230128</v>
      </c>
      <c r="DM43" s="197">
        <f t="shared" si="134"/>
        <v>4395.4533980838896</v>
      </c>
      <c r="DN43" s="197">
        <f t="shared" si="135"/>
        <v>-4395.4533980838896</v>
      </c>
      <c r="DO43" s="199">
        <f t="shared" si="136"/>
        <v>-3436.2052589415889</v>
      </c>
    </row>
    <row r="44" spans="2:119" x14ac:dyDescent="0.3">
      <c r="B44" s="204">
        <f t="shared" si="137"/>
        <v>7</v>
      </c>
      <c r="C44" s="225">
        <f>'Energy NPV'!$D97*$E$34</f>
        <v>16.3</v>
      </c>
      <c r="D44" s="197">
        <f>'Energy margins'!$Z$12</f>
        <v>72</v>
      </c>
      <c r="E44" s="197">
        <f t="shared" si="138"/>
        <v>1173.6000000000001</v>
      </c>
      <c r="F44" s="197">
        <f>'Margins summary'!$W$14</f>
        <v>175.95</v>
      </c>
      <c r="G44" s="197">
        <f t="shared" si="88"/>
        <v>1349.5500000000002</v>
      </c>
      <c r="H44" s="197"/>
      <c r="I44" s="918">
        <f>'Energy NPV'!U97</f>
        <v>408.3347839999999</v>
      </c>
      <c r="J44" s="197"/>
      <c r="K44" s="197">
        <f t="shared" si="89"/>
        <v>408.3347839999999</v>
      </c>
      <c r="L44" s="197">
        <f t="shared" si="78"/>
        <v>765.26521600000024</v>
      </c>
      <c r="M44" s="197">
        <f t="shared" si="79"/>
        <v>941.21521600000028</v>
      </c>
      <c r="N44" s="196">
        <f t="shared" si="90"/>
        <v>927.51312739689911</v>
      </c>
      <c r="O44" s="197">
        <f t="shared" si="91"/>
        <v>139.05584080221914</v>
      </c>
      <c r="P44" s="197">
        <f t="shared" si="92"/>
        <v>322.71291115608142</v>
      </c>
      <c r="Q44" s="197">
        <f t="shared" si="93"/>
        <v>604.80021624081769</v>
      </c>
      <c r="R44" s="199">
        <f t="shared" si="94"/>
        <v>743.85605704303691</v>
      </c>
      <c r="S44" s="196">
        <f t="shared" si="139"/>
        <v>5568.6226571348689</v>
      </c>
      <c r="T44" s="197">
        <f t="shared" si="95"/>
        <v>1098.3039799445205</v>
      </c>
      <c r="U44" s="197">
        <f t="shared" si="95"/>
        <v>4718.1663092399713</v>
      </c>
      <c r="V44" s="197">
        <f t="shared" si="95"/>
        <v>850.45634789489714</v>
      </c>
      <c r="W44" s="199">
        <f t="shared" si="95"/>
        <v>1948.7603278394176</v>
      </c>
      <c r="X44" s="197"/>
      <c r="Z44" s="204">
        <f t="shared" si="140"/>
        <v>7</v>
      </c>
      <c r="AA44" s="197">
        <f>'Energy NPV'!$D97*$AB$34</f>
        <v>24.450000000000003</v>
      </c>
      <c r="AB44" s="197">
        <f>'Energy margins'!$Z$12</f>
        <v>72</v>
      </c>
      <c r="AC44" s="197">
        <f t="shared" si="141"/>
        <v>1760.4</v>
      </c>
      <c r="AD44" s="197">
        <f>'Margins summary'!$W$14</f>
        <v>175.95</v>
      </c>
      <c r="AE44" s="197">
        <f t="shared" si="96"/>
        <v>1936.3500000000001</v>
      </c>
      <c r="AF44" s="197"/>
      <c r="AG44" s="918">
        <f>'Energy NPV'!U97</f>
        <v>408.3347839999999</v>
      </c>
      <c r="AH44" s="197"/>
      <c r="AI44" s="197">
        <f t="shared" si="97"/>
        <v>408.3347839999999</v>
      </c>
      <c r="AJ44" s="197">
        <f t="shared" si="80"/>
        <v>1352.0652160000002</v>
      </c>
      <c r="AK44" s="197">
        <f t="shared" si="81"/>
        <v>1528.0152160000002</v>
      </c>
      <c r="AL44" s="196">
        <f t="shared" si="98"/>
        <v>1391.2696910953487</v>
      </c>
      <c r="AM44" s="197">
        <f t="shared" si="99"/>
        <v>139.05584080221914</v>
      </c>
      <c r="AN44" s="197">
        <f t="shared" si="100"/>
        <v>322.71291115608142</v>
      </c>
      <c r="AO44" s="197">
        <f t="shared" si="101"/>
        <v>1068.5567799392672</v>
      </c>
      <c r="AP44" s="199">
        <f t="shared" si="102"/>
        <v>1207.6126207414864</v>
      </c>
      <c r="AQ44" s="196">
        <f t="shared" si="142"/>
        <v>8352.9339857023024</v>
      </c>
      <c r="AR44" s="197">
        <f t="shared" si="103"/>
        <v>1098.3039799445205</v>
      </c>
      <c r="AS44" s="197">
        <f t="shared" si="103"/>
        <v>4718.1663092399713</v>
      </c>
      <c r="AT44" s="197">
        <f t="shared" si="103"/>
        <v>3634.7676764623311</v>
      </c>
      <c r="AU44" s="199">
        <f t="shared" si="103"/>
        <v>4733.0716564068516</v>
      </c>
      <c r="AV44" s="197"/>
      <c r="AX44" s="204">
        <f t="shared" si="143"/>
        <v>7</v>
      </c>
      <c r="AY44" s="197">
        <f>'Energy NPV'!$D97*$AZ$34</f>
        <v>8.15</v>
      </c>
      <c r="AZ44" s="197">
        <f>'Energy margins'!$Z$12</f>
        <v>72</v>
      </c>
      <c r="BA44" s="197">
        <f t="shared" si="144"/>
        <v>586.80000000000007</v>
      </c>
      <c r="BB44" s="197">
        <f>'Margins summary'!$W$14</f>
        <v>175.95</v>
      </c>
      <c r="BC44" s="197">
        <f t="shared" si="104"/>
        <v>762.75</v>
      </c>
      <c r="BD44" s="197"/>
      <c r="BE44" s="918">
        <f>'Energy NPV'!U97</f>
        <v>408.3347839999999</v>
      </c>
      <c r="BF44" s="197"/>
      <c r="BG44" s="197">
        <f t="shared" si="105"/>
        <v>408.3347839999999</v>
      </c>
      <c r="BH44" s="197">
        <f t="shared" si="82"/>
        <v>178.46521600000017</v>
      </c>
      <c r="BI44" s="197">
        <f t="shared" si="83"/>
        <v>354.4152160000001</v>
      </c>
      <c r="BJ44" s="196">
        <f t="shared" si="106"/>
        <v>463.75656369844955</v>
      </c>
      <c r="BK44" s="197">
        <f t="shared" si="107"/>
        <v>139.05584080221914</v>
      </c>
      <c r="BL44" s="197">
        <f t="shared" si="108"/>
        <v>322.71291115608142</v>
      </c>
      <c r="BM44" s="197">
        <f t="shared" si="109"/>
        <v>141.04365254236814</v>
      </c>
      <c r="BN44" s="199">
        <f t="shared" si="110"/>
        <v>280.09949334458724</v>
      </c>
      <c r="BO44" s="196">
        <f t="shared" si="145"/>
        <v>2784.3113285674344</v>
      </c>
      <c r="BP44" s="197">
        <f t="shared" si="111"/>
        <v>1098.3039799445205</v>
      </c>
      <c r="BQ44" s="197">
        <f t="shared" si="112"/>
        <v>4718.1663092399713</v>
      </c>
      <c r="BR44" s="197">
        <f t="shared" si="113"/>
        <v>-1933.8549806725371</v>
      </c>
      <c r="BS44" s="199">
        <f t="shared" si="114"/>
        <v>-835.55100072801702</v>
      </c>
      <c r="BT44" s="197"/>
      <c r="BV44" s="204">
        <f t="shared" si="146"/>
        <v>7</v>
      </c>
      <c r="BW44" s="197">
        <f>'Energy NPV'!$D97*$BX$34</f>
        <v>32.6</v>
      </c>
      <c r="BX44" s="197">
        <f>'Energy margins'!$Z$12</f>
        <v>72</v>
      </c>
      <c r="BY44" s="197">
        <f t="shared" si="147"/>
        <v>2347.2000000000003</v>
      </c>
      <c r="BZ44" s="197">
        <f>'Margins summary'!$W$14</f>
        <v>175.95</v>
      </c>
      <c r="CA44" s="197">
        <f t="shared" si="115"/>
        <v>2523.15</v>
      </c>
      <c r="CB44" s="197"/>
      <c r="CC44" s="918">
        <f>'Energy NPV'!U97</f>
        <v>408.3347839999999</v>
      </c>
      <c r="CD44" s="197"/>
      <c r="CE44" s="197">
        <f t="shared" si="116"/>
        <v>408.3347839999999</v>
      </c>
      <c r="CF44" s="197">
        <f t="shared" si="84"/>
        <v>1938.8652160000004</v>
      </c>
      <c r="CG44" s="197">
        <f t="shared" si="85"/>
        <v>2114.815216</v>
      </c>
      <c r="CH44" s="196">
        <f t="shared" si="117"/>
        <v>1855.0262547937982</v>
      </c>
      <c r="CI44" s="197">
        <f t="shared" si="118"/>
        <v>139.05584080221914</v>
      </c>
      <c r="CJ44" s="197">
        <f t="shared" si="119"/>
        <v>322.71291115608142</v>
      </c>
      <c r="CK44" s="197">
        <f t="shared" si="120"/>
        <v>1532.3133436377168</v>
      </c>
      <c r="CL44" s="199">
        <f t="shared" si="121"/>
        <v>1671.3691844399357</v>
      </c>
      <c r="CM44" s="196">
        <f t="shared" si="148"/>
        <v>11137.245314269738</v>
      </c>
      <c r="CN44" s="197">
        <f t="shared" si="122"/>
        <v>1098.3039799445205</v>
      </c>
      <c r="CO44" s="197">
        <f t="shared" si="123"/>
        <v>4718.1663092399713</v>
      </c>
      <c r="CP44" s="197">
        <f t="shared" si="124"/>
        <v>6419.0790050297655</v>
      </c>
      <c r="CQ44" s="199">
        <f t="shared" si="125"/>
        <v>7517.3829849742851</v>
      </c>
      <c r="CR44" s="197"/>
      <c r="CT44" s="204">
        <f t="shared" si="149"/>
        <v>7</v>
      </c>
      <c r="CU44" s="197">
        <f>'Energy NPV'!$D97*$CV$34</f>
        <v>0</v>
      </c>
      <c r="CV44" s="197">
        <f>'Energy margins'!$Z$12</f>
        <v>72</v>
      </c>
      <c r="CW44" s="197">
        <f t="shared" si="150"/>
        <v>0</v>
      </c>
      <c r="CX44" s="197">
        <f>'Margins summary'!$W$14</f>
        <v>175.95</v>
      </c>
      <c r="CY44" s="197">
        <f t="shared" si="126"/>
        <v>175.95</v>
      </c>
      <c r="CZ44" s="197"/>
      <c r="DA44" s="918">
        <f>'Energy NPV'!U97</f>
        <v>408.3347839999999</v>
      </c>
      <c r="DB44" s="197"/>
      <c r="DC44" s="197">
        <f t="shared" si="127"/>
        <v>408.3347839999999</v>
      </c>
      <c r="DD44" s="197">
        <f t="shared" si="86"/>
        <v>-408.3347839999999</v>
      </c>
      <c r="DE44" s="197">
        <f t="shared" si="87"/>
        <v>-232.38478399999991</v>
      </c>
      <c r="DF44" s="196">
        <f t="shared" si="128"/>
        <v>0</v>
      </c>
      <c r="DG44" s="197">
        <f t="shared" si="129"/>
        <v>139.05584080221914</v>
      </c>
      <c r="DH44" s="197">
        <f t="shared" si="130"/>
        <v>322.71291115608142</v>
      </c>
      <c r="DI44" s="197">
        <f t="shared" si="131"/>
        <v>-322.71291115608142</v>
      </c>
      <c r="DJ44" s="199">
        <f t="shared" si="132"/>
        <v>-183.65707035386228</v>
      </c>
      <c r="DK44" s="196">
        <f t="shared" si="151"/>
        <v>0</v>
      </c>
      <c r="DL44" s="197">
        <f t="shared" si="133"/>
        <v>1098.3039799445205</v>
      </c>
      <c r="DM44" s="197">
        <f t="shared" si="134"/>
        <v>4718.1663092399713</v>
      </c>
      <c r="DN44" s="197">
        <f t="shared" si="135"/>
        <v>-4718.1663092399713</v>
      </c>
      <c r="DO44" s="199">
        <f t="shared" si="136"/>
        <v>-3619.8623292954512</v>
      </c>
    </row>
    <row r="45" spans="2:119" x14ac:dyDescent="0.3">
      <c r="B45" s="204">
        <f t="shared" si="137"/>
        <v>8</v>
      </c>
      <c r="C45" s="225">
        <f>'Energy NPV'!$D98*$E$34</f>
        <v>16.3</v>
      </c>
      <c r="D45" s="197">
        <f>'Energy margins'!$Z$12</f>
        <v>72</v>
      </c>
      <c r="E45" s="197">
        <f t="shared" si="138"/>
        <v>1173.6000000000001</v>
      </c>
      <c r="F45" s="197">
        <f>'Margins summary'!$W$14</f>
        <v>175.95</v>
      </c>
      <c r="G45" s="197">
        <f t="shared" si="88"/>
        <v>1349.5500000000002</v>
      </c>
      <c r="H45" s="197"/>
      <c r="I45" s="918">
        <f>'Energy NPV'!U98</f>
        <v>408.3347839999999</v>
      </c>
      <c r="J45" s="197"/>
      <c r="K45" s="197">
        <f t="shared" si="89"/>
        <v>408.3347839999999</v>
      </c>
      <c r="L45" s="197">
        <f t="shared" si="78"/>
        <v>765.26521600000024</v>
      </c>
      <c r="M45" s="197">
        <f t="shared" si="79"/>
        <v>941.21521600000028</v>
      </c>
      <c r="N45" s="196">
        <f t="shared" si="90"/>
        <v>891.83954557394156</v>
      </c>
      <c r="O45" s="197">
        <f t="shared" si="91"/>
        <v>133.70753923290303</v>
      </c>
      <c r="P45" s="197">
        <f t="shared" si="92"/>
        <v>310.30087611161679</v>
      </c>
      <c r="Q45" s="197">
        <f t="shared" si="93"/>
        <v>581.53866946232472</v>
      </c>
      <c r="R45" s="199">
        <f t="shared" si="94"/>
        <v>715.24620869522778</v>
      </c>
      <c r="S45" s="196">
        <f t="shared" si="139"/>
        <v>6460.4622027088108</v>
      </c>
      <c r="T45" s="197">
        <f t="shared" si="95"/>
        <v>1232.0115191774235</v>
      </c>
      <c r="U45" s="197">
        <f t="shared" si="95"/>
        <v>5028.4671853515883</v>
      </c>
      <c r="V45" s="197">
        <f t="shared" si="95"/>
        <v>1431.995017357222</v>
      </c>
      <c r="W45" s="199">
        <f t="shared" si="95"/>
        <v>2664.0065365346454</v>
      </c>
      <c r="X45" s="197"/>
      <c r="Z45" s="204">
        <f t="shared" si="140"/>
        <v>8</v>
      </c>
      <c r="AA45" s="197">
        <f>'Energy NPV'!$D98*$AB$34</f>
        <v>24.450000000000003</v>
      </c>
      <c r="AB45" s="197">
        <f>'Energy margins'!$Z$12</f>
        <v>72</v>
      </c>
      <c r="AC45" s="197">
        <f t="shared" si="141"/>
        <v>1760.4</v>
      </c>
      <c r="AD45" s="197">
        <f>'Margins summary'!$W$14</f>
        <v>175.95</v>
      </c>
      <c r="AE45" s="197">
        <f t="shared" si="96"/>
        <v>1936.3500000000001</v>
      </c>
      <c r="AF45" s="197"/>
      <c r="AG45" s="918">
        <f>'Energy NPV'!U98</f>
        <v>408.3347839999999</v>
      </c>
      <c r="AH45" s="197"/>
      <c r="AI45" s="197">
        <f t="shared" si="97"/>
        <v>408.3347839999999</v>
      </c>
      <c r="AJ45" s="197">
        <f t="shared" si="80"/>
        <v>1352.0652160000002</v>
      </c>
      <c r="AK45" s="197">
        <f t="shared" si="81"/>
        <v>1528.0152160000002</v>
      </c>
      <c r="AL45" s="196">
        <f t="shared" si="98"/>
        <v>1337.7593183609122</v>
      </c>
      <c r="AM45" s="197">
        <f t="shared" si="99"/>
        <v>133.70753923290303</v>
      </c>
      <c r="AN45" s="197">
        <f t="shared" si="100"/>
        <v>310.30087611161679</v>
      </c>
      <c r="AO45" s="197">
        <f t="shared" si="101"/>
        <v>1027.4584422492956</v>
      </c>
      <c r="AP45" s="199">
        <f t="shared" si="102"/>
        <v>1161.1659814821985</v>
      </c>
      <c r="AQ45" s="196">
        <f t="shared" si="142"/>
        <v>9690.6933040632139</v>
      </c>
      <c r="AR45" s="197">
        <f t="shared" si="103"/>
        <v>1232.0115191774235</v>
      </c>
      <c r="AS45" s="197">
        <f t="shared" si="103"/>
        <v>5028.4671853515883</v>
      </c>
      <c r="AT45" s="197">
        <f t="shared" si="103"/>
        <v>4662.2261187116264</v>
      </c>
      <c r="AU45" s="199">
        <f t="shared" si="103"/>
        <v>5894.2376378890503</v>
      </c>
      <c r="AV45" s="197"/>
      <c r="AX45" s="204">
        <f t="shared" si="143"/>
        <v>8</v>
      </c>
      <c r="AY45" s="197">
        <f>'Energy NPV'!$D98*$AZ$34</f>
        <v>8.15</v>
      </c>
      <c r="AZ45" s="197">
        <f>'Energy margins'!$Z$12</f>
        <v>72</v>
      </c>
      <c r="BA45" s="197">
        <f t="shared" si="144"/>
        <v>586.80000000000007</v>
      </c>
      <c r="BB45" s="197">
        <f>'Margins summary'!$W$14</f>
        <v>175.95</v>
      </c>
      <c r="BC45" s="197">
        <f t="shared" si="104"/>
        <v>762.75</v>
      </c>
      <c r="BD45" s="197"/>
      <c r="BE45" s="918">
        <f>'Energy NPV'!U98</f>
        <v>408.3347839999999</v>
      </c>
      <c r="BF45" s="197"/>
      <c r="BG45" s="197">
        <f t="shared" si="105"/>
        <v>408.3347839999999</v>
      </c>
      <c r="BH45" s="197">
        <f t="shared" si="82"/>
        <v>178.46521600000017</v>
      </c>
      <c r="BI45" s="197">
        <f t="shared" si="83"/>
        <v>354.4152160000001</v>
      </c>
      <c r="BJ45" s="196">
        <f t="shared" si="106"/>
        <v>445.91977278697078</v>
      </c>
      <c r="BK45" s="197">
        <f t="shared" si="107"/>
        <v>133.70753923290303</v>
      </c>
      <c r="BL45" s="197">
        <f t="shared" si="108"/>
        <v>310.30087611161679</v>
      </c>
      <c r="BM45" s="197">
        <f t="shared" si="109"/>
        <v>135.61889667535399</v>
      </c>
      <c r="BN45" s="199">
        <f t="shared" si="110"/>
        <v>269.326435908257</v>
      </c>
      <c r="BO45" s="196">
        <f t="shared" si="145"/>
        <v>3230.2311013544054</v>
      </c>
      <c r="BP45" s="197">
        <f t="shared" si="111"/>
        <v>1232.0115191774235</v>
      </c>
      <c r="BQ45" s="197">
        <f t="shared" si="112"/>
        <v>5028.4671853515883</v>
      </c>
      <c r="BR45" s="197">
        <f t="shared" si="113"/>
        <v>-1798.236083997183</v>
      </c>
      <c r="BS45" s="199">
        <f t="shared" si="114"/>
        <v>-566.22456481975996</v>
      </c>
      <c r="BT45" s="197"/>
      <c r="BV45" s="204">
        <f t="shared" si="146"/>
        <v>8</v>
      </c>
      <c r="BW45" s="197">
        <f>'Energy NPV'!$D98*$BX$34</f>
        <v>32.6</v>
      </c>
      <c r="BX45" s="197">
        <f>'Energy margins'!$Z$12</f>
        <v>72</v>
      </c>
      <c r="BY45" s="197">
        <f t="shared" si="147"/>
        <v>2347.2000000000003</v>
      </c>
      <c r="BZ45" s="197">
        <f>'Margins summary'!$W$14</f>
        <v>175.95</v>
      </c>
      <c r="CA45" s="197">
        <f t="shared" si="115"/>
        <v>2523.15</v>
      </c>
      <c r="CB45" s="197"/>
      <c r="CC45" s="918">
        <f>'Energy NPV'!U98</f>
        <v>408.3347839999999</v>
      </c>
      <c r="CD45" s="197"/>
      <c r="CE45" s="197">
        <f t="shared" si="116"/>
        <v>408.3347839999999</v>
      </c>
      <c r="CF45" s="197">
        <f t="shared" si="84"/>
        <v>1938.8652160000004</v>
      </c>
      <c r="CG45" s="197">
        <f t="shared" si="85"/>
        <v>2114.815216</v>
      </c>
      <c r="CH45" s="196">
        <f t="shared" si="117"/>
        <v>1783.6790911478831</v>
      </c>
      <c r="CI45" s="197">
        <f t="shared" si="118"/>
        <v>133.70753923290303</v>
      </c>
      <c r="CJ45" s="197">
        <f t="shared" si="119"/>
        <v>310.30087611161679</v>
      </c>
      <c r="CK45" s="197">
        <f t="shared" si="120"/>
        <v>1473.3782150362663</v>
      </c>
      <c r="CL45" s="199">
        <f t="shared" si="121"/>
        <v>1607.085754269169</v>
      </c>
      <c r="CM45" s="196">
        <f t="shared" si="148"/>
        <v>12920.924405417622</v>
      </c>
      <c r="CN45" s="197">
        <f t="shared" si="122"/>
        <v>1232.0115191774235</v>
      </c>
      <c r="CO45" s="197">
        <f t="shared" si="123"/>
        <v>5028.4671853515883</v>
      </c>
      <c r="CP45" s="197">
        <f t="shared" si="124"/>
        <v>7892.4572200660314</v>
      </c>
      <c r="CQ45" s="199">
        <f t="shared" si="125"/>
        <v>9124.4687392434535</v>
      </c>
      <c r="CR45" s="197"/>
      <c r="CT45" s="204">
        <f t="shared" si="149"/>
        <v>8</v>
      </c>
      <c r="CU45" s="197">
        <f>'Energy NPV'!$D98*$CV$34</f>
        <v>0</v>
      </c>
      <c r="CV45" s="197">
        <f>'Energy margins'!$Z$12</f>
        <v>72</v>
      </c>
      <c r="CW45" s="197">
        <f t="shared" si="150"/>
        <v>0</v>
      </c>
      <c r="CX45" s="197">
        <f>'Margins summary'!$W$14</f>
        <v>175.95</v>
      </c>
      <c r="CY45" s="197">
        <f t="shared" si="126"/>
        <v>175.95</v>
      </c>
      <c r="CZ45" s="197"/>
      <c r="DA45" s="918">
        <f>'Energy NPV'!U98</f>
        <v>408.3347839999999</v>
      </c>
      <c r="DB45" s="197"/>
      <c r="DC45" s="197">
        <f t="shared" si="127"/>
        <v>408.3347839999999</v>
      </c>
      <c r="DD45" s="197">
        <f t="shared" si="86"/>
        <v>-408.3347839999999</v>
      </c>
      <c r="DE45" s="197">
        <f t="shared" si="87"/>
        <v>-232.38478399999991</v>
      </c>
      <c r="DF45" s="196">
        <f t="shared" si="128"/>
        <v>0</v>
      </c>
      <c r="DG45" s="197">
        <f t="shared" si="129"/>
        <v>133.70753923290303</v>
      </c>
      <c r="DH45" s="197">
        <f t="shared" si="130"/>
        <v>310.30087611161679</v>
      </c>
      <c r="DI45" s="197">
        <f t="shared" si="131"/>
        <v>-310.30087611161679</v>
      </c>
      <c r="DJ45" s="199">
        <f t="shared" si="132"/>
        <v>-176.59333687871376</v>
      </c>
      <c r="DK45" s="196">
        <f t="shared" si="151"/>
        <v>0</v>
      </c>
      <c r="DL45" s="197">
        <f t="shared" si="133"/>
        <v>1232.0115191774235</v>
      </c>
      <c r="DM45" s="197">
        <f t="shared" si="134"/>
        <v>5028.4671853515883</v>
      </c>
      <c r="DN45" s="197">
        <f t="shared" si="135"/>
        <v>-5028.4671853515883</v>
      </c>
      <c r="DO45" s="199">
        <f t="shared" si="136"/>
        <v>-3796.4556661741649</v>
      </c>
    </row>
    <row r="46" spans="2:119" x14ac:dyDescent="0.3">
      <c r="B46" s="204">
        <f t="shared" si="137"/>
        <v>9</v>
      </c>
      <c r="C46" s="225">
        <f>'Energy NPV'!$D99*$E$34</f>
        <v>16.3</v>
      </c>
      <c r="D46" s="197">
        <f>'Energy margins'!$Z$12</f>
        <v>72</v>
      </c>
      <c r="E46" s="197">
        <f t="shared" si="138"/>
        <v>1173.6000000000001</v>
      </c>
      <c r="F46" s="197">
        <f>'Margins summary'!$W$14</f>
        <v>175.95</v>
      </c>
      <c r="G46" s="197">
        <f t="shared" si="88"/>
        <v>1349.5500000000002</v>
      </c>
      <c r="H46" s="197"/>
      <c r="I46" s="918">
        <f>'Energy NPV'!U99</f>
        <v>408.3347839999999</v>
      </c>
      <c r="J46" s="197"/>
      <c r="K46" s="197">
        <f t="shared" si="89"/>
        <v>408.3347839999999</v>
      </c>
      <c r="L46" s="197">
        <f t="shared" si="78"/>
        <v>765.26521600000024</v>
      </c>
      <c r="M46" s="197">
        <f t="shared" si="79"/>
        <v>941.21521600000028</v>
      </c>
      <c r="N46" s="196">
        <f t="shared" si="90"/>
        <v>857.53802459032829</v>
      </c>
      <c r="O46" s="197">
        <f t="shared" si="91"/>
        <v>128.56494157009902</v>
      </c>
      <c r="P46" s="197">
        <f t="shared" si="92"/>
        <v>298.36622703040069</v>
      </c>
      <c r="Q46" s="197">
        <f t="shared" si="93"/>
        <v>559.17179755992754</v>
      </c>
      <c r="R46" s="199">
        <f t="shared" si="94"/>
        <v>687.73673913002665</v>
      </c>
      <c r="S46" s="196">
        <f t="shared" si="139"/>
        <v>7318.0002272991387</v>
      </c>
      <c r="T46" s="197">
        <f t="shared" si="95"/>
        <v>1360.5764607475226</v>
      </c>
      <c r="U46" s="197">
        <f t="shared" si="95"/>
        <v>5326.8334123819886</v>
      </c>
      <c r="V46" s="197">
        <f t="shared" si="95"/>
        <v>1991.1668149171496</v>
      </c>
      <c r="W46" s="199">
        <f t="shared" si="95"/>
        <v>3351.7432756646722</v>
      </c>
      <c r="X46" s="197"/>
      <c r="Z46" s="204">
        <f t="shared" si="140"/>
        <v>9</v>
      </c>
      <c r="AA46" s="197">
        <f>'Energy NPV'!$D99*$AB$34</f>
        <v>24.450000000000003</v>
      </c>
      <c r="AB46" s="197">
        <f>'Energy margins'!$Z$12</f>
        <v>72</v>
      </c>
      <c r="AC46" s="197">
        <f t="shared" si="141"/>
        <v>1760.4</v>
      </c>
      <c r="AD46" s="197">
        <f>'Margins summary'!$W$14</f>
        <v>175.95</v>
      </c>
      <c r="AE46" s="197">
        <f t="shared" si="96"/>
        <v>1936.3500000000001</v>
      </c>
      <c r="AF46" s="197"/>
      <c r="AG46" s="918">
        <f>'Energy NPV'!U99</f>
        <v>408.3347839999999</v>
      </c>
      <c r="AH46" s="197"/>
      <c r="AI46" s="197">
        <f t="shared" si="97"/>
        <v>408.3347839999999</v>
      </c>
      <c r="AJ46" s="197">
        <f t="shared" si="80"/>
        <v>1352.0652160000002</v>
      </c>
      <c r="AK46" s="197">
        <f t="shared" si="81"/>
        <v>1528.0152160000002</v>
      </c>
      <c r="AL46" s="196">
        <f t="shared" si="98"/>
        <v>1286.3070368854924</v>
      </c>
      <c r="AM46" s="197">
        <f t="shared" si="99"/>
        <v>128.56494157009902</v>
      </c>
      <c r="AN46" s="197">
        <f t="shared" si="100"/>
        <v>298.36622703040069</v>
      </c>
      <c r="AO46" s="197">
        <f t="shared" si="101"/>
        <v>987.94080985509163</v>
      </c>
      <c r="AP46" s="199">
        <f t="shared" si="102"/>
        <v>1116.5057514251907</v>
      </c>
      <c r="AQ46" s="196">
        <f t="shared" si="142"/>
        <v>10977.000340948707</v>
      </c>
      <c r="AR46" s="197">
        <f t="shared" si="103"/>
        <v>1360.5764607475226</v>
      </c>
      <c r="AS46" s="197">
        <f t="shared" si="103"/>
        <v>5326.8334123819886</v>
      </c>
      <c r="AT46" s="197">
        <f t="shared" si="103"/>
        <v>5650.1669285667176</v>
      </c>
      <c r="AU46" s="199">
        <f t="shared" si="103"/>
        <v>7010.7433893142406</v>
      </c>
      <c r="AV46" s="197"/>
      <c r="AX46" s="204">
        <f t="shared" si="143"/>
        <v>9</v>
      </c>
      <c r="AY46" s="197">
        <f>'Energy NPV'!$D99*$AZ$34</f>
        <v>8.15</v>
      </c>
      <c r="AZ46" s="197">
        <f>'Energy margins'!$Z$12</f>
        <v>72</v>
      </c>
      <c r="BA46" s="197">
        <f t="shared" si="144"/>
        <v>586.80000000000007</v>
      </c>
      <c r="BB46" s="197">
        <f>'Margins summary'!$W$14</f>
        <v>175.95</v>
      </c>
      <c r="BC46" s="197">
        <f t="shared" si="104"/>
        <v>762.75</v>
      </c>
      <c r="BD46" s="197"/>
      <c r="BE46" s="918">
        <f>'Energy NPV'!U99</f>
        <v>408.3347839999999</v>
      </c>
      <c r="BF46" s="197"/>
      <c r="BG46" s="197">
        <f t="shared" si="105"/>
        <v>408.3347839999999</v>
      </c>
      <c r="BH46" s="197">
        <f t="shared" si="82"/>
        <v>178.46521600000017</v>
      </c>
      <c r="BI46" s="197">
        <f t="shared" si="83"/>
        <v>354.4152160000001</v>
      </c>
      <c r="BJ46" s="196">
        <f t="shared" si="106"/>
        <v>428.76901229516415</v>
      </c>
      <c r="BK46" s="197">
        <f t="shared" si="107"/>
        <v>128.56494157009902</v>
      </c>
      <c r="BL46" s="197">
        <f t="shared" si="108"/>
        <v>298.36622703040069</v>
      </c>
      <c r="BM46" s="197">
        <f t="shared" si="109"/>
        <v>130.40278526476345</v>
      </c>
      <c r="BN46" s="199">
        <f t="shared" si="110"/>
        <v>258.96772683486245</v>
      </c>
      <c r="BO46" s="196">
        <f t="shared" si="145"/>
        <v>3659.0001136495694</v>
      </c>
      <c r="BP46" s="197">
        <f t="shared" si="111"/>
        <v>1360.5764607475226</v>
      </c>
      <c r="BQ46" s="197">
        <f t="shared" si="112"/>
        <v>5326.8334123819886</v>
      </c>
      <c r="BR46" s="197">
        <f t="shared" si="113"/>
        <v>-1667.8332987324195</v>
      </c>
      <c r="BS46" s="199">
        <f t="shared" si="114"/>
        <v>-307.25683798489752</v>
      </c>
      <c r="BT46" s="197"/>
      <c r="BV46" s="204">
        <f t="shared" si="146"/>
        <v>9</v>
      </c>
      <c r="BW46" s="197">
        <f>'Energy NPV'!$D99*$BX$34</f>
        <v>32.6</v>
      </c>
      <c r="BX46" s="197">
        <f>'Energy margins'!$Z$12</f>
        <v>72</v>
      </c>
      <c r="BY46" s="197">
        <f t="shared" si="147"/>
        <v>2347.2000000000003</v>
      </c>
      <c r="BZ46" s="197">
        <f>'Margins summary'!$W$14</f>
        <v>175.95</v>
      </c>
      <c r="CA46" s="197">
        <f t="shared" si="115"/>
        <v>2523.15</v>
      </c>
      <c r="CB46" s="197"/>
      <c r="CC46" s="918">
        <f>'Energy NPV'!U99</f>
        <v>408.3347839999999</v>
      </c>
      <c r="CD46" s="197"/>
      <c r="CE46" s="197">
        <f t="shared" si="116"/>
        <v>408.3347839999999</v>
      </c>
      <c r="CF46" s="197">
        <f t="shared" si="84"/>
        <v>1938.8652160000004</v>
      </c>
      <c r="CG46" s="197">
        <f t="shared" si="85"/>
        <v>2114.815216</v>
      </c>
      <c r="CH46" s="196">
        <f t="shared" si="117"/>
        <v>1715.0760491806566</v>
      </c>
      <c r="CI46" s="197">
        <f t="shared" si="118"/>
        <v>128.56494157009902</v>
      </c>
      <c r="CJ46" s="197">
        <f t="shared" si="119"/>
        <v>298.36622703040069</v>
      </c>
      <c r="CK46" s="197">
        <f t="shared" si="120"/>
        <v>1416.7098221502558</v>
      </c>
      <c r="CL46" s="199">
        <f t="shared" si="121"/>
        <v>1545.2747637203545</v>
      </c>
      <c r="CM46" s="196">
        <f t="shared" si="148"/>
        <v>14636.000454598277</v>
      </c>
      <c r="CN46" s="197">
        <f t="shared" si="122"/>
        <v>1360.5764607475226</v>
      </c>
      <c r="CO46" s="197">
        <f t="shared" si="123"/>
        <v>5326.8334123819886</v>
      </c>
      <c r="CP46" s="197">
        <f t="shared" si="124"/>
        <v>9309.1670422162879</v>
      </c>
      <c r="CQ46" s="199">
        <f t="shared" si="125"/>
        <v>10669.743502963807</v>
      </c>
      <c r="CR46" s="197"/>
      <c r="CT46" s="204">
        <f t="shared" si="149"/>
        <v>9</v>
      </c>
      <c r="CU46" s="197">
        <f>'Energy NPV'!$D99*$CV$34</f>
        <v>0</v>
      </c>
      <c r="CV46" s="197">
        <f>'Energy margins'!$Z$12</f>
        <v>72</v>
      </c>
      <c r="CW46" s="197">
        <f t="shared" si="150"/>
        <v>0</v>
      </c>
      <c r="CX46" s="197">
        <f>'Margins summary'!$W$14</f>
        <v>175.95</v>
      </c>
      <c r="CY46" s="197">
        <f t="shared" si="126"/>
        <v>175.95</v>
      </c>
      <c r="CZ46" s="197"/>
      <c r="DA46" s="918">
        <f>'Energy NPV'!U99</f>
        <v>408.3347839999999</v>
      </c>
      <c r="DB46" s="197"/>
      <c r="DC46" s="197">
        <f t="shared" si="127"/>
        <v>408.3347839999999</v>
      </c>
      <c r="DD46" s="197">
        <f t="shared" si="86"/>
        <v>-408.3347839999999</v>
      </c>
      <c r="DE46" s="197">
        <f t="shared" si="87"/>
        <v>-232.38478399999991</v>
      </c>
      <c r="DF46" s="196">
        <f t="shared" si="128"/>
        <v>0</v>
      </c>
      <c r="DG46" s="197">
        <f t="shared" si="129"/>
        <v>128.56494157009902</v>
      </c>
      <c r="DH46" s="197">
        <f t="shared" si="130"/>
        <v>298.36622703040069</v>
      </c>
      <c r="DI46" s="197">
        <f t="shared" si="131"/>
        <v>-298.36622703040069</v>
      </c>
      <c r="DJ46" s="199">
        <f t="shared" si="132"/>
        <v>-169.80128546030164</v>
      </c>
      <c r="DK46" s="196">
        <f t="shared" si="151"/>
        <v>0</v>
      </c>
      <c r="DL46" s="197">
        <f t="shared" si="133"/>
        <v>1360.5764607475226</v>
      </c>
      <c r="DM46" s="197">
        <f t="shared" si="134"/>
        <v>5326.8334123819886</v>
      </c>
      <c r="DN46" s="197">
        <f t="shared" si="135"/>
        <v>-5326.8334123819886</v>
      </c>
      <c r="DO46" s="199">
        <f t="shared" si="136"/>
        <v>-3966.2569516344665</v>
      </c>
    </row>
    <row r="47" spans="2:119" x14ac:dyDescent="0.3">
      <c r="B47" s="204">
        <f t="shared" si="137"/>
        <v>10</v>
      </c>
      <c r="C47" s="225">
        <f>'Energy NPV'!$D100*$E$34</f>
        <v>16.3</v>
      </c>
      <c r="D47" s="197">
        <f>'Energy margins'!$Z$12</f>
        <v>72</v>
      </c>
      <c r="E47" s="197">
        <f t="shared" si="138"/>
        <v>1173.6000000000001</v>
      </c>
      <c r="F47" s="197">
        <f>'Margins summary'!$W$14</f>
        <v>175.95</v>
      </c>
      <c r="G47" s="197">
        <f t="shared" si="88"/>
        <v>1349.5500000000002</v>
      </c>
      <c r="H47" s="197"/>
      <c r="I47" s="918">
        <f>'Energy NPV'!U100</f>
        <v>408.3347839999999</v>
      </c>
      <c r="J47" s="197"/>
      <c r="K47" s="197">
        <f t="shared" si="89"/>
        <v>408.3347839999999</v>
      </c>
      <c r="L47" s="197">
        <f t="shared" si="78"/>
        <v>765.26521600000024</v>
      </c>
      <c r="M47" s="197">
        <f t="shared" si="79"/>
        <v>941.21521600000028</v>
      </c>
      <c r="N47" s="196">
        <f t="shared" si="90"/>
        <v>824.55579287531555</v>
      </c>
      <c r="O47" s="197">
        <f t="shared" si="91"/>
        <v>123.62013612509521</v>
      </c>
      <c r="P47" s="197">
        <f t="shared" si="92"/>
        <v>286.89060291384681</v>
      </c>
      <c r="Q47" s="197">
        <f t="shared" si="93"/>
        <v>537.66518996146874</v>
      </c>
      <c r="R47" s="199">
        <f t="shared" si="94"/>
        <v>661.28532608656406</v>
      </c>
      <c r="S47" s="196">
        <f t="shared" si="139"/>
        <v>8142.5560201744538</v>
      </c>
      <c r="T47" s="197">
        <f t="shared" si="95"/>
        <v>1484.1965968726179</v>
      </c>
      <c r="U47" s="197">
        <f t="shared" si="95"/>
        <v>5613.7240152958357</v>
      </c>
      <c r="V47" s="197">
        <f t="shared" si="95"/>
        <v>2528.8320048786181</v>
      </c>
      <c r="W47" s="199">
        <f t="shared" si="95"/>
        <v>4013.0286017512362</v>
      </c>
      <c r="X47" s="197"/>
      <c r="Z47" s="204">
        <f t="shared" si="140"/>
        <v>10</v>
      </c>
      <c r="AA47" s="197">
        <f>'Energy NPV'!$D100*$AB$34</f>
        <v>24.450000000000003</v>
      </c>
      <c r="AB47" s="197">
        <f>'Energy margins'!$Z$12</f>
        <v>72</v>
      </c>
      <c r="AC47" s="197">
        <f t="shared" si="141"/>
        <v>1760.4</v>
      </c>
      <c r="AD47" s="197">
        <f>'Margins summary'!$W$14</f>
        <v>175.95</v>
      </c>
      <c r="AE47" s="197">
        <f t="shared" si="96"/>
        <v>1936.3500000000001</v>
      </c>
      <c r="AF47" s="197"/>
      <c r="AG47" s="918">
        <f>'Energy NPV'!U100</f>
        <v>408.3347839999999</v>
      </c>
      <c r="AH47" s="197"/>
      <c r="AI47" s="197">
        <f t="shared" si="97"/>
        <v>408.3347839999999</v>
      </c>
      <c r="AJ47" s="197">
        <f t="shared" si="80"/>
        <v>1352.0652160000002</v>
      </c>
      <c r="AK47" s="197">
        <f t="shared" si="81"/>
        <v>1528.0152160000002</v>
      </c>
      <c r="AL47" s="196">
        <f t="shared" si="98"/>
        <v>1236.8336893129733</v>
      </c>
      <c r="AM47" s="197">
        <f t="shared" si="99"/>
        <v>123.62013612509521</v>
      </c>
      <c r="AN47" s="197">
        <f t="shared" si="100"/>
        <v>286.89060291384681</v>
      </c>
      <c r="AO47" s="197">
        <f t="shared" si="101"/>
        <v>949.94308639912651</v>
      </c>
      <c r="AP47" s="199">
        <f t="shared" si="102"/>
        <v>1073.5632225242218</v>
      </c>
      <c r="AQ47" s="196">
        <f t="shared" si="142"/>
        <v>12213.83403026168</v>
      </c>
      <c r="AR47" s="197">
        <f t="shared" si="103"/>
        <v>1484.1965968726179</v>
      </c>
      <c r="AS47" s="197">
        <f t="shared" si="103"/>
        <v>5613.7240152958357</v>
      </c>
      <c r="AT47" s="197">
        <f t="shared" si="103"/>
        <v>6600.1100149658441</v>
      </c>
      <c r="AU47" s="199">
        <f t="shared" si="103"/>
        <v>8084.3066118384622</v>
      </c>
      <c r="AV47" s="197"/>
      <c r="AX47" s="204">
        <f t="shared" si="143"/>
        <v>10</v>
      </c>
      <c r="AY47" s="197">
        <f>'Energy NPV'!$D100*$AZ$34</f>
        <v>8.15</v>
      </c>
      <c r="AZ47" s="197">
        <f>'Energy margins'!$Z$12</f>
        <v>72</v>
      </c>
      <c r="BA47" s="197">
        <f t="shared" si="144"/>
        <v>586.80000000000007</v>
      </c>
      <c r="BB47" s="197">
        <f>'Margins summary'!$W$14</f>
        <v>175.95</v>
      </c>
      <c r="BC47" s="197">
        <f t="shared" si="104"/>
        <v>762.75</v>
      </c>
      <c r="BD47" s="197"/>
      <c r="BE47" s="918">
        <f>'Energy NPV'!U100</f>
        <v>408.3347839999999</v>
      </c>
      <c r="BF47" s="197"/>
      <c r="BG47" s="197">
        <f t="shared" si="105"/>
        <v>408.3347839999999</v>
      </c>
      <c r="BH47" s="197">
        <f t="shared" si="82"/>
        <v>178.46521600000017</v>
      </c>
      <c r="BI47" s="197">
        <f t="shared" si="83"/>
        <v>354.4152160000001</v>
      </c>
      <c r="BJ47" s="196">
        <f t="shared" si="106"/>
        <v>412.27789643765777</v>
      </c>
      <c r="BK47" s="197">
        <f t="shared" si="107"/>
        <v>123.62013612509521</v>
      </c>
      <c r="BL47" s="197">
        <f t="shared" si="108"/>
        <v>286.89060291384681</v>
      </c>
      <c r="BM47" s="197">
        <f t="shared" si="109"/>
        <v>125.38729352381098</v>
      </c>
      <c r="BN47" s="199">
        <f t="shared" si="110"/>
        <v>249.00742964890617</v>
      </c>
      <c r="BO47" s="196">
        <f t="shared" si="145"/>
        <v>4071.2780100872269</v>
      </c>
      <c r="BP47" s="197">
        <f t="shared" si="111"/>
        <v>1484.1965968726179</v>
      </c>
      <c r="BQ47" s="197">
        <f t="shared" si="112"/>
        <v>5613.7240152958357</v>
      </c>
      <c r="BR47" s="197">
        <f t="shared" si="113"/>
        <v>-1542.4460052086085</v>
      </c>
      <c r="BS47" s="199">
        <f t="shared" si="114"/>
        <v>-58.249408335991347</v>
      </c>
      <c r="BT47" s="197"/>
      <c r="BV47" s="204">
        <f t="shared" si="146"/>
        <v>10</v>
      </c>
      <c r="BW47" s="197">
        <f>'Energy NPV'!$D100*$BX$34</f>
        <v>32.6</v>
      </c>
      <c r="BX47" s="197">
        <f>'Energy margins'!$Z$12</f>
        <v>72</v>
      </c>
      <c r="BY47" s="197">
        <f t="shared" si="147"/>
        <v>2347.2000000000003</v>
      </c>
      <c r="BZ47" s="197">
        <f>'Margins summary'!$W$14</f>
        <v>175.95</v>
      </c>
      <c r="CA47" s="197">
        <f t="shared" si="115"/>
        <v>2523.15</v>
      </c>
      <c r="CB47" s="197"/>
      <c r="CC47" s="918">
        <f>'Energy NPV'!U100</f>
        <v>408.3347839999999</v>
      </c>
      <c r="CD47" s="197"/>
      <c r="CE47" s="197">
        <f t="shared" si="116"/>
        <v>408.3347839999999</v>
      </c>
      <c r="CF47" s="197">
        <f t="shared" si="84"/>
        <v>1938.8652160000004</v>
      </c>
      <c r="CG47" s="197">
        <f t="shared" si="85"/>
        <v>2114.815216</v>
      </c>
      <c r="CH47" s="196">
        <f t="shared" si="117"/>
        <v>1649.1115857506311</v>
      </c>
      <c r="CI47" s="197">
        <f t="shared" si="118"/>
        <v>123.62013612509521</v>
      </c>
      <c r="CJ47" s="197">
        <f t="shared" si="119"/>
        <v>286.89060291384681</v>
      </c>
      <c r="CK47" s="197">
        <f t="shared" si="120"/>
        <v>1362.2209828367843</v>
      </c>
      <c r="CL47" s="199">
        <f t="shared" si="121"/>
        <v>1485.8411189618794</v>
      </c>
      <c r="CM47" s="196">
        <f t="shared" si="148"/>
        <v>16285.112040348908</v>
      </c>
      <c r="CN47" s="197">
        <f t="shared" si="122"/>
        <v>1484.1965968726179</v>
      </c>
      <c r="CO47" s="197">
        <f t="shared" si="123"/>
        <v>5613.7240152958357</v>
      </c>
      <c r="CP47" s="197">
        <f t="shared" si="124"/>
        <v>10671.388025053073</v>
      </c>
      <c r="CQ47" s="199">
        <f t="shared" si="125"/>
        <v>12155.584621925687</v>
      </c>
      <c r="CR47" s="197"/>
      <c r="CT47" s="204">
        <f t="shared" si="149"/>
        <v>10</v>
      </c>
      <c r="CU47" s="197">
        <f>'Energy NPV'!$D100*$CV$34</f>
        <v>0</v>
      </c>
      <c r="CV47" s="197">
        <f>'Energy margins'!$Z$12</f>
        <v>72</v>
      </c>
      <c r="CW47" s="197">
        <f t="shared" si="150"/>
        <v>0</v>
      </c>
      <c r="CX47" s="197">
        <f>'Margins summary'!$W$14</f>
        <v>175.95</v>
      </c>
      <c r="CY47" s="197">
        <f t="shared" si="126"/>
        <v>175.95</v>
      </c>
      <c r="CZ47" s="197"/>
      <c r="DA47" s="918">
        <f>'Energy NPV'!U100</f>
        <v>408.3347839999999</v>
      </c>
      <c r="DB47" s="197"/>
      <c r="DC47" s="197">
        <f t="shared" si="127"/>
        <v>408.3347839999999</v>
      </c>
      <c r="DD47" s="197">
        <f t="shared" si="86"/>
        <v>-408.3347839999999</v>
      </c>
      <c r="DE47" s="197">
        <f t="shared" si="87"/>
        <v>-232.38478399999991</v>
      </c>
      <c r="DF47" s="196">
        <f t="shared" si="128"/>
        <v>0</v>
      </c>
      <c r="DG47" s="197">
        <f t="shared" si="129"/>
        <v>123.62013612509521</v>
      </c>
      <c r="DH47" s="197">
        <f t="shared" si="130"/>
        <v>286.89060291384681</v>
      </c>
      <c r="DI47" s="197">
        <f t="shared" si="131"/>
        <v>-286.89060291384681</v>
      </c>
      <c r="DJ47" s="199">
        <f t="shared" si="132"/>
        <v>-163.27046678875158</v>
      </c>
      <c r="DK47" s="196">
        <f t="shared" si="151"/>
        <v>0</v>
      </c>
      <c r="DL47" s="197">
        <f t="shared" si="133"/>
        <v>1484.1965968726179</v>
      </c>
      <c r="DM47" s="197">
        <f t="shared" si="134"/>
        <v>5613.7240152958357</v>
      </c>
      <c r="DN47" s="197">
        <f t="shared" si="135"/>
        <v>-5613.7240152958357</v>
      </c>
      <c r="DO47" s="199">
        <f t="shared" si="136"/>
        <v>-4129.5274184232185</v>
      </c>
    </row>
    <row r="48" spans="2:119" x14ac:dyDescent="0.3">
      <c r="B48" s="204">
        <f t="shared" si="137"/>
        <v>11</v>
      </c>
      <c r="C48" s="225">
        <f>'Energy NPV'!$D101*$E$34</f>
        <v>16.3</v>
      </c>
      <c r="D48" s="197">
        <f>'Energy margins'!$Z$12</f>
        <v>72</v>
      </c>
      <c r="E48" s="197">
        <f t="shared" si="138"/>
        <v>1173.6000000000001</v>
      </c>
      <c r="F48" s="197">
        <f>'Margins summary'!$W$14</f>
        <v>175.95</v>
      </c>
      <c r="G48" s="197">
        <f t="shared" si="88"/>
        <v>1349.5500000000002</v>
      </c>
      <c r="H48" s="197"/>
      <c r="I48" s="918">
        <f>'Energy NPV'!U101</f>
        <v>408.3347839999999</v>
      </c>
      <c r="J48" s="197"/>
      <c r="K48" s="197">
        <f t="shared" si="89"/>
        <v>408.3347839999999</v>
      </c>
      <c r="L48" s="197">
        <f t="shared" si="78"/>
        <v>765.26521600000024</v>
      </c>
      <c r="M48" s="197">
        <f t="shared" si="79"/>
        <v>941.21521600000028</v>
      </c>
      <c r="N48" s="196">
        <f t="shared" si="90"/>
        <v>792.84210853395723</v>
      </c>
      <c r="O48" s="197">
        <f t="shared" si="91"/>
        <v>118.86551550489925</v>
      </c>
      <c r="P48" s="197">
        <f t="shared" si="92"/>
        <v>275.85634895562191</v>
      </c>
      <c r="Q48" s="197">
        <f t="shared" si="93"/>
        <v>516.98575957833532</v>
      </c>
      <c r="R48" s="199">
        <f t="shared" si="94"/>
        <v>635.85127508323467</v>
      </c>
      <c r="S48" s="196">
        <f t="shared" si="139"/>
        <v>8935.3981287084116</v>
      </c>
      <c r="T48" s="197">
        <f t="shared" si="95"/>
        <v>1603.0621123775172</v>
      </c>
      <c r="U48" s="197">
        <f t="shared" si="95"/>
        <v>5889.5803642514575</v>
      </c>
      <c r="V48" s="197">
        <f t="shared" si="95"/>
        <v>3045.8177644569532</v>
      </c>
      <c r="W48" s="199">
        <f t="shared" si="95"/>
        <v>4648.8798768344714</v>
      </c>
      <c r="X48" s="197"/>
      <c r="Z48" s="204">
        <f t="shared" si="140"/>
        <v>11</v>
      </c>
      <c r="AA48" s="197">
        <f>'Energy NPV'!$D101*$AB$34</f>
        <v>24.450000000000003</v>
      </c>
      <c r="AB48" s="197">
        <f>'Energy margins'!$Z$12</f>
        <v>72</v>
      </c>
      <c r="AC48" s="197">
        <f t="shared" si="141"/>
        <v>1760.4</v>
      </c>
      <c r="AD48" s="197">
        <f>'Margins summary'!$W$14</f>
        <v>175.95</v>
      </c>
      <c r="AE48" s="197">
        <f t="shared" si="96"/>
        <v>1936.3500000000001</v>
      </c>
      <c r="AF48" s="197"/>
      <c r="AG48" s="918">
        <f>'Energy NPV'!U101</f>
        <v>408.3347839999999</v>
      </c>
      <c r="AH48" s="197"/>
      <c r="AI48" s="197">
        <f t="shared" si="97"/>
        <v>408.3347839999999</v>
      </c>
      <c r="AJ48" s="197">
        <f t="shared" si="80"/>
        <v>1352.0652160000002</v>
      </c>
      <c r="AK48" s="197">
        <f t="shared" si="81"/>
        <v>1528.0152160000002</v>
      </c>
      <c r="AL48" s="196">
        <f t="shared" si="98"/>
        <v>1189.2631628009358</v>
      </c>
      <c r="AM48" s="197">
        <f t="shared" si="99"/>
        <v>118.86551550489925</v>
      </c>
      <c r="AN48" s="197">
        <f t="shared" si="100"/>
        <v>275.85634895562191</v>
      </c>
      <c r="AO48" s="197">
        <f t="shared" si="101"/>
        <v>913.40681384531388</v>
      </c>
      <c r="AP48" s="199">
        <f t="shared" si="102"/>
        <v>1032.2723293502131</v>
      </c>
      <c r="AQ48" s="196">
        <f t="shared" si="142"/>
        <v>13403.097193062615</v>
      </c>
      <c r="AR48" s="197">
        <f t="shared" si="103"/>
        <v>1603.0621123775172</v>
      </c>
      <c r="AS48" s="197">
        <f t="shared" si="103"/>
        <v>5889.5803642514575</v>
      </c>
      <c r="AT48" s="197">
        <f t="shared" si="103"/>
        <v>7513.5168288111581</v>
      </c>
      <c r="AU48" s="199">
        <f t="shared" si="103"/>
        <v>9116.5789411886763</v>
      </c>
      <c r="AV48" s="197"/>
      <c r="AX48" s="204">
        <f t="shared" si="143"/>
        <v>11</v>
      </c>
      <c r="AY48" s="197">
        <f>'Energy NPV'!$D101*$AZ$34</f>
        <v>8.15</v>
      </c>
      <c r="AZ48" s="197">
        <f>'Energy margins'!$Z$12</f>
        <v>72</v>
      </c>
      <c r="BA48" s="197">
        <f t="shared" si="144"/>
        <v>586.80000000000007</v>
      </c>
      <c r="BB48" s="197">
        <f>'Margins summary'!$W$14</f>
        <v>175.95</v>
      </c>
      <c r="BC48" s="197">
        <f t="shared" si="104"/>
        <v>762.75</v>
      </c>
      <c r="BD48" s="197"/>
      <c r="BE48" s="918">
        <f>'Energy NPV'!U101</f>
        <v>408.3347839999999</v>
      </c>
      <c r="BF48" s="197"/>
      <c r="BG48" s="197">
        <f t="shared" si="105"/>
        <v>408.3347839999999</v>
      </c>
      <c r="BH48" s="197">
        <f t="shared" si="82"/>
        <v>178.46521600000017</v>
      </c>
      <c r="BI48" s="197">
        <f t="shared" si="83"/>
        <v>354.4152160000001</v>
      </c>
      <c r="BJ48" s="196">
        <f t="shared" si="106"/>
        <v>396.42105426697862</v>
      </c>
      <c r="BK48" s="197">
        <f t="shared" si="107"/>
        <v>118.86551550489925</v>
      </c>
      <c r="BL48" s="197">
        <f t="shared" si="108"/>
        <v>275.85634895562191</v>
      </c>
      <c r="BM48" s="197">
        <f t="shared" si="109"/>
        <v>120.56470531135672</v>
      </c>
      <c r="BN48" s="199">
        <f t="shared" si="110"/>
        <v>239.43022081625594</v>
      </c>
      <c r="BO48" s="196">
        <f t="shared" si="145"/>
        <v>4467.6990643542058</v>
      </c>
      <c r="BP48" s="197">
        <f t="shared" si="111"/>
        <v>1603.0621123775172</v>
      </c>
      <c r="BQ48" s="197">
        <f t="shared" si="112"/>
        <v>5889.5803642514575</v>
      </c>
      <c r="BR48" s="197">
        <f t="shared" si="113"/>
        <v>-1421.8812998972519</v>
      </c>
      <c r="BS48" s="199">
        <f t="shared" si="114"/>
        <v>181.18081248026459</v>
      </c>
      <c r="BT48" s="197"/>
      <c r="BV48" s="204">
        <f t="shared" si="146"/>
        <v>11</v>
      </c>
      <c r="BW48" s="197">
        <f>'Energy NPV'!$D101*$BX$34</f>
        <v>32.6</v>
      </c>
      <c r="BX48" s="197">
        <f>'Energy margins'!$Z$12</f>
        <v>72</v>
      </c>
      <c r="BY48" s="197">
        <f t="shared" si="147"/>
        <v>2347.2000000000003</v>
      </c>
      <c r="BZ48" s="197">
        <f>'Margins summary'!$W$14</f>
        <v>175.95</v>
      </c>
      <c r="CA48" s="197">
        <f t="shared" si="115"/>
        <v>2523.15</v>
      </c>
      <c r="CB48" s="197"/>
      <c r="CC48" s="918">
        <f>'Energy NPV'!U101</f>
        <v>408.3347839999999</v>
      </c>
      <c r="CD48" s="197"/>
      <c r="CE48" s="197">
        <f t="shared" si="116"/>
        <v>408.3347839999999</v>
      </c>
      <c r="CF48" s="197">
        <f t="shared" si="84"/>
        <v>1938.8652160000004</v>
      </c>
      <c r="CG48" s="197">
        <f t="shared" si="85"/>
        <v>2114.815216</v>
      </c>
      <c r="CH48" s="196">
        <f t="shared" si="117"/>
        <v>1585.6842170679145</v>
      </c>
      <c r="CI48" s="197">
        <f t="shared" si="118"/>
        <v>118.86551550489925</v>
      </c>
      <c r="CJ48" s="197">
        <f t="shared" si="119"/>
        <v>275.85634895562191</v>
      </c>
      <c r="CK48" s="197">
        <f t="shared" si="120"/>
        <v>1309.8278681122927</v>
      </c>
      <c r="CL48" s="199">
        <f t="shared" si="121"/>
        <v>1428.6933836171916</v>
      </c>
      <c r="CM48" s="196">
        <f t="shared" si="148"/>
        <v>17870.796257416823</v>
      </c>
      <c r="CN48" s="197">
        <f t="shared" si="122"/>
        <v>1603.0621123775172</v>
      </c>
      <c r="CO48" s="197">
        <f t="shared" si="123"/>
        <v>5889.5803642514575</v>
      </c>
      <c r="CP48" s="197">
        <f t="shared" si="124"/>
        <v>11981.215893165365</v>
      </c>
      <c r="CQ48" s="199">
        <f t="shared" si="125"/>
        <v>13584.278005542879</v>
      </c>
      <c r="CR48" s="197"/>
      <c r="CT48" s="204">
        <f t="shared" si="149"/>
        <v>11</v>
      </c>
      <c r="CU48" s="197">
        <f>'Energy NPV'!$D101*$CV$34</f>
        <v>0</v>
      </c>
      <c r="CV48" s="197">
        <f>'Energy margins'!$Z$12</f>
        <v>72</v>
      </c>
      <c r="CW48" s="197">
        <f t="shared" si="150"/>
        <v>0</v>
      </c>
      <c r="CX48" s="197">
        <f>'Margins summary'!$W$14</f>
        <v>175.95</v>
      </c>
      <c r="CY48" s="197">
        <f t="shared" si="126"/>
        <v>175.95</v>
      </c>
      <c r="CZ48" s="197"/>
      <c r="DA48" s="918">
        <f>'Energy NPV'!U101</f>
        <v>408.3347839999999</v>
      </c>
      <c r="DB48" s="197"/>
      <c r="DC48" s="197">
        <f t="shared" si="127"/>
        <v>408.3347839999999</v>
      </c>
      <c r="DD48" s="197">
        <f t="shared" si="86"/>
        <v>-408.3347839999999</v>
      </c>
      <c r="DE48" s="197">
        <f t="shared" si="87"/>
        <v>-232.38478399999991</v>
      </c>
      <c r="DF48" s="196">
        <f t="shared" si="128"/>
        <v>0</v>
      </c>
      <c r="DG48" s="197">
        <f t="shared" si="129"/>
        <v>118.86551550489925</v>
      </c>
      <c r="DH48" s="197">
        <f t="shared" si="130"/>
        <v>275.85634895562191</v>
      </c>
      <c r="DI48" s="197">
        <f t="shared" si="131"/>
        <v>-275.85634895562191</v>
      </c>
      <c r="DJ48" s="199">
        <f t="shared" si="132"/>
        <v>-156.99083345072268</v>
      </c>
      <c r="DK48" s="196">
        <f t="shared" si="151"/>
        <v>0</v>
      </c>
      <c r="DL48" s="197">
        <f t="shared" si="133"/>
        <v>1603.0621123775172</v>
      </c>
      <c r="DM48" s="197">
        <f t="shared" si="134"/>
        <v>5889.5803642514575</v>
      </c>
      <c r="DN48" s="197">
        <f t="shared" si="135"/>
        <v>-5889.5803642514575</v>
      </c>
      <c r="DO48" s="199">
        <f t="shared" si="136"/>
        <v>-4286.5182518739412</v>
      </c>
    </row>
    <row r="49" spans="2:129" x14ac:dyDescent="0.3">
      <c r="B49" s="204">
        <f t="shared" si="137"/>
        <v>12</v>
      </c>
      <c r="C49" s="225">
        <f>'Energy NPV'!$D102*$E$34</f>
        <v>16.3</v>
      </c>
      <c r="D49" s="197">
        <f>'Energy margins'!$Z$12</f>
        <v>72</v>
      </c>
      <c r="E49" s="197">
        <f t="shared" si="138"/>
        <v>1173.6000000000001</v>
      </c>
      <c r="F49" s="197">
        <f>'Margins summary'!$W$14</f>
        <v>175.95</v>
      </c>
      <c r="G49" s="197">
        <f t="shared" si="88"/>
        <v>1349.5500000000002</v>
      </c>
      <c r="H49" s="197"/>
      <c r="I49" s="918">
        <f>'Energy NPV'!U102</f>
        <v>408.3347839999999</v>
      </c>
      <c r="J49" s="197"/>
      <c r="K49" s="197">
        <f t="shared" si="89"/>
        <v>408.3347839999999</v>
      </c>
      <c r="L49" s="197">
        <f t="shared" si="78"/>
        <v>765.26521600000024</v>
      </c>
      <c r="M49" s="197">
        <f t="shared" si="79"/>
        <v>941.21521600000028</v>
      </c>
      <c r="N49" s="196">
        <f t="shared" si="90"/>
        <v>762.34818128265124</v>
      </c>
      <c r="O49" s="197">
        <f t="shared" si="91"/>
        <v>114.29376490855698</v>
      </c>
      <c r="P49" s="197">
        <f t="shared" si="92"/>
        <v>265.24648938040571</v>
      </c>
      <c r="Q49" s="197">
        <f t="shared" si="93"/>
        <v>497.10169190224559</v>
      </c>
      <c r="R49" s="199">
        <f t="shared" si="94"/>
        <v>611.39545681080256</v>
      </c>
      <c r="S49" s="196">
        <f t="shared" si="139"/>
        <v>9697.7463099910638</v>
      </c>
      <c r="T49" s="197">
        <f t="shared" si="95"/>
        <v>1717.3558772860742</v>
      </c>
      <c r="U49" s="197">
        <f t="shared" si="95"/>
        <v>6154.8268536318628</v>
      </c>
      <c r="V49" s="197">
        <f t="shared" si="95"/>
        <v>3542.9194563591986</v>
      </c>
      <c r="W49" s="199">
        <f t="shared" si="95"/>
        <v>5260.2753336452743</v>
      </c>
      <c r="X49" s="197"/>
      <c r="Z49" s="204">
        <f t="shared" si="140"/>
        <v>12</v>
      </c>
      <c r="AA49" s="197">
        <f>'Energy NPV'!$D102*$AB$34</f>
        <v>24.450000000000003</v>
      </c>
      <c r="AB49" s="197">
        <f>'Energy margins'!$Z$12</f>
        <v>72</v>
      </c>
      <c r="AC49" s="197">
        <f t="shared" si="141"/>
        <v>1760.4</v>
      </c>
      <c r="AD49" s="197">
        <f>'Margins summary'!$W$14</f>
        <v>175.95</v>
      </c>
      <c r="AE49" s="197">
        <f t="shared" si="96"/>
        <v>1936.3500000000001</v>
      </c>
      <c r="AF49" s="197"/>
      <c r="AG49" s="918">
        <f>'Energy NPV'!U102</f>
        <v>408.3347839999999</v>
      </c>
      <c r="AH49" s="197"/>
      <c r="AI49" s="197">
        <f t="shared" si="97"/>
        <v>408.3347839999999</v>
      </c>
      <c r="AJ49" s="197">
        <f t="shared" si="80"/>
        <v>1352.0652160000002</v>
      </c>
      <c r="AK49" s="197">
        <f t="shared" si="81"/>
        <v>1528.0152160000002</v>
      </c>
      <c r="AL49" s="196">
        <f t="shared" si="98"/>
        <v>1143.5222719239769</v>
      </c>
      <c r="AM49" s="197">
        <f t="shared" si="99"/>
        <v>114.29376490855698</v>
      </c>
      <c r="AN49" s="197">
        <f t="shared" si="100"/>
        <v>265.24648938040571</v>
      </c>
      <c r="AO49" s="197">
        <f t="shared" si="101"/>
        <v>878.27578254357115</v>
      </c>
      <c r="AP49" s="199">
        <f t="shared" si="102"/>
        <v>992.56954745212818</v>
      </c>
      <c r="AQ49" s="196">
        <f t="shared" si="142"/>
        <v>14546.619464986592</v>
      </c>
      <c r="AR49" s="197">
        <f t="shared" si="103"/>
        <v>1717.3558772860742</v>
      </c>
      <c r="AS49" s="197">
        <f t="shared" si="103"/>
        <v>6154.8268536318628</v>
      </c>
      <c r="AT49" s="197">
        <f t="shared" si="103"/>
        <v>8391.7926113547292</v>
      </c>
      <c r="AU49" s="199">
        <f t="shared" si="103"/>
        <v>10109.148488640805</v>
      </c>
      <c r="AV49" s="197"/>
      <c r="AX49" s="204">
        <f t="shared" si="143"/>
        <v>12</v>
      </c>
      <c r="AY49" s="197">
        <f>'Energy NPV'!$D102*$AZ$34</f>
        <v>8.15</v>
      </c>
      <c r="AZ49" s="197">
        <f>'Energy margins'!$Z$12</f>
        <v>72</v>
      </c>
      <c r="BA49" s="197">
        <f t="shared" si="144"/>
        <v>586.80000000000007</v>
      </c>
      <c r="BB49" s="197">
        <f>'Margins summary'!$W$14</f>
        <v>175.95</v>
      </c>
      <c r="BC49" s="197">
        <f t="shared" si="104"/>
        <v>762.75</v>
      </c>
      <c r="BD49" s="197"/>
      <c r="BE49" s="918">
        <f>'Energy NPV'!U102</f>
        <v>408.3347839999999</v>
      </c>
      <c r="BF49" s="197"/>
      <c r="BG49" s="197">
        <f t="shared" si="105"/>
        <v>408.3347839999999</v>
      </c>
      <c r="BH49" s="197">
        <f t="shared" si="82"/>
        <v>178.46521600000017</v>
      </c>
      <c r="BI49" s="197">
        <f t="shared" si="83"/>
        <v>354.4152160000001</v>
      </c>
      <c r="BJ49" s="196">
        <f t="shared" si="106"/>
        <v>381.17409064132562</v>
      </c>
      <c r="BK49" s="197">
        <f t="shared" si="107"/>
        <v>114.29376490855698</v>
      </c>
      <c r="BL49" s="197">
        <f t="shared" si="108"/>
        <v>265.24648938040571</v>
      </c>
      <c r="BM49" s="197">
        <f t="shared" si="109"/>
        <v>115.92760126091993</v>
      </c>
      <c r="BN49" s="199">
        <f t="shared" si="110"/>
        <v>230.22136616947688</v>
      </c>
      <c r="BO49" s="196">
        <f t="shared" si="145"/>
        <v>4848.8731549955319</v>
      </c>
      <c r="BP49" s="197">
        <f t="shared" si="111"/>
        <v>1717.3558772860742</v>
      </c>
      <c r="BQ49" s="197">
        <f t="shared" si="112"/>
        <v>6154.8268536318628</v>
      </c>
      <c r="BR49" s="197">
        <f t="shared" si="113"/>
        <v>-1305.9536986363319</v>
      </c>
      <c r="BS49" s="199">
        <f t="shared" si="114"/>
        <v>411.40217864974147</v>
      </c>
      <c r="BT49" s="197"/>
      <c r="BV49" s="204">
        <f t="shared" si="146"/>
        <v>12</v>
      </c>
      <c r="BW49" s="197">
        <f>'Energy NPV'!$D102*$BX$34</f>
        <v>32.6</v>
      </c>
      <c r="BX49" s="197">
        <f>'Energy margins'!$Z$12</f>
        <v>72</v>
      </c>
      <c r="BY49" s="197">
        <f t="shared" si="147"/>
        <v>2347.2000000000003</v>
      </c>
      <c r="BZ49" s="197">
        <f>'Margins summary'!$W$14</f>
        <v>175.95</v>
      </c>
      <c r="CA49" s="197">
        <f t="shared" si="115"/>
        <v>2523.15</v>
      </c>
      <c r="CB49" s="197"/>
      <c r="CC49" s="918">
        <f>'Energy NPV'!U102</f>
        <v>408.3347839999999</v>
      </c>
      <c r="CD49" s="197"/>
      <c r="CE49" s="197">
        <f t="shared" si="116"/>
        <v>408.3347839999999</v>
      </c>
      <c r="CF49" s="197">
        <f t="shared" si="84"/>
        <v>1938.8652160000004</v>
      </c>
      <c r="CG49" s="197">
        <f t="shared" si="85"/>
        <v>2114.815216</v>
      </c>
      <c r="CH49" s="196">
        <f t="shared" si="117"/>
        <v>1524.6963625653025</v>
      </c>
      <c r="CI49" s="197">
        <f t="shared" si="118"/>
        <v>114.29376490855698</v>
      </c>
      <c r="CJ49" s="197">
        <f t="shared" si="119"/>
        <v>265.24648938040571</v>
      </c>
      <c r="CK49" s="197">
        <f t="shared" si="120"/>
        <v>1259.4498731848969</v>
      </c>
      <c r="CL49" s="199">
        <f t="shared" si="121"/>
        <v>1373.7436380934537</v>
      </c>
      <c r="CM49" s="196">
        <f t="shared" si="148"/>
        <v>19395.492619982128</v>
      </c>
      <c r="CN49" s="197">
        <f t="shared" si="122"/>
        <v>1717.3558772860742</v>
      </c>
      <c r="CO49" s="197">
        <f t="shared" si="123"/>
        <v>6154.8268536318628</v>
      </c>
      <c r="CP49" s="197">
        <f t="shared" si="124"/>
        <v>13240.665766350261</v>
      </c>
      <c r="CQ49" s="199">
        <f t="shared" si="125"/>
        <v>14958.021643636333</v>
      </c>
      <c r="CR49" s="197"/>
      <c r="CT49" s="204">
        <f t="shared" si="149"/>
        <v>12</v>
      </c>
      <c r="CU49" s="197">
        <f>'Energy NPV'!$D102*$CV$34</f>
        <v>0</v>
      </c>
      <c r="CV49" s="197">
        <f>'Energy margins'!$Z$12</f>
        <v>72</v>
      </c>
      <c r="CW49" s="197">
        <f t="shared" si="150"/>
        <v>0</v>
      </c>
      <c r="CX49" s="197">
        <f>'Margins summary'!$W$14</f>
        <v>175.95</v>
      </c>
      <c r="CY49" s="197">
        <f t="shared" si="126"/>
        <v>175.95</v>
      </c>
      <c r="CZ49" s="197"/>
      <c r="DA49" s="918">
        <f>'Energy NPV'!U102</f>
        <v>408.3347839999999</v>
      </c>
      <c r="DB49" s="197"/>
      <c r="DC49" s="197">
        <f t="shared" si="127"/>
        <v>408.3347839999999</v>
      </c>
      <c r="DD49" s="197">
        <f t="shared" si="86"/>
        <v>-408.3347839999999</v>
      </c>
      <c r="DE49" s="197">
        <f t="shared" si="87"/>
        <v>-232.38478399999991</v>
      </c>
      <c r="DF49" s="196">
        <f t="shared" si="128"/>
        <v>0</v>
      </c>
      <c r="DG49" s="197">
        <f t="shared" si="129"/>
        <v>114.29376490855698</v>
      </c>
      <c r="DH49" s="197">
        <f t="shared" si="130"/>
        <v>265.24648938040571</v>
      </c>
      <c r="DI49" s="197">
        <f t="shared" si="131"/>
        <v>-265.24648938040571</v>
      </c>
      <c r="DJ49" s="199">
        <f t="shared" si="132"/>
        <v>-150.95272447184874</v>
      </c>
      <c r="DK49" s="196">
        <f t="shared" si="151"/>
        <v>0</v>
      </c>
      <c r="DL49" s="197">
        <f t="shared" si="133"/>
        <v>1717.3558772860742</v>
      </c>
      <c r="DM49" s="197">
        <f t="shared" si="134"/>
        <v>6154.8268536318628</v>
      </c>
      <c r="DN49" s="197">
        <f t="shared" si="135"/>
        <v>-6154.8268536318628</v>
      </c>
      <c r="DO49" s="199">
        <f t="shared" si="136"/>
        <v>-4437.4709763457895</v>
      </c>
    </row>
    <row r="50" spans="2:129" x14ac:dyDescent="0.3">
      <c r="B50" s="204">
        <f t="shared" si="137"/>
        <v>13</v>
      </c>
      <c r="C50" s="225">
        <f>'Energy NPV'!$D103*$E$34</f>
        <v>16.3</v>
      </c>
      <c r="D50" s="197">
        <f>'Energy margins'!$Z$12</f>
        <v>72</v>
      </c>
      <c r="E50" s="197">
        <f t="shared" si="138"/>
        <v>1173.6000000000001</v>
      </c>
      <c r="F50" s="197">
        <f>'Margins summary'!$W$14</f>
        <v>175.95</v>
      </c>
      <c r="G50" s="197">
        <f t="shared" si="88"/>
        <v>1349.5500000000002</v>
      </c>
      <c r="H50" s="197"/>
      <c r="I50" s="918">
        <f>'Energy NPV'!U103</f>
        <v>408.3347839999999</v>
      </c>
      <c r="J50" s="197"/>
      <c r="K50" s="197">
        <f t="shared" si="89"/>
        <v>408.3347839999999</v>
      </c>
      <c r="L50" s="197">
        <f t="shared" si="78"/>
        <v>765.26521600000024</v>
      </c>
      <c r="M50" s="197">
        <f t="shared" si="79"/>
        <v>941.21521600000028</v>
      </c>
      <c r="N50" s="196">
        <f t="shared" si="90"/>
        <v>733.02709738716453</v>
      </c>
      <c r="O50" s="197">
        <f t="shared" si="91"/>
        <v>109.89785087361246</v>
      </c>
      <c r="P50" s="197">
        <f t="shared" si="92"/>
        <v>255.04470132731313</v>
      </c>
      <c r="Q50" s="197">
        <f t="shared" si="93"/>
        <v>477.9823960598514</v>
      </c>
      <c r="R50" s="199">
        <f t="shared" si="94"/>
        <v>587.88024693346392</v>
      </c>
      <c r="S50" s="196">
        <f t="shared" si="139"/>
        <v>10430.773407378229</v>
      </c>
      <c r="T50" s="197">
        <f t="shared" si="95"/>
        <v>1827.2537281596867</v>
      </c>
      <c r="U50" s="197">
        <f t="shared" si="95"/>
        <v>6409.8715549591761</v>
      </c>
      <c r="V50" s="197">
        <f t="shared" si="95"/>
        <v>4020.9018524190501</v>
      </c>
      <c r="W50" s="199">
        <f t="shared" si="95"/>
        <v>5848.1555805787384</v>
      </c>
      <c r="X50" s="197"/>
      <c r="Z50" s="204">
        <f t="shared" si="140"/>
        <v>13</v>
      </c>
      <c r="AA50" s="197">
        <f>'Energy NPV'!$D103*$AB$34</f>
        <v>24.450000000000003</v>
      </c>
      <c r="AB50" s="197">
        <f>'Energy margins'!$Z$12</f>
        <v>72</v>
      </c>
      <c r="AC50" s="197">
        <f t="shared" si="141"/>
        <v>1760.4</v>
      </c>
      <c r="AD50" s="197">
        <f>'Margins summary'!$W$14</f>
        <v>175.95</v>
      </c>
      <c r="AE50" s="197">
        <f t="shared" si="96"/>
        <v>1936.3500000000001</v>
      </c>
      <c r="AF50" s="197"/>
      <c r="AG50" s="918">
        <f>'Energy NPV'!U103</f>
        <v>408.3347839999999</v>
      </c>
      <c r="AH50" s="197"/>
      <c r="AI50" s="197">
        <f t="shared" si="97"/>
        <v>408.3347839999999</v>
      </c>
      <c r="AJ50" s="197">
        <f t="shared" si="80"/>
        <v>1352.0652160000002</v>
      </c>
      <c r="AK50" s="197">
        <f t="shared" si="81"/>
        <v>1528.0152160000002</v>
      </c>
      <c r="AL50" s="196">
        <f t="shared" si="98"/>
        <v>1099.5406460807467</v>
      </c>
      <c r="AM50" s="197">
        <f t="shared" si="99"/>
        <v>109.89785087361246</v>
      </c>
      <c r="AN50" s="197">
        <f t="shared" si="100"/>
        <v>255.04470132731313</v>
      </c>
      <c r="AO50" s="197">
        <f t="shared" si="101"/>
        <v>844.49594475343361</v>
      </c>
      <c r="AP50" s="199">
        <f t="shared" si="102"/>
        <v>954.39379562704607</v>
      </c>
      <c r="AQ50" s="196">
        <f t="shared" si="142"/>
        <v>15646.160111067338</v>
      </c>
      <c r="AR50" s="197">
        <f t="shared" si="103"/>
        <v>1827.2537281596867</v>
      </c>
      <c r="AS50" s="197">
        <f t="shared" si="103"/>
        <v>6409.8715549591761</v>
      </c>
      <c r="AT50" s="197">
        <f t="shared" si="103"/>
        <v>9236.2885561081621</v>
      </c>
      <c r="AU50" s="199">
        <f t="shared" si="103"/>
        <v>11063.542284267851</v>
      </c>
      <c r="AV50" s="197"/>
      <c r="AX50" s="204">
        <f t="shared" si="143"/>
        <v>13</v>
      </c>
      <c r="AY50" s="197">
        <f>'Energy NPV'!$D103*$AZ$34</f>
        <v>8.15</v>
      </c>
      <c r="AZ50" s="197">
        <f>'Energy margins'!$Z$12</f>
        <v>72</v>
      </c>
      <c r="BA50" s="197">
        <f t="shared" si="144"/>
        <v>586.80000000000007</v>
      </c>
      <c r="BB50" s="197">
        <f>'Margins summary'!$W$14</f>
        <v>175.95</v>
      </c>
      <c r="BC50" s="197">
        <f t="shared" si="104"/>
        <v>762.75</v>
      </c>
      <c r="BD50" s="197"/>
      <c r="BE50" s="918">
        <f>'Energy NPV'!U103</f>
        <v>408.3347839999999</v>
      </c>
      <c r="BF50" s="197"/>
      <c r="BG50" s="197">
        <f t="shared" si="105"/>
        <v>408.3347839999999</v>
      </c>
      <c r="BH50" s="197">
        <f t="shared" si="82"/>
        <v>178.46521600000017</v>
      </c>
      <c r="BI50" s="197">
        <f t="shared" si="83"/>
        <v>354.4152160000001</v>
      </c>
      <c r="BJ50" s="196">
        <f t="shared" si="106"/>
        <v>366.51354869358227</v>
      </c>
      <c r="BK50" s="197">
        <f t="shared" si="107"/>
        <v>109.89785087361246</v>
      </c>
      <c r="BL50" s="197">
        <f t="shared" si="108"/>
        <v>255.04470132731313</v>
      </c>
      <c r="BM50" s="197">
        <f t="shared" si="109"/>
        <v>111.46884736626915</v>
      </c>
      <c r="BN50" s="199">
        <f t="shared" si="110"/>
        <v>221.36669823988157</v>
      </c>
      <c r="BO50" s="196">
        <f t="shared" si="145"/>
        <v>5215.3867036891143</v>
      </c>
      <c r="BP50" s="197">
        <f t="shared" si="111"/>
        <v>1827.2537281596867</v>
      </c>
      <c r="BQ50" s="197">
        <f t="shared" si="112"/>
        <v>6409.8715549591761</v>
      </c>
      <c r="BR50" s="197">
        <f t="shared" si="113"/>
        <v>-1194.4848512700628</v>
      </c>
      <c r="BS50" s="199">
        <f t="shared" si="114"/>
        <v>632.76887688962302</v>
      </c>
      <c r="BT50" s="197"/>
      <c r="BV50" s="204">
        <f t="shared" si="146"/>
        <v>13</v>
      </c>
      <c r="BW50" s="197">
        <f>'Energy NPV'!$D103*$BX$34</f>
        <v>32.6</v>
      </c>
      <c r="BX50" s="197">
        <f>'Energy margins'!$Z$12</f>
        <v>72</v>
      </c>
      <c r="BY50" s="197">
        <f t="shared" si="147"/>
        <v>2347.2000000000003</v>
      </c>
      <c r="BZ50" s="197">
        <f>'Margins summary'!$W$14</f>
        <v>175.95</v>
      </c>
      <c r="CA50" s="197">
        <f t="shared" si="115"/>
        <v>2523.15</v>
      </c>
      <c r="CB50" s="197"/>
      <c r="CC50" s="918">
        <f>'Energy NPV'!U103</f>
        <v>408.3347839999999</v>
      </c>
      <c r="CD50" s="197"/>
      <c r="CE50" s="197">
        <f t="shared" si="116"/>
        <v>408.3347839999999</v>
      </c>
      <c r="CF50" s="197">
        <f t="shared" si="84"/>
        <v>1938.8652160000004</v>
      </c>
      <c r="CG50" s="197">
        <f t="shared" si="85"/>
        <v>2114.815216</v>
      </c>
      <c r="CH50" s="196">
        <f t="shared" si="117"/>
        <v>1466.0541947743291</v>
      </c>
      <c r="CI50" s="197">
        <f t="shared" si="118"/>
        <v>109.89785087361246</v>
      </c>
      <c r="CJ50" s="197">
        <f t="shared" si="119"/>
        <v>255.04470132731313</v>
      </c>
      <c r="CK50" s="197">
        <f t="shared" si="120"/>
        <v>1211.009493447016</v>
      </c>
      <c r="CL50" s="199">
        <f t="shared" si="121"/>
        <v>1320.9073443206282</v>
      </c>
      <c r="CM50" s="196">
        <f t="shared" si="148"/>
        <v>20861.546814756457</v>
      </c>
      <c r="CN50" s="197">
        <f t="shared" si="122"/>
        <v>1827.2537281596867</v>
      </c>
      <c r="CO50" s="197">
        <f t="shared" si="123"/>
        <v>6409.8715549591761</v>
      </c>
      <c r="CP50" s="197">
        <f t="shared" si="124"/>
        <v>14451.675259797277</v>
      </c>
      <c r="CQ50" s="199">
        <f t="shared" si="125"/>
        <v>16278.928987956962</v>
      </c>
      <c r="CR50" s="197"/>
      <c r="CT50" s="204">
        <f t="shared" si="149"/>
        <v>13</v>
      </c>
      <c r="CU50" s="197">
        <f>'Energy NPV'!$D103*$CV$34</f>
        <v>0</v>
      </c>
      <c r="CV50" s="197">
        <f>'Energy margins'!$Z$12</f>
        <v>72</v>
      </c>
      <c r="CW50" s="197">
        <f t="shared" si="150"/>
        <v>0</v>
      </c>
      <c r="CX50" s="197">
        <f>'Margins summary'!$W$14</f>
        <v>175.95</v>
      </c>
      <c r="CY50" s="197">
        <f t="shared" si="126"/>
        <v>175.95</v>
      </c>
      <c r="CZ50" s="197"/>
      <c r="DA50" s="918">
        <f>'Energy NPV'!U103</f>
        <v>408.3347839999999</v>
      </c>
      <c r="DB50" s="197"/>
      <c r="DC50" s="197">
        <f t="shared" si="127"/>
        <v>408.3347839999999</v>
      </c>
      <c r="DD50" s="197">
        <f t="shared" si="86"/>
        <v>-408.3347839999999</v>
      </c>
      <c r="DE50" s="197">
        <f t="shared" si="87"/>
        <v>-232.38478399999991</v>
      </c>
      <c r="DF50" s="196">
        <f t="shared" si="128"/>
        <v>0</v>
      </c>
      <c r="DG50" s="197">
        <f t="shared" si="129"/>
        <v>109.89785087361246</v>
      </c>
      <c r="DH50" s="197">
        <f t="shared" si="130"/>
        <v>255.04470132731313</v>
      </c>
      <c r="DI50" s="197">
        <f t="shared" si="131"/>
        <v>-255.04470132731313</v>
      </c>
      <c r="DJ50" s="199">
        <f t="shared" si="132"/>
        <v>-145.14685045370067</v>
      </c>
      <c r="DK50" s="196">
        <f t="shared" si="151"/>
        <v>0</v>
      </c>
      <c r="DL50" s="197">
        <f t="shared" si="133"/>
        <v>1827.2537281596867</v>
      </c>
      <c r="DM50" s="197">
        <f t="shared" si="134"/>
        <v>6409.8715549591761</v>
      </c>
      <c r="DN50" s="197">
        <f t="shared" si="135"/>
        <v>-6409.8715549591761</v>
      </c>
      <c r="DO50" s="199">
        <f t="shared" si="136"/>
        <v>-4582.6178267994901</v>
      </c>
    </row>
    <row r="51" spans="2:129" x14ac:dyDescent="0.3">
      <c r="B51" s="204">
        <f t="shared" si="137"/>
        <v>14</v>
      </c>
      <c r="C51" s="225">
        <f>'Energy NPV'!$D104*$E$34</f>
        <v>16.3</v>
      </c>
      <c r="D51" s="197">
        <f>'Energy margins'!$Z$12</f>
        <v>72</v>
      </c>
      <c r="E51" s="197">
        <f t="shared" si="138"/>
        <v>1173.6000000000001</v>
      </c>
      <c r="F51" s="197">
        <f>'Margins summary'!$W$14</f>
        <v>175.95</v>
      </c>
      <c r="G51" s="197">
        <f t="shared" si="88"/>
        <v>1349.5500000000002</v>
      </c>
      <c r="H51" s="197"/>
      <c r="I51" s="918">
        <f>'Energy NPV'!U104</f>
        <v>408.3347839999999</v>
      </c>
      <c r="J51" s="197"/>
      <c r="K51" s="197">
        <f t="shared" si="89"/>
        <v>408.3347839999999</v>
      </c>
      <c r="L51" s="197">
        <f t="shared" si="78"/>
        <v>765.26521600000024</v>
      </c>
      <c r="M51" s="197">
        <f t="shared" si="79"/>
        <v>941.21521600000028</v>
      </c>
      <c r="N51" s="196">
        <f t="shared" si="90"/>
        <v>704.83374748765823</v>
      </c>
      <c r="O51" s="197">
        <f t="shared" si="91"/>
        <v>105.67101045539658</v>
      </c>
      <c r="P51" s="197">
        <f t="shared" si="92"/>
        <v>245.23528973780108</v>
      </c>
      <c r="Q51" s="197">
        <f t="shared" si="93"/>
        <v>459.59845774985712</v>
      </c>
      <c r="R51" s="199">
        <f t="shared" si="94"/>
        <v>565.2694682052537</v>
      </c>
      <c r="S51" s="196">
        <f t="shared" si="139"/>
        <v>11135.607154865887</v>
      </c>
      <c r="T51" s="197">
        <f t="shared" si="95"/>
        <v>1932.9247386150832</v>
      </c>
      <c r="U51" s="197">
        <f t="shared" si="95"/>
        <v>6655.1068446969775</v>
      </c>
      <c r="V51" s="197">
        <f t="shared" si="95"/>
        <v>4480.5003101689072</v>
      </c>
      <c r="W51" s="199">
        <f t="shared" si="95"/>
        <v>6413.4250487839918</v>
      </c>
      <c r="X51" s="197"/>
      <c r="Z51" s="204">
        <f t="shared" si="140"/>
        <v>14</v>
      </c>
      <c r="AA51" s="197">
        <f>'Energy NPV'!$D104*$AB$34</f>
        <v>24.450000000000003</v>
      </c>
      <c r="AB51" s="197">
        <f>'Energy margins'!$Z$12</f>
        <v>72</v>
      </c>
      <c r="AC51" s="197">
        <f t="shared" si="141"/>
        <v>1760.4</v>
      </c>
      <c r="AD51" s="197">
        <f>'Margins summary'!$W$14</f>
        <v>175.95</v>
      </c>
      <c r="AE51" s="197">
        <f t="shared" si="96"/>
        <v>1936.3500000000001</v>
      </c>
      <c r="AF51" s="197"/>
      <c r="AG51" s="918">
        <f>'Energy NPV'!U104</f>
        <v>408.3347839999999</v>
      </c>
      <c r="AH51" s="197"/>
      <c r="AI51" s="197">
        <f t="shared" si="97"/>
        <v>408.3347839999999</v>
      </c>
      <c r="AJ51" s="197">
        <f t="shared" si="80"/>
        <v>1352.0652160000002</v>
      </c>
      <c r="AK51" s="197">
        <f t="shared" si="81"/>
        <v>1528.0152160000002</v>
      </c>
      <c r="AL51" s="196">
        <f t="shared" si="98"/>
        <v>1057.2506212314872</v>
      </c>
      <c r="AM51" s="197">
        <f t="shared" si="99"/>
        <v>105.67101045539658</v>
      </c>
      <c r="AN51" s="197">
        <f t="shared" si="100"/>
        <v>245.23528973780108</v>
      </c>
      <c r="AO51" s="197">
        <f t="shared" si="101"/>
        <v>812.01533149368618</v>
      </c>
      <c r="AP51" s="199">
        <f t="shared" si="102"/>
        <v>917.6863419490827</v>
      </c>
      <c r="AQ51" s="196">
        <f t="shared" si="142"/>
        <v>16703.410732298824</v>
      </c>
      <c r="AR51" s="197">
        <f t="shared" si="103"/>
        <v>1932.9247386150832</v>
      </c>
      <c r="AS51" s="197">
        <f t="shared" si="103"/>
        <v>6655.1068446969775</v>
      </c>
      <c r="AT51" s="197">
        <f t="shared" si="103"/>
        <v>10048.303887601849</v>
      </c>
      <c r="AU51" s="199">
        <f t="shared" si="103"/>
        <v>11981.228626216933</v>
      </c>
      <c r="AV51" s="197"/>
      <c r="AX51" s="204">
        <f t="shared" si="143"/>
        <v>14</v>
      </c>
      <c r="AY51" s="197">
        <f>'Energy NPV'!$D104*$AZ$34</f>
        <v>8.15</v>
      </c>
      <c r="AZ51" s="197">
        <f>'Energy margins'!$Z$12</f>
        <v>72</v>
      </c>
      <c r="BA51" s="197">
        <f t="shared" si="144"/>
        <v>586.80000000000007</v>
      </c>
      <c r="BB51" s="197">
        <f>'Margins summary'!$W$14</f>
        <v>175.95</v>
      </c>
      <c r="BC51" s="197">
        <f t="shared" si="104"/>
        <v>762.75</v>
      </c>
      <c r="BD51" s="197"/>
      <c r="BE51" s="918">
        <f>'Energy NPV'!U104</f>
        <v>408.3347839999999</v>
      </c>
      <c r="BF51" s="197"/>
      <c r="BG51" s="197">
        <f t="shared" si="105"/>
        <v>408.3347839999999</v>
      </c>
      <c r="BH51" s="197">
        <f t="shared" si="82"/>
        <v>178.46521600000017</v>
      </c>
      <c r="BI51" s="197">
        <f t="shared" si="83"/>
        <v>354.4152160000001</v>
      </c>
      <c r="BJ51" s="196">
        <f t="shared" si="106"/>
        <v>352.41687374382911</v>
      </c>
      <c r="BK51" s="197">
        <f t="shared" si="107"/>
        <v>105.67101045539658</v>
      </c>
      <c r="BL51" s="197">
        <f t="shared" si="108"/>
        <v>245.23528973780108</v>
      </c>
      <c r="BM51" s="197">
        <f t="shared" si="109"/>
        <v>107.18158400602802</v>
      </c>
      <c r="BN51" s="199">
        <f t="shared" si="110"/>
        <v>212.85259446142456</v>
      </c>
      <c r="BO51" s="196">
        <f t="shared" si="145"/>
        <v>5567.8035774329437</v>
      </c>
      <c r="BP51" s="197">
        <f t="shared" si="111"/>
        <v>1932.9247386150832</v>
      </c>
      <c r="BQ51" s="197">
        <f t="shared" si="112"/>
        <v>6655.1068446969775</v>
      </c>
      <c r="BR51" s="197">
        <f t="shared" si="113"/>
        <v>-1087.3032672640347</v>
      </c>
      <c r="BS51" s="199">
        <f t="shared" si="114"/>
        <v>845.6214713510476</v>
      </c>
      <c r="BT51" s="197"/>
      <c r="BV51" s="204">
        <f t="shared" si="146"/>
        <v>14</v>
      </c>
      <c r="BW51" s="197">
        <f>'Energy NPV'!$D104*$BX$34</f>
        <v>32.6</v>
      </c>
      <c r="BX51" s="197">
        <f>'Energy margins'!$Z$12</f>
        <v>72</v>
      </c>
      <c r="BY51" s="197">
        <f t="shared" si="147"/>
        <v>2347.2000000000003</v>
      </c>
      <c r="BZ51" s="197">
        <f>'Margins summary'!$W$14</f>
        <v>175.95</v>
      </c>
      <c r="CA51" s="197">
        <f t="shared" si="115"/>
        <v>2523.15</v>
      </c>
      <c r="CB51" s="197"/>
      <c r="CC51" s="918">
        <f>'Energy NPV'!U104</f>
        <v>408.3347839999999</v>
      </c>
      <c r="CD51" s="197"/>
      <c r="CE51" s="197">
        <f t="shared" si="116"/>
        <v>408.3347839999999</v>
      </c>
      <c r="CF51" s="197">
        <f t="shared" si="84"/>
        <v>1938.8652160000004</v>
      </c>
      <c r="CG51" s="197">
        <f t="shared" si="85"/>
        <v>2114.815216</v>
      </c>
      <c r="CH51" s="196">
        <f t="shared" si="117"/>
        <v>1409.6674949753165</v>
      </c>
      <c r="CI51" s="197">
        <f t="shared" si="118"/>
        <v>105.67101045539658</v>
      </c>
      <c r="CJ51" s="197">
        <f t="shared" si="119"/>
        <v>245.23528973780108</v>
      </c>
      <c r="CK51" s="197">
        <f t="shared" si="120"/>
        <v>1164.4322052375153</v>
      </c>
      <c r="CL51" s="199">
        <f t="shared" si="121"/>
        <v>1270.1032156929116</v>
      </c>
      <c r="CM51" s="196">
        <f t="shared" si="148"/>
        <v>22271.214309731775</v>
      </c>
      <c r="CN51" s="197">
        <f t="shared" si="122"/>
        <v>1932.9247386150832</v>
      </c>
      <c r="CO51" s="197">
        <f t="shared" si="123"/>
        <v>6655.1068446969775</v>
      </c>
      <c r="CP51" s="197">
        <f t="shared" si="124"/>
        <v>15616.107465034793</v>
      </c>
      <c r="CQ51" s="199">
        <f t="shared" si="125"/>
        <v>17549.032203649873</v>
      </c>
      <c r="CR51" s="197"/>
      <c r="CT51" s="204">
        <f t="shared" si="149"/>
        <v>14</v>
      </c>
      <c r="CU51" s="197">
        <f>'Energy NPV'!$D104*$CV$34</f>
        <v>0</v>
      </c>
      <c r="CV51" s="197">
        <f>'Energy margins'!$Z$12</f>
        <v>72</v>
      </c>
      <c r="CW51" s="197">
        <f t="shared" si="150"/>
        <v>0</v>
      </c>
      <c r="CX51" s="197">
        <f>'Margins summary'!$W$14</f>
        <v>175.95</v>
      </c>
      <c r="CY51" s="197">
        <f t="shared" si="126"/>
        <v>175.95</v>
      </c>
      <c r="CZ51" s="197"/>
      <c r="DA51" s="918">
        <f>'Energy NPV'!U104</f>
        <v>408.3347839999999</v>
      </c>
      <c r="DB51" s="197"/>
      <c r="DC51" s="197">
        <f t="shared" si="127"/>
        <v>408.3347839999999</v>
      </c>
      <c r="DD51" s="197">
        <f t="shared" si="86"/>
        <v>-408.3347839999999</v>
      </c>
      <c r="DE51" s="197">
        <f t="shared" si="87"/>
        <v>-232.38478399999991</v>
      </c>
      <c r="DF51" s="196">
        <f t="shared" si="128"/>
        <v>0</v>
      </c>
      <c r="DG51" s="197">
        <f t="shared" si="129"/>
        <v>105.67101045539658</v>
      </c>
      <c r="DH51" s="197">
        <f t="shared" si="130"/>
        <v>245.23528973780108</v>
      </c>
      <c r="DI51" s="197">
        <f t="shared" si="131"/>
        <v>-245.23528973780108</v>
      </c>
      <c r="DJ51" s="199">
        <f t="shared" si="132"/>
        <v>-139.5642792824045</v>
      </c>
      <c r="DK51" s="196">
        <f t="shared" si="151"/>
        <v>0</v>
      </c>
      <c r="DL51" s="197">
        <f t="shared" si="133"/>
        <v>1932.9247386150832</v>
      </c>
      <c r="DM51" s="197">
        <f t="shared" si="134"/>
        <v>6655.1068446969775</v>
      </c>
      <c r="DN51" s="197">
        <f t="shared" si="135"/>
        <v>-6655.1068446969775</v>
      </c>
      <c r="DO51" s="199">
        <f t="shared" si="136"/>
        <v>-4722.1821060818947</v>
      </c>
    </row>
    <row r="52" spans="2:129" x14ac:dyDescent="0.3">
      <c r="B52" s="204">
        <f t="shared" si="137"/>
        <v>15</v>
      </c>
      <c r="C52" s="225">
        <f>'Energy NPV'!$D105*$E$34</f>
        <v>16.3</v>
      </c>
      <c r="D52" s="197">
        <f>'Energy margins'!$Z$12</f>
        <v>72</v>
      </c>
      <c r="E52" s="197">
        <f t="shared" si="138"/>
        <v>1173.6000000000001</v>
      </c>
      <c r="F52" s="197">
        <f>'Margins summary'!$W$14</f>
        <v>175.95</v>
      </c>
      <c r="G52" s="197">
        <f t="shared" si="88"/>
        <v>1349.5500000000002</v>
      </c>
      <c r="H52" s="197"/>
      <c r="I52" s="918">
        <f>'Energy NPV'!U105</f>
        <v>408.3347839999999</v>
      </c>
      <c r="J52" s="197"/>
      <c r="K52" s="197">
        <f t="shared" si="89"/>
        <v>408.3347839999999</v>
      </c>
      <c r="L52" s="197">
        <f t="shared" si="78"/>
        <v>765.26521600000024</v>
      </c>
      <c r="M52" s="197">
        <f t="shared" si="79"/>
        <v>941.21521600000028</v>
      </c>
      <c r="N52" s="196">
        <f t="shared" si="90"/>
        <v>677.72475719967133</v>
      </c>
      <c r="O52" s="197">
        <f t="shared" si="91"/>
        <v>101.60674082249672</v>
      </c>
      <c r="P52" s="197">
        <f t="shared" si="92"/>
        <v>235.80316320942413</v>
      </c>
      <c r="Q52" s="197">
        <f t="shared" si="93"/>
        <v>441.92159399024723</v>
      </c>
      <c r="R52" s="199">
        <f t="shared" si="94"/>
        <v>543.52833481274399</v>
      </c>
      <c r="S52" s="196">
        <f t="shared" si="139"/>
        <v>11813.331912065558</v>
      </c>
      <c r="T52" s="197">
        <f t="shared" si="95"/>
        <v>2034.5314794375799</v>
      </c>
      <c r="U52" s="197">
        <f t="shared" si="95"/>
        <v>6890.9100079064019</v>
      </c>
      <c r="V52" s="197">
        <f t="shared" si="95"/>
        <v>4922.4219041591541</v>
      </c>
      <c r="W52" s="199">
        <f t="shared" si="95"/>
        <v>6956.9533835967359</v>
      </c>
      <c r="X52" s="197"/>
      <c r="Z52" s="204">
        <f t="shared" si="140"/>
        <v>15</v>
      </c>
      <c r="AA52" s="197">
        <f>'Energy NPV'!$D105*$AB$34</f>
        <v>24.450000000000003</v>
      </c>
      <c r="AB52" s="197">
        <f>'Energy margins'!$Z$12</f>
        <v>72</v>
      </c>
      <c r="AC52" s="197">
        <f t="shared" si="141"/>
        <v>1760.4</v>
      </c>
      <c r="AD52" s="197">
        <f>'Margins summary'!$W$14</f>
        <v>175.95</v>
      </c>
      <c r="AE52" s="197">
        <f t="shared" si="96"/>
        <v>1936.3500000000001</v>
      </c>
      <c r="AF52" s="197"/>
      <c r="AG52" s="918">
        <f>'Energy NPV'!U105</f>
        <v>408.3347839999999</v>
      </c>
      <c r="AH52" s="197"/>
      <c r="AI52" s="197">
        <f t="shared" si="97"/>
        <v>408.3347839999999</v>
      </c>
      <c r="AJ52" s="197">
        <f t="shared" si="80"/>
        <v>1352.0652160000002</v>
      </c>
      <c r="AK52" s="197">
        <f t="shared" si="81"/>
        <v>1528.0152160000002</v>
      </c>
      <c r="AL52" s="196">
        <f t="shared" si="98"/>
        <v>1016.587135799507</v>
      </c>
      <c r="AM52" s="197">
        <f t="shared" si="99"/>
        <v>101.60674082249672</v>
      </c>
      <c r="AN52" s="197">
        <f t="shared" si="100"/>
        <v>235.80316320942413</v>
      </c>
      <c r="AO52" s="197">
        <f t="shared" si="101"/>
        <v>780.78397259008284</v>
      </c>
      <c r="AP52" s="199">
        <f t="shared" si="102"/>
        <v>882.39071341257954</v>
      </c>
      <c r="AQ52" s="196">
        <f t="shared" si="142"/>
        <v>17719.997868098329</v>
      </c>
      <c r="AR52" s="197">
        <f t="shared" si="103"/>
        <v>2034.5314794375799</v>
      </c>
      <c r="AS52" s="197">
        <f t="shared" si="103"/>
        <v>6890.9100079064019</v>
      </c>
      <c r="AT52" s="197">
        <f t="shared" si="103"/>
        <v>10829.087860191932</v>
      </c>
      <c r="AU52" s="199">
        <f t="shared" si="103"/>
        <v>12863.619339629513</v>
      </c>
      <c r="AV52" s="197"/>
      <c r="AX52" s="204">
        <f t="shared" si="143"/>
        <v>15</v>
      </c>
      <c r="AY52" s="197">
        <f>'Energy NPV'!$D105*$AZ$34</f>
        <v>8.15</v>
      </c>
      <c r="AZ52" s="197">
        <f>'Energy margins'!$Z$12</f>
        <v>72</v>
      </c>
      <c r="BA52" s="197">
        <f t="shared" si="144"/>
        <v>586.80000000000007</v>
      </c>
      <c r="BB52" s="197">
        <f>'Margins summary'!$W$14</f>
        <v>175.95</v>
      </c>
      <c r="BC52" s="197">
        <f t="shared" si="104"/>
        <v>762.75</v>
      </c>
      <c r="BD52" s="197"/>
      <c r="BE52" s="918">
        <f>'Energy NPV'!U105</f>
        <v>408.3347839999999</v>
      </c>
      <c r="BF52" s="197"/>
      <c r="BG52" s="197">
        <f t="shared" si="105"/>
        <v>408.3347839999999</v>
      </c>
      <c r="BH52" s="197">
        <f t="shared" si="82"/>
        <v>178.46521600000017</v>
      </c>
      <c r="BI52" s="197">
        <f t="shared" si="83"/>
        <v>354.4152160000001</v>
      </c>
      <c r="BJ52" s="196">
        <f t="shared" si="106"/>
        <v>338.86237859983567</v>
      </c>
      <c r="BK52" s="197">
        <f t="shared" si="107"/>
        <v>101.60674082249672</v>
      </c>
      <c r="BL52" s="197">
        <f t="shared" si="108"/>
        <v>235.80316320942413</v>
      </c>
      <c r="BM52" s="197">
        <f t="shared" si="109"/>
        <v>103.05921539041155</v>
      </c>
      <c r="BN52" s="199">
        <f t="shared" si="110"/>
        <v>204.66595621290824</v>
      </c>
      <c r="BO52" s="196">
        <f t="shared" si="145"/>
        <v>5906.6659560327789</v>
      </c>
      <c r="BP52" s="197">
        <f t="shared" si="111"/>
        <v>2034.5314794375799</v>
      </c>
      <c r="BQ52" s="197">
        <f t="shared" si="112"/>
        <v>6890.9100079064019</v>
      </c>
      <c r="BR52" s="197">
        <f t="shared" si="113"/>
        <v>-984.24405187362322</v>
      </c>
      <c r="BS52" s="199">
        <f t="shared" si="114"/>
        <v>1050.2874275639558</v>
      </c>
      <c r="BT52" s="197"/>
      <c r="BV52" s="204">
        <f t="shared" si="146"/>
        <v>15</v>
      </c>
      <c r="BW52" s="197">
        <f>'Energy NPV'!$D105*$BX$34</f>
        <v>32.6</v>
      </c>
      <c r="BX52" s="197">
        <f>'Energy margins'!$Z$12</f>
        <v>72</v>
      </c>
      <c r="BY52" s="197">
        <f t="shared" si="147"/>
        <v>2347.2000000000003</v>
      </c>
      <c r="BZ52" s="197">
        <f>'Margins summary'!$W$14</f>
        <v>175.95</v>
      </c>
      <c r="CA52" s="197">
        <f t="shared" si="115"/>
        <v>2523.15</v>
      </c>
      <c r="CB52" s="197"/>
      <c r="CC52" s="918">
        <f>'Energy NPV'!U105</f>
        <v>408.3347839999999</v>
      </c>
      <c r="CD52" s="197"/>
      <c r="CE52" s="197">
        <f t="shared" si="116"/>
        <v>408.3347839999999</v>
      </c>
      <c r="CF52" s="197">
        <f t="shared" si="84"/>
        <v>1938.8652160000004</v>
      </c>
      <c r="CG52" s="197">
        <f t="shared" si="85"/>
        <v>2114.815216</v>
      </c>
      <c r="CH52" s="196">
        <f t="shared" si="117"/>
        <v>1355.4495143993427</v>
      </c>
      <c r="CI52" s="197">
        <f t="shared" si="118"/>
        <v>101.60674082249672</v>
      </c>
      <c r="CJ52" s="197">
        <f t="shared" si="119"/>
        <v>235.80316320942413</v>
      </c>
      <c r="CK52" s="197">
        <f t="shared" si="120"/>
        <v>1119.6463511899185</v>
      </c>
      <c r="CL52" s="199">
        <f t="shared" si="121"/>
        <v>1221.253092012415</v>
      </c>
      <c r="CM52" s="196">
        <f t="shared" si="148"/>
        <v>23626.663824131116</v>
      </c>
      <c r="CN52" s="197">
        <f t="shared" si="122"/>
        <v>2034.5314794375799</v>
      </c>
      <c r="CO52" s="197">
        <f t="shared" si="123"/>
        <v>6890.9100079064019</v>
      </c>
      <c r="CP52" s="197">
        <f t="shared" si="124"/>
        <v>16735.753816224711</v>
      </c>
      <c r="CQ52" s="199">
        <f t="shared" si="125"/>
        <v>18770.285295662288</v>
      </c>
      <c r="CR52" s="197"/>
      <c r="CT52" s="204">
        <f t="shared" si="149"/>
        <v>15</v>
      </c>
      <c r="CU52" s="197">
        <f>'Energy NPV'!$D105*$CV$34</f>
        <v>0</v>
      </c>
      <c r="CV52" s="197">
        <f>'Energy margins'!$Z$12</f>
        <v>72</v>
      </c>
      <c r="CW52" s="197">
        <f t="shared" si="150"/>
        <v>0</v>
      </c>
      <c r="CX52" s="197">
        <f>'Margins summary'!$W$14</f>
        <v>175.95</v>
      </c>
      <c r="CY52" s="197">
        <f t="shared" si="126"/>
        <v>175.95</v>
      </c>
      <c r="CZ52" s="197"/>
      <c r="DA52" s="918">
        <f>'Energy NPV'!U105</f>
        <v>408.3347839999999</v>
      </c>
      <c r="DB52" s="197"/>
      <c r="DC52" s="197">
        <f t="shared" si="127"/>
        <v>408.3347839999999</v>
      </c>
      <c r="DD52" s="197">
        <f t="shared" si="86"/>
        <v>-408.3347839999999</v>
      </c>
      <c r="DE52" s="197">
        <f t="shared" si="87"/>
        <v>-232.38478399999991</v>
      </c>
      <c r="DF52" s="196">
        <f t="shared" si="128"/>
        <v>0</v>
      </c>
      <c r="DG52" s="197">
        <f t="shared" si="129"/>
        <v>101.60674082249672</v>
      </c>
      <c r="DH52" s="197">
        <f t="shared" si="130"/>
        <v>235.80316320942413</v>
      </c>
      <c r="DI52" s="197">
        <f t="shared" si="131"/>
        <v>-235.80316320942413</v>
      </c>
      <c r="DJ52" s="199">
        <f t="shared" si="132"/>
        <v>-134.1964223869274</v>
      </c>
      <c r="DK52" s="196">
        <f t="shared" si="151"/>
        <v>0</v>
      </c>
      <c r="DL52" s="197">
        <f t="shared" si="133"/>
        <v>2034.5314794375799</v>
      </c>
      <c r="DM52" s="197">
        <f t="shared" si="134"/>
        <v>6890.9100079064019</v>
      </c>
      <c r="DN52" s="197">
        <f t="shared" si="135"/>
        <v>-6890.9100079064019</v>
      </c>
      <c r="DO52" s="199">
        <f t="shared" si="136"/>
        <v>-4856.378528468822</v>
      </c>
    </row>
    <row r="53" spans="2:129" x14ac:dyDescent="0.3">
      <c r="B53" s="206">
        <f t="shared" si="137"/>
        <v>16</v>
      </c>
      <c r="C53" s="226">
        <f>'Energy NPV'!$D106*$E$34</f>
        <v>16.3</v>
      </c>
      <c r="D53" s="207">
        <f>'Energy margins'!$Z$12</f>
        <v>72</v>
      </c>
      <c r="E53" s="207">
        <f t="shared" si="138"/>
        <v>1173.6000000000001</v>
      </c>
      <c r="F53" s="207">
        <f>'Margins summary'!$W$14</f>
        <v>175.95</v>
      </c>
      <c r="G53" s="207">
        <f t="shared" si="88"/>
        <v>1349.5500000000002</v>
      </c>
      <c r="H53" s="207"/>
      <c r="I53" s="919">
        <f>'Energy NPV'!U106</f>
        <v>408.3347839999999</v>
      </c>
      <c r="J53" s="207">
        <f>'Energy margins'!$AE$67</f>
        <v>192.1</v>
      </c>
      <c r="K53" s="207">
        <f t="shared" si="89"/>
        <v>600.43478399999992</v>
      </c>
      <c r="L53" s="207">
        <f t="shared" si="78"/>
        <v>573.16521600000021</v>
      </c>
      <c r="M53" s="207">
        <f t="shared" si="79"/>
        <v>749.11521600000026</v>
      </c>
      <c r="N53" s="208">
        <f t="shared" si="90"/>
        <v>651.65842038429935</v>
      </c>
      <c r="O53" s="207">
        <f t="shared" si="91"/>
        <v>97.698789252400701</v>
      </c>
      <c r="P53" s="207">
        <f>K53/(1+$B$4)^(B53-1)</f>
        <v>333.40012174951255</v>
      </c>
      <c r="Q53" s="207">
        <f t="shared" si="93"/>
        <v>318.25829863478685</v>
      </c>
      <c r="R53" s="209">
        <f>M53/(1+$B$4)^(B53-1)</f>
        <v>415.95708788718758</v>
      </c>
      <c r="S53" s="208">
        <f t="shared" si="139"/>
        <v>12464.990332449857</v>
      </c>
      <c r="T53" s="207">
        <f t="shared" si="95"/>
        <v>2132.2302686899807</v>
      </c>
      <c r="U53" s="207">
        <f t="shared" si="95"/>
        <v>7224.3101296559144</v>
      </c>
      <c r="V53" s="207">
        <f t="shared" si="95"/>
        <v>5240.6802027939411</v>
      </c>
      <c r="W53" s="209">
        <f t="shared" si="95"/>
        <v>7372.9104714839232</v>
      </c>
      <c r="X53" s="197"/>
      <c r="Z53" s="206">
        <f t="shared" si="140"/>
        <v>16</v>
      </c>
      <c r="AA53" s="207">
        <f>'Energy NPV'!$D106*$AB$34</f>
        <v>24.450000000000003</v>
      </c>
      <c r="AB53" s="207">
        <f>'Energy margins'!$Z$12</f>
        <v>72</v>
      </c>
      <c r="AC53" s="207">
        <f t="shared" si="141"/>
        <v>1760.4</v>
      </c>
      <c r="AD53" s="207">
        <f>'Margins summary'!$W$14</f>
        <v>175.95</v>
      </c>
      <c r="AE53" s="207">
        <f t="shared" si="96"/>
        <v>1936.3500000000001</v>
      </c>
      <c r="AF53" s="207"/>
      <c r="AG53" s="919">
        <f>'Energy NPV'!U106</f>
        <v>408.3347839999999</v>
      </c>
      <c r="AH53" s="207">
        <f>'Energy margins'!$AE$67</f>
        <v>192.1</v>
      </c>
      <c r="AI53" s="207">
        <f t="shared" si="97"/>
        <v>600.43478399999992</v>
      </c>
      <c r="AJ53" s="207">
        <f t="shared" si="80"/>
        <v>1159.9652160000001</v>
      </c>
      <c r="AK53" s="207">
        <f t="shared" si="81"/>
        <v>1335.9152160000003</v>
      </c>
      <c r="AL53" s="208">
        <f t="shared" si="98"/>
        <v>977.48763057644896</v>
      </c>
      <c r="AM53" s="207">
        <f t="shared" si="99"/>
        <v>97.698789252400701</v>
      </c>
      <c r="AN53" s="207">
        <f>AI53/(1+$B$4)^(Z53-1)</f>
        <v>333.40012174951255</v>
      </c>
      <c r="AO53" s="207">
        <f t="shared" si="101"/>
        <v>644.08750882693641</v>
      </c>
      <c r="AP53" s="209">
        <f>AK53/(1+$B$4)^(Z53-1)</f>
        <v>741.78629807933726</v>
      </c>
      <c r="AQ53" s="208">
        <f t="shared" si="142"/>
        <v>18697.485498674778</v>
      </c>
      <c r="AR53" s="207">
        <f t="shared" si="103"/>
        <v>2132.2302686899807</v>
      </c>
      <c r="AS53" s="207">
        <f t="shared" si="103"/>
        <v>7224.3101296559144</v>
      </c>
      <c r="AT53" s="207">
        <f t="shared" si="103"/>
        <v>11473.175369018869</v>
      </c>
      <c r="AU53" s="209">
        <f t="shared" si="103"/>
        <v>13605.405637708851</v>
      </c>
      <c r="AV53" s="197"/>
      <c r="AX53" s="206">
        <f t="shared" si="143"/>
        <v>16</v>
      </c>
      <c r="AY53" s="207">
        <f>'Energy NPV'!$D106*$AZ$34</f>
        <v>8.15</v>
      </c>
      <c r="AZ53" s="207">
        <f>'Energy margins'!$Z$12</f>
        <v>72</v>
      </c>
      <c r="BA53" s="207">
        <f t="shared" si="144"/>
        <v>586.80000000000007</v>
      </c>
      <c r="BB53" s="207">
        <f>'Margins summary'!$W$14</f>
        <v>175.95</v>
      </c>
      <c r="BC53" s="207">
        <f t="shared" si="104"/>
        <v>762.75</v>
      </c>
      <c r="BD53" s="207"/>
      <c r="BE53" s="919">
        <f>'Energy NPV'!U106</f>
        <v>408.3347839999999</v>
      </c>
      <c r="BF53" s="207">
        <f>'Energy margins'!$AE$67</f>
        <v>192.1</v>
      </c>
      <c r="BG53" s="207">
        <f t="shared" si="105"/>
        <v>600.43478399999992</v>
      </c>
      <c r="BH53" s="207">
        <f t="shared" si="82"/>
        <v>-13.634783999999854</v>
      </c>
      <c r="BI53" s="207">
        <f t="shared" si="83"/>
        <v>162.31521600000008</v>
      </c>
      <c r="BJ53" s="208">
        <f t="shared" si="106"/>
        <v>325.82921019214967</v>
      </c>
      <c r="BK53" s="207">
        <f t="shared" si="107"/>
        <v>97.698789252400701</v>
      </c>
      <c r="BL53" s="207">
        <f>BG53/(1+$B$4)^(AX53-1)</f>
        <v>333.40012174951255</v>
      </c>
      <c r="BM53" s="207">
        <f t="shared" si="109"/>
        <v>-7.5709115573628347</v>
      </c>
      <c r="BN53" s="209">
        <f>BI53/(1+$B$4)^(AX53-1)</f>
        <v>90.127877695037824</v>
      </c>
      <c r="BO53" s="208">
        <f t="shared" si="145"/>
        <v>6232.4951662249287</v>
      </c>
      <c r="BP53" s="207">
        <f t="shared" si="111"/>
        <v>2132.2302686899807</v>
      </c>
      <c r="BQ53" s="207">
        <f t="shared" si="112"/>
        <v>7224.3101296559144</v>
      </c>
      <c r="BR53" s="207">
        <f t="shared" si="113"/>
        <v>-991.81496343098604</v>
      </c>
      <c r="BS53" s="209">
        <f t="shared" si="114"/>
        <v>1140.4153052589936</v>
      </c>
      <c r="BT53" s="197"/>
      <c r="BV53" s="206">
        <f t="shared" si="146"/>
        <v>16</v>
      </c>
      <c r="BW53" s="207">
        <f>'Energy NPV'!$D106*$BX$34</f>
        <v>32.6</v>
      </c>
      <c r="BX53" s="207">
        <f>'Energy margins'!$Z$12</f>
        <v>72</v>
      </c>
      <c r="BY53" s="207">
        <f t="shared" si="147"/>
        <v>2347.2000000000003</v>
      </c>
      <c r="BZ53" s="207">
        <f>'Margins summary'!$W$14</f>
        <v>175.95</v>
      </c>
      <c r="CA53" s="207">
        <f t="shared" si="115"/>
        <v>2523.15</v>
      </c>
      <c r="CB53" s="207"/>
      <c r="CC53" s="919">
        <f>'Energy NPV'!U106</f>
        <v>408.3347839999999</v>
      </c>
      <c r="CD53" s="207">
        <f>'Energy margins'!$AE$67</f>
        <v>192.1</v>
      </c>
      <c r="CE53" s="207">
        <f t="shared" si="116"/>
        <v>600.43478399999992</v>
      </c>
      <c r="CF53" s="207">
        <f t="shared" si="84"/>
        <v>1746.7652160000002</v>
      </c>
      <c r="CG53" s="207">
        <f t="shared" si="85"/>
        <v>1922.7152160000001</v>
      </c>
      <c r="CH53" s="208">
        <f t="shared" si="117"/>
        <v>1303.3168407685987</v>
      </c>
      <c r="CI53" s="207">
        <f t="shared" si="118"/>
        <v>97.698789252400701</v>
      </c>
      <c r="CJ53" s="207">
        <f>CE53/(1+$B$4)^(BV53-1)</f>
        <v>333.40012174951255</v>
      </c>
      <c r="CK53" s="207">
        <f t="shared" si="120"/>
        <v>969.91671901908614</v>
      </c>
      <c r="CL53" s="209">
        <f>CG53/(1+$B$4)^(BV53-1)</f>
        <v>1067.6155082714868</v>
      </c>
      <c r="CM53" s="208">
        <f t="shared" si="148"/>
        <v>24929.980664899715</v>
      </c>
      <c r="CN53" s="207">
        <f t="shared" si="122"/>
        <v>2132.2302686899807</v>
      </c>
      <c r="CO53" s="207">
        <f t="shared" si="123"/>
        <v>7224.3101296559144</v>
      </c>
      <c r="CP53" s="207">
        <f t="shared" si="124"/>
        <v>17705.670535243797</v>
      </c>
      <c r="CQ53" s="209">
        <f t="shared" si="125"/>
        <v>19837.900803933775</v>
      </c>
      <c r="CR53" s="197"/>
      <c r="CT53" s="206">
        <f t="shared" si="149"/>
        <v>16</v>
      </c>
      <c r="CU53" s="207">
        <f>'Energy NPV'!$D106*$CV$34</f>
        <v>0</v>
      </c>
      <c r="CV53" s="207">
        <f>'Energy margins'!$Z$12</f>
        <v>72</v>
      </c>
      <c r="CW53" s="207">
        <f t="shared" si="150"/>
        <v>0</v>
      </c>
      <c r="CX53" s="207">
        <f>'Margins summary'!$W$14</f>
        <v>175.95</v>
      </c>
      <c r="CY53" s="207">
        <f t="shared" si="126"/>
        <v>175.95</v>
      </c>
      <c r="CZ53" s="207"/>
      <c r="DA53" s="919">
        <f>'Energy NPV'!U106</f>
        <v>408.3347839999999</v>
      </c>
      <c r="DB53" s="207">
        <f>'Energy margins'!$AE$67</f>
        <v>192.1</v>
      </c>
      <c r="DC53" s="207">
        <f t="shared" si="127"/>
        <v>600.43478399999992</v>
      </c>
      <c r="DD53" s="207">
        <f t="shared" si="86"/>
        <v>-600.43478399999992</v>
      </c>
      <c r="DE53" s="207">
        <f t="shared" si="87"/>
        <v>-424.48478399999993</v>
      </c>
      <c r="DF53" s="208">
        <f t="shared" si="128"/>
        <v>0</v>
      </c>
      <c r="DG53" s="207">
        <f t="shared" si="129"/>
        <v>97.698789252400701</v>
      </c>
      <c r="DH53" s="207">
        <f>DC53/(1+$B$4)^(CT53-1)</f>
        <v>333.40012174951255</v>
      </c>
      <c r="DI53" s="207">
        <f t="shared" si="131"/>
        <v>-333.40012174951255</v>
      </c>
      <c r="DJ53" s="209">
        <f>DE53/(1+$B$4)^(CT53-1)</f>
        <v>-235.70133249711182</v>
      </c>
      <c r="DK53" s="208">
        <f t="shared" si="151"/>
        <v>0</v>
      </c>
      <c r="DL53" s="207">
        <f t="shared" si="133"/>
        <v>2132.2302686899807</v>
      </c>
      <c r="DM53" s="207">
        <f t="shared" si="134"/>
        <v>7224.3101296559144</v>
      </c>
      <c r="DN53" s="207">
        <f t="shared" si="135"/>
        <v>-7224.3101296559144</v>
      </c>
      <c r="DO53" s="209">
        <f t="shared" si="136"/>
        <v>-5092.0798609659341</v>
      </c>
    </row>
    <row r="59" spans="2:129" x14ac:dyDescent="0.3">
      <c r="B59" s="212" t="s">
        <v>299</v>
      </c>
      <c r="C59" s="763" t="s">
        <v>418</v>
      </c>
      <c r="D59" s="269" t="s">
        <v>405</v>
      </c>
      <c r="E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AB59" s="212" t="s">
        <v>299</v>
      </c>
      <c r="AC59" s="763" t="s">
        <v>410</v>
      </c>
      <c r="AD59" s="267" t="s">
        <v>316</v>
      </c>
      <c r="AE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BB59" s="212" t="s">
        <v>299</v>
      </c>
      <c r="BC59" s="763" t="s">
        <v>411</v>
      </c>
      <c r="BD59" s="267" t="s">
        <v>316</v>
      </c>
      <c r="BE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CB59" s="212" t="s">
        <v>299</v>
      </c>
      <c r="CC59" s="763" t="s">
        <v>412</v>
      </c>
      <c r="CD59" s="267" t="s">
        <v>316</v>
      </c>
      <c r="CE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DB59" s="212" t="s">
        <v>299</v>
      </c>
      <c r="DC59" s="763" t="s">
        <v>413</v>
      </c>
      <c r="DD59" s="267" t="s">
        <v>316</v>
      </c>
      <c r="DE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</row>
    <row r="60" spans="2:129" x14ac:dyDescent="0.3">
      <c r="B60" s="203"/>
      <c r="C60" s="64"/>
      <c r="E60" s="158"/>
      <c r="F60" s="158"/>
      <c r="G60" s="158"/>
      <c r="H60" s="758"/>
      <c r="I60" s="758"/>
      <c r="J60" s="758"/>
      <c r="K60" s="148"/>
      <c r="L60" s="148"/>
      <c r="M60" s="758"/>
      <c r="N60" s="148"/>
      <c r="O60" s="148"/>
      <c r="P60" s="1015" t="s">
        <v>275</v>
      </c>
      <c r="Q60" s="1016"/>
      <c r="R60" s="1016"/>
      <c r="S60" s="1016"/>
      <c r="T60" s="1017"/>
      <c r="U60" s="1015" t="s">
        <v>276</v>
      </c>
      <c r="V60" s="1016"/>
      <c r="W60" s="1016"/>
      <c r="X60" s="1016"/>
      <c r="Y60" s="1017"/>
      <c r="Z60" s="987"/>
      <c r="AB60" s="203"/>
      <c r="AC60" s="64"/>
      <c r="AE60" s="158"/>
      <c r="AF60" s="158"/>
      <c r="AG60" s="158"/>
      <c r="AH60" s="758"/>
      <c r="AI60" s="758"/>
      <c r="AJ60" s="758"/>
      <c r="AK60" s="148"/>
      <c r="AL60" s="148"/>
      <c r="AM60" s="758"/>
      <c r="AN60" s="148"/>
      <c r="AO60" s="148"/>
      <c r="AP60" s="1015" t="s">
        <v>275</v>
      </c>
      <c r="AQ60" s="1016"/>
      <c r="AR60" s="1016"/>
      <c r="AS60" s="1016"/>
      <c r="AT60" s="1017"/>
      <c r="AU60" s="1015" t="s">
        <v>276</v>
      </c>
      <c r="AV60" s="1016"/>
      <c r="AW60" s="1016"/>
      <c r="AX60" s="1016"/>
      <c r="AY60" s="1017"/>
      <c r="BB60" s="203"/>
      <c r="BC60" s="64"/>
      <c r="BE60" s="158"/>
      <c r="BF60" s="158"/>
      <c r="BG60" s="158"/>
      <c r="BH60" s="758"/>
      <c r="BI60" s="758"/>
      <c r="BJ60" s="758"/>
      <c r="BK60" s="148"/>
      <c r="BL60" s="148"/>
      <c r="BM60" s="758"/>
      <c r="BN60" s="148"/>
      <c r="BO60" s="148"/>
      <c r="BP60" s="1015" t="s">
        <v>275</v>
      </c>
      <c r="BQ60" s="1016"/>
      <c r="BR60" s="1016"/>
      <c r="BS60" s="1016"/>
      <c r="BT60" s="1017"/>
      <c r="BU60" s="1015" t="s">
        <v>276</v>
      </c>
      <c r="BV60" s="1016"/>
      <c r="BW60" s="1016"/>
      <c r="BX60" s="1016"/>
      <c r="BY60" s="1017"/>
      <c r="CB60" s="203"/>
      <c r="CC60" s="64"/>
      <c r="CE60" s="158"/>
      <c r="CF60" s="158"/>
      <c r="CG60" s="158"/>
      <c r="CH60" s="758"/>
      <c r="CI60" s="758"/>
      <c r="CJ60" s="758"/>
      <c r="CK60" s="148"/>
      <c r="CL60" s="148"/>
      <c r="CM60" s="758"/>
      <c r="CN60" s="148"/>
      <c r="CO60" s="148"/>
      <c r="CP60" s="1015" t="s">
        <v>275</v>
      </c>
      <c r="CQ60" s="1016"/>
      <c r="CR60" s="1016"/>
      <c r="CS60" s="1016"/>
      <c r="CT60" s="1017"/>
      <c r="CU60" s="1015" t="s">
        <v>276</v>
      </c>
      <c r="CV60" s="1016"/>
      <c r="CW60" s="1016"/>
      <c r="CX60" s="1016"/>
      <c r="CY60" s="1017"/>
      <c r="DB60" s="203"/>
      <c r="DC60" s="64"/>
      <c r="DE60" s="158"/>
      <c r="DF60" s="158"/>
      <c r="DG60" s="158"/>
      <c r="DH60" s="758"/>
      <c r="DI60" s="758"/>
      <c r="DJ60" s="758"/>
      <c r="DK60" s="148"/>
      <c r="DL60" s="148"/>
      <c r="DM60" s="758"/>
      <c r="DN60" s="148"/>
      <c r="DO60" s="148"/>
      <c r="DP60" s="1015" t="s">
        <v>275</v>
      </c>
      <c r="DQ60" s="1016"/>
      <c r="DR60" s="1016"/>
      <c r="DS60" s="1016"/>
      <c r="DT60" s="1017"/>
      <c r="DU60" s="1015" t="s">
        <v>276</v>
      </c>
      <c r="DV60" s="1016"/>
      <c r="DW60" s="1016"/>
      <c r="DX60" s="1016"/>
      <c r="DY60" s="1017"/>
    </row>
    <row r="61" spans="2:129" ht="51" x14ac:dyDescent="0.3">
      <c r="B61" s="204" t="s">
        <v>277</v>
      </c>
      <c r="C61" s="204" t="s">
        <v>278</v>
      </c>
      <c r="D61" s="205" t="s">
        <v>303</v>
      </c>
      <c r="E61" s="205" t="s">
        <v>304</v>
      </c>
      <c r="F61" s="205" t="s">
        <v>664</v>
      </c>
      <c r="G61" s="205" t="s">
        <v>665</v>
      </c>
      <c r="H61" s="171" t="s">
        <v>675</v>
      </c>
      <c r="I61" s="171" t="s">
        <v>666</v>
      </c>
      <c r="J61" s="171" t="s">
        <v>676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283</v>
      </c>
      <c r="N61" s="171" t="s">
        <v>677</v>
      </c>
      <c r="O61" s="171" t="s">
        <v>678</v>
      </c>
      <c r="P61" s="195" t="s">
        <v>286</v>
      </c>
      <c r="Q61" s="171" t="s">
        <v>679</v>
      </c>
      <c r="R61" s="171" t="s">
        <v>288</v>
      </c>
      <c r="S61" s="171" t="s">
        <v>680</v>
      </c>
      <c r="T61" s="198" t="s">
        <v>290</v>
      </c>
      <c r="U61" s="195" t="s">
        <v>291</v>
      </c>
      <c r="V61" s="171" t="s">
        <v>681</v>
      </c>
      <c r="W61" s="171" t="s">
        <v>293</v>
      </c>
      <c r="X61" s="171" t="s">
        <v>682</v>
      </c>
      <c r="Y61" s="198" t="s">
        <v>295</v>
      </c>
      <c r="Z61" s="171"/>
      <c r="AB61" s="204" t="s">
        <v>277</v>
      </c>
      <c r="AC61" s="204" t="s">
        <v>278</v>
      </c>
      <c r="AD61" s="205" t="s">
        <v>303</v>
      </c>
      <c r="AE61" s="205" t="s">
        <v>304</v>
      </c>
      <c r="AF61" s="205" t="s">
        <v>664</v>
      </c>
      <c r="AG61" s="205" t="s">
        <v>665</v>
      </c>
      <c r="AH61" s="171" t="s">
        <v>675</v>
      </c>
      <c r="AI61" s="171" t="s">
        <v>666</v>
      </c>
      <c r="AJ61" s="171" t="s">
        <v>676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283</v>
      </c>
      <c r="AN61" s="171" t="s">
        <v>677</v>
      </c>
      <c r="AO61" s="171" t="s">
        <v>678</v>
      </c>
      <c r="AP61" s="195" t="s">
        <v>286</v>
      </c>
      <c r="AQ61" s="171" t="s">
        <v>679</v>
      </c>
      <c r="AR61" s="171" t="s">
        <v>288</v>
      </c>
      <c r="AS61" s="171" t="s">
        <v>680</v>
      </c>
      <c r="AT61" s="198" t="s">
        <v>290</v>
      </c>
      <c r="AU61" s="195" t="s">
        <v>291</v>
      </c>
      <c r="AV61" s="171" t="s">
        <v>681</v>
      </c>
      <c r="AW61" s="171" t="s">
        <v>293</v>
      </c>
      <c r="AX61" s="171" t="s">
        <v>682</v>
      </c>
      <c r="AY61" s="198" t="s">
        <v>295</v>
      </c>
      <c r="BB61" s="204" t="s">
        <v>277</v>
      </c>
      <c r="BC61" s="204" t="s">
        <v>278</v>
      </c>
      <c r="BD61" s="205" t="s">
        <v>303</v>
      </c>
      <c r="BE61" s="205" t="s">
        <v>304</v>
      </c>
      <c r="BF61" s="205" t="s">
        <v>664</v>
      </c>
      <c r="BG61" s="205" t="s">
        <v>665</v>
      </c>
      <c r="BH61" s="171" t="s">
        <v>675</v>
      </c>
      <c r="BI61" s="171" t="s">
        <v>666</v>
      </c>
      <c r="BJ61" s="171" t="s">
        <v>676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283</v>
      </c>
      <c r="BN61" s="171" t="s">
        <v>677</v>
      </c>
      <c r="BO61" s="171" t="s">
        <v>678</v>
      </c>
      <c r="BP61" s="195" t="s">
        <v>286</v>
      </c>
      <c r="BQ61" s="171" t="s">
        <v>679</v>
      </c>
      <c r="BR61" s="171" t="s">
        <v>288</v>
      </c>
      <c r="BS61" s="171" t="s">
        <v>680</v>
      </c>
      <c r="BT61" s="198" t="s">
        <v>290</v>
      </c>
      <c r="BU61" s="195" t="s">
        <v>291</v>
      </c>
      <c r="BV61" s="171" t="s">
        <v>681</v>
      </c>
      <c r="BW61" s="171" t="s">
        <v>293</v>
      </c>
      <c r="BX61" s="171" t="s">
        <v>682</v>
      </c>
      <c r="BY61" s="198" t="s">
        <v>295</v>
      </c>
      <c r="CB61" s="204" t="s">
        <v>277</v>
      </c>
      <c r="CC61" s="204" t="s">
        <v>278</v>
      </c>
      <c r="CD61" s="205" t="s">
        <v>303</v>
      </c>
      <c r="CE61" s="205" t="s">
        <v>304</v>
      </c>
      <c r="CF61" s="205" t="s">
        <v>664</v>
      </c>
      <c r="CG61" s="205" t="s">
        <v>665</v>
      </c>
      <c r="CH61" s="171" t="s">
        <v>675</v>
      </c>
      <c r="CI61" s="171" t="s">
        <v>666</v>
      </c>
      <c r="CJ61" s="171" t="s">
        <v>676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283</v>
      </c>
      <c r="CN61" s="171" t="s">
        <v>677</v>
      </c>
      <c r="CO61" s="171" t="s">
        <v>678</v>
      </c>
      <c r="CP61" s="195" t="s">
        <v>286</v>
      </c>
      <c r="CQ61" s="171" t="s">
        <v>679</v>
      </c>
      <c r="CR61" s="171" t="s">
        <v>288</v>
      </c>
      <c r="CS61" s="171" t="s">
        <v>680</v>
      </c>
      <c r="CT61" s="198" t="s">
        <v>290</v>
      </c>
      <c r="CU61" s="195" t="s">
        <v>291</v>
      </c>
      <c r="CV61" s="171" t="s">
        <v>681</v>
      </c>
      <c r="CW61" s="171" t="s">
        <v>293</v>
      </c>
      <c r="CX61" s="171" t="s">
        <v>682</v>
      </c>
      <c r="CY61" s="198" t="s">
        <v>295</v>
      </c>
      <c r="DB61" s="204" t="s">
        <v>277</v>
      </c>
      <c r="DC61" s="204" t="s">
        <v>278</v>
      </c>
      <c r="DD61" s="205" t="s">
        <v>303</v>
      </c>
      <c r="DE61" s="205" t="s">
        <v>304</v>
      </c>
      <c r="DF61" s="205" t="s">
        <v>664</v>
      </c>
      <c r="DG61" s="205" t="s">
        <v>665</v>
      </c>
      <c r="DH61" s="171" t="s">
        <v>675</v>
      </c>
      <c r="DI61" s="171" t="s">
        <v>666</v>
      </c>
      <c r="DJ61" s="171" t="s">
        <v>676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283</v>
      </c>
      <c r="DN61" s="171" t="s">
        <v>677</v>
      </c>
      <c r="DO61" s="171" t="s">
        <v>678</v>
      </c>
      <c r="DP61" s="195" t="s">
        <v>286</v>
      </c>
      <c r="DQ61" s="171" t="s">
        <v>679</v>
      </c>
      <c r="DR61" s="171" t="s">
        <v>288</v>
      </c>
      <c r="DS61" s="171" t="s">
        <v>680</v>
      </c>
      <c r="DT61" s="198" t="s">
        <v>290</v>
      </c>
      <c r="DU61" s="195" t="s">
        <v>291</v>
      </c>
      <c r="DV61" s="171" t="s">
        <v>681</v>
      </c>
      <c r="DW61" s="171" t="s">
        <v>293</v>
      </c>
      <c r="DX61" s="171" t="s">
        <v>682</v>
      </c>
      <c r="DY61" s="198" t="s">
        <v>295</v>
      </c>
    </row>
    <row r="62" spans="2:129" x14ac:dyDescent="0.3">
      <c r="B62" s="173"/>
      <c r="C62" s="55"/>
      <c r="D62" s="226" t="s">
        <v>341</v>
      </c>
      <c r="E62" s="226" t="s">
        <v>601</v>
      </c>
      <c r="F62" s="226" t="s">
        <v>341</v>
      </c>
      <c r="G62" s="226" t="s">
        <v>601</v>
      </c>
      <c r="H62" s="201" t="s">
        <v>599</v>
      </c>
      <c r="I62" s="201" t="s">
        <v>599</v>
      </c>
      <c r="J62" s="201" t="s">
        <v>599</v>
      </c>
      <c r="K62" s="201" t="s">
        <v>599</v>
      </c>
      <c r="L62" s="201" t="s">
        <v>599</v>
      </c>
      <c r="M62" s="201" t="s">
        <v>599</v>
      </c>
      <c r="N62" s="201" t="s">
        <v>599</v>
      </c>
      <c r="O62" s="202" t="s">
        <v>599</v>
      </c>
      <c r="P62" s="201" t="s">
        <v>599</v>
      </c>
      <c r="Q62" s="201" t="s">
        <v>599</v>
      </c>
      <c r="R62" s="201" t="s">
        <v>599</v>
      </c>
      <c r="S62" s="201" t="s">
        <v>599</v>
      </c>
      <c r="T62" s="202" t="s">
        <v>599</v>
      </c>
      <c r="U62" s="201" t="s">
        <v>599</v>
      </c>
      <c r="V62" s="201" t="s">
        <v>599</v>
      </c>
      <c r="W62" s="201" t="s">
        <v>599</v>
      </c>
      <c r="X62" s="201" t="s">
        <v>599</v>
      </c>
      <c r="Y62" s="202" t="s">
        <v>599</v>
      </c>
      <c r="Z62" s="988"/>
      <c r="AB62" s="173"/>
      <c r="AC62" s="55"/>
      <c r="AD62" s="226" t="s">
        <v>341</v>
      </c>
      <c r="AE62" s="226" t="s">
        <v>601</v>
      </c>
      <c r="AF62" s="226" t="s">
        <v>341</v>
      </c>
      <c r="AG62" s="226" t="s">
        <v>601</v>
      </c>
      <c r="AH62" s="201" t="s">
        <v>599</v>
      </c>
      <c r="AI62" s="201" t="s">
        <v>599</v>
      </c>
      <c r="AJ62" s="201" t="s">
        <v>599</v>
      </c>
      <c r="AK62" s="201" t="s">
        <v>599</v>
      </c>
      <c r="AL62" s="201" t="s">
        <v>599</v>
      </c>
      <c r="AM62" s="201" t="s">
        <v>599</v>
      </c>
      <c r="AN62" s="201" t="s">
        <v>599</v>
      </c>
      <c r="AO62" s="202" t="s">
        <v>599</v>
      </c>
      <c r="AP62" s="201" t="s">
        <v>599</v>
      </c>
      <c r="AQ62" s="201" t="s">
        <v>599</v>
      </c>
      <c r="AR62" s="201" t="s">
        <v>599</v>
      </c>
      <c r="AS62" s="201" t="s">
        <v>599</v>
      </c>
      <c r="AT62" s="202" t="s">
        <v>599</v>
      </c>
      <c r="AU62" s="201" t="s">
        <v>599</v>
      </c>
      <c r="AV62" s="201" t="s">
        <v>599</v>
      </c>
      <c r="AW62" s="201" t="s">
        <v>599</v>
      </c>
      <c r="AX62" s="201" t="s">
        <v>599</v>
      </c>
      <c r="AY62" s="202" t="s">
        <v>599</v>
      </c>
      <c r="BB62" s="173"/>
      <c r="BC62" s="55"/>
      <c r="BD62" s="226" t="s">
        <v>341</v>
      </c>
      <c r="BE62" s="226" t="s">
        <v>601</v>
      </c>
      <c r="BF62" s="226" t="s">
        <v>341</v>
      </c>
      <c r="BG62" s="226" t="s">
        <v>601</v>
      </c>
      <c r="BH62" s="201" t="s">
        <v>599</v>
      </c>
      <c r="BI62" s="201" t="s">
        <v>599</v>
      </c>
      <c r="BJ62" s="201" t="s">
        <v>599</v>
      </c>
      <c r="BK62" s="201" t="s">
        <v>599</v>
      </c>
      <c r="BL62" s="201" t="s">
        <v>599</v>
      </c>
      <c r="BM62" s="201" t="s">
        <v>599</v>
      </c>
      <c r="BN62" s="201" t="s">
        <v>599</v>
      </c>
      <c r="BO62" s="202" t="s">
        <v>599</v>
      </c>
      <c r="BP62" s="201" t="s">
        <v>599</v>
      </c>
      <c r="BQ62" s="201" t="s">
        <v>599</v>
      </c>
      <c r="BR62" s="201" t="s">
        <v>599</v>
      </c>
      <c r="BS62" s="201" t="s">
        <v>599</v>
      </c>
      <c r="BT62" s="202" t="s">
        <v>599</v>
      </c>
      <c r="BU62" s="201" t="s">
        <v>599</v>
      </c>
      <c r="BV62" s="201" t="s">
        <v>599</v>
      </c>
      <c r="BW62" s="201" t="s">
        <v>599</v>
      </c>
      <c r="BX62" s="201" t="s">
        <v>599</v>
      </c>
      <c r="BY62" s="202" t="s">
        <v>599</v>
      </c>
      <c r="CB62" s="173"/>
      <c r="CC62" s="55"/>
      <c r="CD62" s="226" t="s">
        <v>341</v>
      </c>
      <c r="CE62" s="226" t="s">
        <v>601</v>
      </c>
      <c r="CF62" s="226" t="s">
        <v>341</v>
      </c>
      <c r="CG62" s="226" t="s">
        <v>601</v>
      </c>
      <c r="CH62" s="201" t="s">
        <v>599</v>
      </c>
      <c r="CI62" s="201" t="s">
        <v>599</v>
      </c>
      <c r="CJ62" s="201" t="s">
        <v>599</v>
      </c>
      <c r="CK62" s="201" t="s">
        <v>599</v>
      </c>
      <c r="CL62" s="201" t="s">
        <v>599</v>
      </c>
      <c r="CM62" s="201" t="s">
        <v>599</v>
      </c>
      <c r="CN62" s="201" t="s">
        <v>599</v>
      </c>
      <c r="CO62" s="202" t="s">
        <v>599</v>
      </c>
      <c r="CP62" s="201" t="s">
        <v>599</v>
      </c>
      <c r="CQ62" s="201" t="s">
        <v>599</v>
      </c>
      <c r="CR62" s="201" t="s">
        <v>599</v>
      </c>
      <c r="CS62" s="201" t="s">
        <v>599</v>
      </c>
      <c r="CT62" s="202" t="s">
        <v>599</v>
      </c>
      <c r="CU62" s="201" t="s">
        <v>599</v>
      </c>
      <c r="CV62" s="201" t="s">
        <v>599</v>
      </c>
      <c r="CW62" s="201" t="s">
        <v>599</v>
      </c>
      <c r="CX62" s="201" t="s">
        <v>599</v>
      </c>
      <c r="CY62" s="202" t="s">
        <v>599</v>
      </c>
      <c r="DB62" s="173"/>
      <c r="DC62" s="55"/>
      <c r="DD62" s="226" t="s">
        <v>341</v>
      </c>
      <c r="DE62" s="226" t="s">
        <v>601</v>
      </c>
      <c r="DF62" s="226" t="s">
        <v>341</v>
      </c>
      <c r="DG62" s="226" t="s">
        <v>601</v>
      </c>
      <c r="DH62" s="201" t="s">
        <v>599</v>
      </c>
      <c r="DI62" s="201" t="s">
        <v>599</v>
      </c>
      <c r="DJ62" s="201" t="s">
        <v>599</v>
      </c>
      <c r="DK62" s="201" t="s">
        <v>599</v>
      </c>
      <c r="DL62" s="201" t="s">
        <v>599</v>
      </c>
      <c r="DM62" s="201" t="s">
        <v>599</v>
      </c>
      <c r="DN62" s="201" t="s">
        <v>599</v>
      </c>
      <c r="DO62" s="202" t="s">
        <v>599</v>
      </c>
      <c r="DP62" s="201" t="s">
        <v>599</v>
      </c>
      <c r="DQ62" s="201" t="s">
        <v>599</v>
      </c>
      <c r="DR62" s="201" t="s">
        <v>599</v>
      </c>
      <c r="DS62" s="201" t="s">
        <v>599</v>
      </c>
      <c r="DT62" s="202" t="s">
        <v>599</v>
      </c>
      <c r="DU62" s="201" t="s">
        <v>599</v>
      </c>
      <c r="DV62" s="201" t="s">
        <v>599</v>
      </c>
      <c r="DW62" s="201" t="s">
        <v>599</v>
      </c>
      <c r="DX62" s="201" t="s">
        <v>599</v>
      </c>
      <c r="DY62" s="202" t="s">
        <v>599</v>
      </c>
    </row>
    <row r="63" spans="2:129" x14ac:dyDescent="0.3">
      <c r="B63" s="204">
        <v>1</v>
      </c>
      <c r="C63" s="219" t="s">
        <v>4</v>
      </c>
      <c r="D63" s="760">
        <f>'Arable Inputs'!$D$18</f>
        <v>7.45</v>
      </c>
      <c r="E63" s="760">
        <f>'Arable Inputs'!$D$25</f>
        <v>193.7</v>
      </c>
      <c r="F63" s="760">
        <f>'Arable Inputs'!$D$19</f>
        <v>3.9</v>
      </c>
      <c r="G63" s="760">
        <f>'Arable Inputs'!$D$26</f>
        <v>73.449999999999989</v>
      </c>
      <c r="H63" s="762">
        <f>D63*E63+F63*G63</f>
        <v>1729.52</v>
      </c>
      <c r="I63" s="197">
        <f>'Arable NPV'!$E143</f>
        <v>175.95</v>
      </c>
      <c r="J63" s="197">
        <f>H63+I63</f>
        <v>1905.47</v>
      </c>
      <c r="K63" s="197">
        <f>'Arable NPV'!$G143</f>
        <v>671.92799999999988</v>
      </c>
      <c r="L63" s="197">
        <f>'Arable NPV'!$H143</f>
        <v>969.47373599999992</v>
      </c>
      <c r="M63" s="197">
        <f>K63+L63</f>
        <v>1641.4017359999998</v>
      </c>
      <c r="N63" s="197">
        <f>H63-M63</f>
        <v>88.118264000000181</v>
      </c>
      <c r="O63" s="197">
        <f>J63-M63</f>
        <v>264.06826400000023</v>
      </c>
      <c r="P63" s="1018">
        <f>H63/(1+$B$4)^(B63-1)</f>
        <v>1729.52</v>
      </c>
      <c r="Q63" s="213">
        <f>I63/(1+$B$4)^(B63-1)</f>
        <v>175.95</v>
      </c>
      <c r="R63" s="213">
        <f>M63/(1+$B$4)^(B63-1)</f>
        <v>1641.4017359999998</v>
      </c>
      <c r="S63" s="213">
        <f>N63/(1+$B$4)^(B63-1)</f>
        <v>88.118264000000181</v>
      </c>
      <c r="T63" s="929">
        <f>O63/(1+$B$4)^(B63-1)</f>
        <v>264.06826400000023</v>
      </c>
      <c r="U63" s="196">
        <f>P63</f>
        <v>1729.52</v>
      </c>
      <c r="V63" s="197">
        <f>Q63</f>
        <v>175.95</v>
      </c>
      <c r="W63" s="197">
        <f>R63</f>
        <v>1641.4017359999998</v>
      </c>
      <c r="X63" s="197">
        <f>S63</f>
        <v>88.118264000000181</v>
      </c>
      <c r="Y63" s="199">
        <f>T63</f>
        <v>264.06826400000023</v>
      </c>
      <c r="Z63" s="197"/>
      <c r="AB63" s="204">
        <v>1</v>
      </c>
      <c r="AC63" s="219" t="s">
        <v>4</v>
      </c>
      <c r="AD63" s="760">
        <f>'Arable Inputs'!$D$18+0.5*'Arable Inputs'!$D$18</f>
        <v>11.175000000000001</v>
      </c>
      <c r="AE63" s="760">
        <f>'Arable Inputs'!$D$25</f>
        <v>193.7</v>
      </c>
      <c r="AF63" s="760">
        <f>'Arable Inputs'!$D$19+0.5*'Arable Inputs'!$D$19</f>
        <v>5.85</v>
      </c>
      <c r="AG63" s="760">
        <f>'Arable Inputs'!$D$26</f>
        <v>73.449999999999989</v>
      </c>
      <c r="AH63" s="762">
        <f>AD63*AE63+AF63*AG63</f>
        <v>2594.2799999999997</v>
      </c>
      <c r="AI63" s="197">
        <f>'Arable NPV'!$E143</f>
        <v>175.95</v>
      </c>
      <c r="AJ63" s="197">
        <f>AH63+AI63</f>
        <v>2770.2299999999996</v>
      </c>
      <c r="AK63" s="197">
        <f>'Arable NPV'!$G143</f>
        <v>671.92799999999988</v>
      </c>
      <c r="AL63" s="197">
        <f>'Arable NPV'!$H143</f>
        <v>969.47373599999992</v>
      </c>
      <c r="AM63" s="197">
        <f>AK63+AL63</f>
        <v>1641.4017359999998</v>
      </c>
      <c r="AN63" s="197">
        <f>AH63-AM63</f>
        <v>952.87826399999994</v>
      </c>
      <c r="AO63" s="197">
        <f>AJ63-AM63</f>
        <v>1128.8282639999998</v>
      </c>
      <c r="AP63" s="1018">
        <f>AH63/(1+$B$4)^(AB63-1)</f>
        <v>2594.2799999999997</v>
      </c>
      <c r="AQ63" s="213">
        <f>AI63/(1+$B$4)^(AB63-1)</f>
        <v>175.95</v>
      </c>
      <c r="AR63" s="213">
        <f>AM63/(1+$B$4)^(AB63-1)</f>
        <v>1641.4017359999998</v>
      </c>
      <c r="AS63" s="213">
        <f>AN63/(1+$B$4)^(AB63-1)</f>
        <v>952.87826399999994</v>
      </c>
      <c r="AT63" s="929">
        <f>AO63/(1+$B$4)^(AB63-1)</f>
        <v>1128.8282639999998</v>
      </c>
      <c r="AU63" s="196">
        <f>AP63</f>
        <v>2594.2799999999997</v>
      </c>
      <c r="AV63" s="197">
        <f>AQ63</f>
        <v>175.95</v>
      </c>
      <c r="AW63" s="197">
        <f>AR63</f>
        <v>1641.4017359999998</v>
      </c>
      <c r="AX63" s="197">
        <f>AS63</f>
        <v>952.87826399999994</v>
      </c>
      <c r="AY63" s="199">
        <f>AT63</f>
        <v>1128.8282639999998</v>
      </c>
      <c r="BB63" s="204">
        <v>1</v>
      </c>
      <c r="BC63" s="219" t="s">
        <v>4</v>
      </c>
      <c r="BD63" s="760">
        <f>'Arable Inputs'!$D$18-0.5*'Arable Inputs'!$D$18</f>
        <v>3.7250000000000001</v>
      </c>
      <c r="BE63" s="760">
        <f>'Arable Inputs'!$D$25</f>
        <v>193.7</v>
      </c>
      <c r="BF63" s="760">
        <f>'Arable Inputs'!$D$19-0.5*'Arable Inputs'!$D$19</f>
        <v>1.95</v>
      </c>
      <c r="BG63" s="760">
        <f>'Arable Inputs'!$D$26</f>
        <v>73.449999999999989</v>
      </c>
      <c r="BH63" s="762">
        <f>BD63*BE63+BF63*BG63</f>
        <v>864.76</v>
      </c>
      <c r="BI63" s="197">
        <f>'Arable NPV'!$E143</f>
        <v>175.95</v>
      </c>
      <c r="BJ63" s="197">
        <f>BH63+BI63</f>
        <v>1040.71</v>
      </c>
      <c r="BK63" s="197">
        <f>'Arable NPV'!$G143</f>
        <v>671.92799999999988</v>
      </c>
      <c r="BL63" s="197">
        <f>'Arable NPV'!$H143</f>
        <v>969.47373599999992</v>
      </c>
      <c r="BM63" s="197">
        <f>BK63+BL63</f>
        <v>1641.4017359999998</v>
      </c>
      <c r="BN63" s="197">
        <f>BH63-BM63</f>
        <v>-776.64173599999981</v>
      </c>
      <c r="BO63" s="197">
        <f>BJ63-BM63</f>
        <v>-600.69173599999976</v>
      </c>
      <c r="BP63" s="1018">
        <f>BH63/(1+$B$4)^(BB63-1)</f>
        <v>864.76</v>
      </c>
      <c r="BQ63" s="213">
        <f>BI63/(1+$B$4)^(BB63-1)</f>
        <v>175.95</v>
      </c>
      <c r="BR63" s="213">
        <f>BM63/(1+$B$4)^(BB63-1)</f>
        <v>1641.4017359999998</v>
      </c>
      <c r="BS63" s="213">
        <f>BN63/(1+$B$4)^(BB63-1)</f>
        <v>-776.64173599999981</v>
      </c>
      <c r="BT63" s="929">
        <f>BO63/(1+$B$4)^(BB63-1)</f>
        <v>-600.69173599999976</v>
      </c>
      <c r="BU63" s="196">
        <f>BP63</f>
        <v>864.76</v>
      </c>
      <c r="BV63" s="197">
        <f>BQ63</f>
        <v>175.95</v>
      </c>
      <c r="BW63" s="197">
        <f>BR63</f>
        <v>1641.4017359999998</v>
      </c>
      <c r="BX63" s="197">
        <f>BS63</f>
        <v>-776.64173599999981</v>
      </c>
      <c r="BY63" s="199">
        <f>BT63</f>
        <v>-600.69173599999976</v>
      </c>
      <c r="CB63" s="204">
        <v>1</v>
      </c>
      <c r="CC63" s="219" t="s">
        <v>4</v>
      </c>
      <c r="CD63" s="760">
        <f>'Arable Inputs'!$D$18+'Arable Inputs'!$D$18</f>
        <v>14.9</v>
      </c>
      <c r="CE63" s="760">
        <f>'Arable Inputs'!$D$25</f>
        <v>193.7</v>
      </c>
      <c r="CF63" s="760">
        <f>'Arable Inputs'!$D$19+'Arable Inputs'!$D$19</f>
        <v>7.8</v>
      </c>
      <c r="CG63" s="760">
        <f>'Arable Inputs'!$D$26</f>
        <v>73.449999999999989</v>
      </c>
      <c r="CH63" s="762">
        <f>CD63*CE63+CF63*CG63</f>
        <v>3459.04</v>
      </c>
      <c r="CI63" s="197">
        <f>'Arable NPV'!$E143</f>
        <v>175.95</v>
      </c>
      <c r="CJ63" s="197">
        <f>CH63+CI63</f>
        <v>3634.99</v>
      </c>
      <c r="CK63" s="197">
        <f>'Arable NPV'!$G143</f>
        <v>671.92799999999988</v>
      </c>
      <c r="CL63" s="197">
        <f>'Arable NPV'!$H143</f>
        <v>969.47373599999992</v>
      </c>
      <c r="CM63" s="197">
        <f>CK63+CL63</f>
        <v>1641.4017359999998</v>
      </c>
      <c r="CN63" s="197">
        <f>CH63-CM63</f>
        <v>1817.6382640000002</v>
      </c>
      <c r="CO63" s="197">
        <f>CJ63-CM63</f>
        <v>1993.588264</v>
      </c>
      <c r="CP63" s="1018">
        <f>CH63/(1+$B$4)^(CB63-1)</f>
        <v>3459.04</v>
      </c>
      <c r="CQ63" s="213">
        <f>CI63/(1+$B$4)^(CB63-1)</f>
        <v>175.95</v>
      </c>
      <c r="CR63" s="213">
        <f>CM63/(1+$B$4)^(CB63-1)</f>
        <v>1641.4017359999998</v>
      </c>
      <c r="CS63" s="213">
        <f>CN63/(1+$B$4)^(CB63-1)</f>
        <v>1817.6382640000002</v>
      </c>
      <c r="CT63" s="929">
        <f>CO63/(1+$B$4)^(CB63-1)</f>
        <v>1993.588264</v>
      </c>
      <c r="CU63" s="196">
        <f>CP63</f>
        <v>3459.04</v>
      </c>
      <c r="CV63" s="197">
        <f>CQ63</f>
        <v>175.95</v>
      </c>
      <c r="CW63" s="197">
        <f>CR63</f>
        <v>1641.4017359999998</v>
      </c>
      <c r="CX63" s="197">
        <f>CS63</f>
        <v>1817.6382640000002</v>
      </c>
      <c r="CY63" s="199">
        <f>CT63</f>
        <v>1993.588264</v>
      </c>
      <c r="DB63" s="204">
        <v>1</v>
      </c>
      <c r="DC63" s="219" t="s">
        <v>4</v>
      </c>
      <c r="DD63" s="760">
        <f>'Arable Inputs'!$D$18-'Arable Inputs'!$D$18</f>
        <v>0</v>
      </c>
      <c r="DE63" s="760">
        <f>'Arable Inputs'!$D$25</f>
        <v>193.7</v>
      </c>
      <c r="DF63" s="760">
        <f>'Arable Inputs'!$D$19-'Arable Inputs'!$D$19</f>
        <v>0</v>
      </c>
      <c r="DG63" s="760">
        <f>'Arable Inputs'!$D$26</f>
        <v>73.449999999999989</v>
      </c>
      <c r="DH63" s="762">
        <f>DD63*DE63+DF63*DG63</f>
        <v>0</v>
      </c>
      <c r="DI63" s="197">
        <f>'Arable NPV'!$E143</f>
        <v>175.95</v>
      </c>
      <c r="DJ63" s="197">
        <f>DH63+DI63</f>
        <v>175.95</v>
      </c>
      <c r="DK63" s="197">
        <f>'Arable NPV'!$G143</f>
        <v>671.92799999999988</v>
      </c>
      <c r="DL63" s="197">
        <f>'Arable NPV'!$H143</f>
        <v>969.47373599999992</v>
      </c>
      <c r="DM63" s="197">
        <f>DK63+DL63</f>
        <v>1641.4017359999998</v>
      </c>
      <c r="DN63" s="197">
        <f>DH63-DM63</f>
        <v>-1641.4017359999998</v>
      </c>
      <c r="DO63" s="197">
        <f>DJ63-DM63</f>
        <v>-1465.4517359999998</v>
      </c>
      <c r="DP63" s="1018">
        <f>DH63/(1+$B$4)^(DB63-1)</f>
        <v>0</v>
      </c>
      <c r="DQ63" s="213">
        <f>DI63/(1+$B$4)^(DB63-1)</f>
        <v>175.95</v>
      </c>
      <c r="DR63" s="213">
        <f>DM63/(1+$B$4)^(DB63-1)</f>
        <v>1641.4017359999998</v>
      </c>
      <c r="DS63" s="213">
        <f>DN63/(1+$B$4)^(DB63-1)</f>
        <v>-1641.4017359999998</v>
      </c>
      <c r="DT63" s="929">
        <f>DO63/(1+$B$4)^(DB63-1)</f>
        <v>-1465.4517359999998</v>
      </c>
      <c r="DU63" s="196">
        <f>DP63</f>
        <v>0</v>
      </c>
      <c r="DV63" s="197">
        <f>DQ63</f>
        <v>175.95</v>
      </c>
      <c r="DW63" s="197">
        <f>DR63</f>
        <v>1641.4017359999998</v>
      </c>
      <c r="DX63" s="197">
        <f>DS63</f>
        <v>-1641.4017359999998</v>
      </c>
      <c r="DY63" s="199">
        <f>DT63</f>
        <v>-1465.4517359999998</v>
      </c>
    </row>
    <row r="64" spans="2:129" x14ac:dyDescent="0.3">
      <c r="B64" s="204">
        <v>2</v>
      </c>
      <c r="C64" s="219" t="s">
        <v>7</v>
      </c>
      <c r="D64" s="760">
        <f>'Arable Inputs'!$G$18</f>
        <v>63.1</v>
      </c>
      <c r="E64" s="760">
        <f>'Arable Inputs'!$G$25</f>
        <v>26</v>
      </c>
      <c r="H64" s="762">
        <f>D64*E64</f>
        <v>1640.6000000000001</v>
      </c>
      <c r="I64" s="197">
        <f>'Arable NPV'!$E144</f>
        <v>175.95</v>
      </c>
      <c r="J64" s="197">
        <f t="shared" ref="J64:J78" si="152">H64+I64</f>
        <v>1816.5500000000002</v>
      </c>
      <c r="K64" s="197">
        <f>'Arable NPV'!$G144</f>
        <v>819.30399999999986</v>
      </c>
      <c r="L64" s="197">
        <f>'Arable NPV'!$H144</f>
        <v>996.95456799999988</v>
      </c>
      <c r="M64" s="197">
        <f t="shared" ref="M64:M78" si="153">K64+L64</f>
        <v>1816.2585679999997</v>
      </c>
      <c r="N64" s="197">
        <f t="shared" ref="N64:N78" si="154">H64-M64</f>
        <v>-175.6585679999996</v>
      </c>
      <c r="O64" s="197">
        <f t="shared" ref="O64:O78" si="155">J64-M64</f>
        <v>0.29143200000044089</v>
      </c>
      <c r="P64" s="196">
        <f t="shared" ref="P64:P77" si="156">H64/(1+$B$4)^(B64-1)</f>
        <v>1577.5</v>
      </c>
      <c r="Q64" s="197">
        <f t="shared" ref="Q64:Q77" si="157">I64/(1+$B$4)^(B64-1)</f>
        <v>169.18269230769229</v>
      </c>
      <c r="R64" s="197">
        <f t="shared" ref="R64:R77" si="158">M64/(1+$B$4)^(B64-1)</f>
        <v>1746.4024692307689</v>
      </c>
      <c r="S64" s="197">
        <f t="shared" ref="S64:S78" si="159">N64/(1+$B$4)^(B64-1)</f>
        <v>-168.90246923076884</v>
      </c>
      <c r="T64" s="199">
        <f t="shared" ref="T64:T77" si="160">O64/(1+$B$4)^(B64-1)</f>
        <v>0.28022307692350085</v>
      </c>
      <c r="U64" s="196">
        <f t="shared" ref="U64:Y78" si="161">U63+P64</f>
        <v>3307.02</v>
      </c>
      <c r="V64" s="197">
        <f t="shared" si="161"/>
        <v>345.13269230769231</v>
      </c>
      <c r="W64" s="197">
        <f t="shared" si="161"/>
        <v>3387.8042052307687</v>
      </c>
      <c r="X64" s="197">
        <f t="shared" si="161"/>
        <v>-80.784205230768663</v>
      </c>
      <c r="Y64" s="199">
        <f t="shared" si="161"/>
        <v>264.34848707692373</v>
      </c>
      <c r="Z64" s="197"/>
      <c r="AB64" s="204">
        <v>2</v>
      </c>
      <c r="AC64" s="219" t="s">
        <v>7</v>
      </c>
      <c r="AD64" s="760">
        <f>'Arable Inputs'!$G$18+0.5*'Arable Inputs'!$G$18</f>
        <v>94.65</v>
      </c>
      <c r="AE64" s="760">
        <f>'Arable Inputs'!$G$25</f>
        <v>26</v>
      </c>
      <c r="AH64" s="762">
        <f>AD64*AE64</f>
        <v>2460.9</v>
      </c>
      <c r="AI64" s="197">
        <f>'Arable NPV'!$E144</f>
        <v>175.95</v>
      </c>
      <c r="AJ64" s="197">
        <f t="shared" ref="AJ64:AJ78" si="162">AH64+AI64</f>
        <v>2636.85</v>
      </c>
      <c r="AK64" s="197">
        <f>'Arable NPV'!$G144</f>
        <v>819.30399999999986</v>
      </c>
      <c r="AL64" s="197">
        <f>'Arable NPV'!$H144</f>
        <v>996.95456799999988</v>
      </c>
      <c r="AM64" s="197">
        <f t="shared" ref="AM64:AM78" si="163">AK64+AL64</f>
        <v>1816.2585679999997</v>
      </c>
      <c r="AN64" s="197">
        <f t="shared" ref="AN64:AN78" si="164">AH64-AM64</f>
        <v>644.64143200000035</v>
      </c>
      <c r="AO64" s="197">
        <f t="shared" ref="AO64:AO78" si="165">AJ64-AM64</f>
        <v>820.59143200000017</v>
      </c>
      <c r="AP64" s="196">
        <f t="shared" ref="AP64:AP77" si="166">AH64/(1+$B$4)^(AB64-1)</f>
        <v>2366.25</v>
      </c>
      <c r="AQ64" s="197">
        <f t="shared" ref="AQ64:AQ77" si="167">AI64/(1+$B$4)^(AB64-1)</f>
        <v>169.18269230769229</v>
      </c>
      <c r="AR64" s="197">
        <f t="shared" ref="AR64:AR77" si="168">AM64/(1+$B$4)^(AB64-1)</f>
        <v>1746.4024692307689</v>
      </c>
      <c r="AS64" s="197">
        <f t="shared" ref="AS64:AS78" si="169">AN64/(1+$B$4)^(AB64-1)</f>
        <v>619.84753076923107</v>
      </c>
      <c r="AT64" s="199">
        <f t="shared" ref="AT64:AT77" si="170">AO64/(1+$B$4)^(AB64-1)</f>
        <v>789.03022307692322</v>
      </c>
      <c r="AU64" s="196">
        <f t="shared" ref="AU64:AX78" si="171">AU63+AP64</f>
        <v>4960.53</v>
      </c>
      <c r="AV64" s="197">
        <f t="shared" si="171"/>
        <v>345.13269230769231</v>
      </c>
      <c r="AW64" s="197">
        <f t="shared" si="171"/>
        <v>3387.8042052307687</v>
      </c>
      <c r="AX64" s="197">
        <f t="shared" si="171"/>
        <v>1572.725794769231</v>
      </c>
      <c r="AY64" s="199">
        <f t="shared" ref="AY64:AY78" si="172">AY63+AT64</f>
        <v>1917.858487076923</v>
      </c>
      <c r="BB64" s="204">
        <v>2</v>
      </c>
      <c r="BC64" s="219" t="s">
        <v>7</v>
      </c>
      <c r="BD64" s="760">
        <f>'Arable Inputs'!$G$18-0.5*'Arable Inputs'!$G$18</f>
        <v>31.55</v>
      </c>
      <c r="BE64" s="760">
        <f>'Arable Inputs'!$G$25</f>
        <v>26</v>
      </c>
      <c r="BH64" s="762">
        <f>BD64*BE64</f>
        <v>820.30000000000007</v>
      </c>
      <c r="BI64" s="197">
        <f>'Arable NPV'!$E144</f>
        <v>175.95</v>
      </c>
      <c r="BJ64" s="197">
        <f t="shared" ref="BJ64:BJ78" si="173">BH64+BI64</f>
        <v>996.25</v>
      </c>
      <c r="BK64" s="197">
        <f>'Arable NPV'!$G144</f>
        <v>819.30399999999986</v>
      </c>
      <c r="BL64" s="197">
        <f>'Arable NPV'!$H144</f>
        <v>996.95456799999988</v>
      </c>
      <c r="BM64" s="197">
        <f t="shared" ref="BM64:BM78" si="174">BK64+BL64</f>
        <v>1816.2585679999997</v>
      </c>
      <c r="BN64" s="197">
        <f t="shared" ref="BN64:BN78" si="175">BH64-BM64</f>
        <v>-995.95856799999967</v>
      </c>
      <c r="BO64" s="197">
        <f t="shared" ref="BO64:BO78" si="176">BJ64-BM64</f>
        <v>-820.00856799999974</v>
      </c>
      <c r="BP64" s="196">
        <f t="shared" ref="BP64:BP77" si="177">BH64/(1+$B$4)^(BB64-1)</f>
        <v>788.75</v>
      </c>
      <c r="BQ64" s="197">
        <f t="shared" ref="BQ64:BQ77" si="178">BI64/(1+$B$4)^(BB64-1)</f>
        <v>169.18269230769229</v>
      </c>
      <c r="BR64" s="197">
        <f t="shared" ref="BR64:BR77" si="179">BM64/(1+$B$4)^(BB64-1)</f>
        <v>1746.4024692307689</v>
      </c>
      <c r="BS64" s="197">
        <f t="shared" ref="BS64:BS78" si="180">BN64/(1+$B$4)^(BB64-1)</f>
        <v>-957.65246923076893</v>
      </c>
      <c r="BT64" s="199">
        <f t="shared" ref="BT64:BT77" si="181">BO64/(1+$B$4)^(BB64-1)</f>
        <v>-788.46977692307667</v>
      </c>
      <c r="BU64" s="196">
        <f t="shared" ref="BU64:BW78" si="182">BU63+BP64</f>
        <v>1653.51</v>
      </c>
      <c r="BV64" s="197">
        <f t="shared" si="182"/>
        <v>345.13269230769231</v>
      </c>
      <c r="BW64" s="197">
        <f t="shared" si="182"/>
        <v>3387.8042052307687</v>
      </c>
      <c r="BX64" s="197">
        <f t="shared" ref="BX64:BX78" si="183">BX63+BS64</f>
        <v>-1734.2942052307687</v>
      </c>
      <c r="BY64" s="199">
        <f t="shared" ref="BY64:BY78" si="184">BY63+BT64</f>
        <v>-1389.1615129230763</v>
      </c>
      <c r="CB64" s="204">
        <v>2</v>
      </c>
      <c r="CC64" s="219" t="s">
        <v>7</v>
      </c>
      <c r="CD64" s="760">
        <f>'Arable Inputs'!$G$18+'Arable Inputs'!$G$18</f>
        <v>126.2</v>
      </c>
      <c r="CE64" s="760">
        <f>'Arable Inputs'!$G$25</f>
        <v>26</v>
      </c>
      <c r="CH64" s="762">
        <f>CD64*CE64</f>
        <v>3281.2000000000003</v>
      </c>
      <c r="CI64" s="197">
        <f>'Arable NPV'!$E144</f>
        <v>175.95</v>
      </c>
      <c r="CJ64" s="197">
        <f t="shared" ref="CJ64:CJ78" si="185">CH64+CI64</f>
        <v>3457.15</v>
      </c>
      <c r="CK64" s="197">
        <f>'Arable NPV'!$G144</f>
        <v>819.30399999999986</v>
      </c>
      <c r="CL64" s="197">
        <f>'Arable NPV'!$H144</f>
        <v>996.95456799999988</v>
      </c>
      <c r="CM64" s="197">
        <f t="shared" ref="CM64:CM78" si="186">CK64+CL64</f>
        <v>1816.2585679999997</v>
      </c>
      <c r="CN64" s="197">
        <f t="shared" ref="CN64:CN78" si="187">CH64-CM64</f>
        <v>1464.9414320000005</v>
      </c>
      <c r="CO64" s="197">
        <f t="shared" ref="CO64:CO78" si="188">CJ64-CM64</f>
        <v>1640.8914320000003</v>
      </c>
      <c r="CP64" s="196">
        <f t="shared" ref="CP64:CP77" si="189">CH64/(1+$B$4)^(CB64-1)</f>
        <v>3155</v>
      </c>
      <c r="CQ64" s="197">
        <f t="shared" ref="CQ64:CQ77" si="190">CI64/(1+$B$4)^(CB64-1)</f>
        <v>169.18269230769229</v>
      </c>
      <c r="CR64" s="197">
        <f t="shared" ref="CR64:CR77" si="191">CM64/(1+$B$4)^(CB64-1)</f>
        <v>1746.4024692307689</v>
      </c>
      <c r="CS64" s="197">
        <f t="shared" ref="CS64:CS78" si="192">CN64/(1+$B$4)^(CB64-1)</f>
        <v>1408.5975307692313</v>
      </c>
      <c r="CT64" s="199">
        <f t="shared" ref="CT64:CT77" si="193">CO64/(1+$B$4)^(CB64-1)</f>
        <v>1577.7802230769234</v>
      </c>
      <c r="CU64" s="196">
        <f t="shared" ref="CU64:CV78" si="194">CU63+CP64</f>
        <v>6614.04</v>
      </c>
      <c r="CV64" s="197">
        <f t="shared" si="194"/>
        <v>345.13269230769231</v>
      </c>
      <c r="CW64" s="197">
        <f t="shared" ref="CW64:CW78" si="195">CW63+CR64</f>
        <v>3387.8042052307687</v>
      </c>
      <c r="CX64" s="197">
        <f t="shared" ref="CX64:CX78" si="196">CX63+CS64</f>
        <v>3226.2357947692317</v>
      </c>
      <c r="CY64" s="199">
        <f t="shared" ref="CY64:CY78" si="197">CY63+CT64</f>
        <v>3571.3684870769234</v>
      </c>
      <c r="DB64" s="204">
        <v>2</v>
      </c>
      <c r="DC64" s="219" t="s">
        <v>7</v>
      </c>
      <c r="DD64" s="760">
        <f>'Arable Inputs'!$G$18-'Arable Inputs'!$G$18</f>
        <v>0</v>
      </c>
      <c r="DE64" s="760">
        <f>'Arable Inputs'!$G$25</f>
        <v>26</v>
      </c>
      <c r="DH64" s="762">
        <f>DD64*DE64</f>
        <v>0</v>
      </c>
      <c r="DI64" s="197">
        <f>'Arable NPV'!$E144</f>
        <v>175.95</v>
      </c>
      <c r="DJ64" s="197">
        <f t="shared" ref="DJ64:DJ78" si="198">DH64+DI64</f>
        <v>175.95</v>
      </c>
      <c r="DK64" s="197">
        <f>'Arable NPV'!$G144</f>
        <v>819.30399999999986</v>
      </c>
      <c r="DL64" s="197">
        <f>'Arable NPV'!$H144</f>
        <v>996.95456799999988</v>
      </c>
      <c r="DM64" s="197">
        <f t="shared" ref="DM64:DM78" si="199">DK64+DL64</f>
        <v>1816.2585679999997</v>
      </c>
      <c r="DN64" s="197">
        <f t="shared" ref="DN64:DN78" si="200">DH64-DM64</f>
        <v>-1816.2585679999997</v>
      </c>
      <c r="DO64" s="197">
        <f t="shared" ref="DO64:DO78" si="201">DJ64-DM64</f>
        <v>-1640.3085679999997</v>
      </c>
      <c r="DP64" s="196">
        <f t="shared" ref="DP64:DP77" si="202">DH64/(1+$B$4)^(DB64-1)</f>
        <v>0</v>
      </c>
      <c r="DQ64" s="197">
        <f t="shared" ref="DQ64:DQ77" si="203">DI64/(1+$B$4)^(DB64-1)</f>
        <v>169.18269230769229</v>
      </c>
      <c r="DR64" s="197">
        <f t="shared" ref="DR64:DR77" si="204">DM64/(1+$B$4)^(DB64-1)</f>
        <v>1746.4024692307689</v>
      </c>
      <c r="DS64" s="197">
        <f t="shared" ref="DS64:DS78" si="205">DN64/(1+$B$4)^(DB64-1)</f>
        <v>-1746.4024692307689</v>
      </c>
      <c r="DT64" s="199">
        <f t="shared" ref="DT64:DT77" si="206">DO64/(1+$B$4)^(DB64-1)</f>
        <v>-1577.2197769230766</v>
      </c>
      <c r="DU64" s="196">
        <f t="shared" ref="DU64:DY78" si="207">DU63+DP64</f>
        <v>0</v>
      </c>
      <c r="DV64" s="197">
        <f t="shared" si="207"/>
        <v>345.13269230769231</v>
      </c>
      <c r="DW64" s="197">
        <f t="shared" si="207"/>
        <v>3387.8042052307687</v>
      </c>
      <c r="DX64" s="197">
        <f t="shared" si="207"/>
        <v>-3387.8042052307687</v>
      </c>
      <c r="DY64" s="199">
        <f t="shared" si="207"/>
        <v>-3042.6715129230761</v>
      </c>
    </row>
    <row r="65" spans="2:129" x14ac:dyDescent="0.3">
      <c r="B65" s="204">
        <f t="shared" ref="B65:B78" si="208">B64+1</f>
        <v>3</v>
      </c>
      <c r="C65" s="219" t="s">
        <v>260</v>
      </c>
      <c r="D65" s="760">
        <f>'Arable Inputs'!$H$18</f>
        <v>8.14</v>
      </c>
      <c r="E65" s="760">
        <f>'Arable Inputs'!$H$25</f>
        <v>182.8</v>
      </c>
      <c r="H65" s="762">
        <f>D65*E65</f>
        <v>1487.9920000000002</v>
      </c>
      <c r="I65" s="197">
        <f>'Arable NPV'!$E145</f>
        <v>175.95</v>
      </c>
      <c r="J65" s="197">
        <f t="shared" si="152"/>
        <v>1663.9420000000002</v>
      </c>
      <c r="K65" s="197">
        <f>'Arable NPV'!$G145</f>
        <v>574.23049999999989</v>
      </c>
      <c r="L65" s="197">
        <f>'Arable NPV'!$H145</f>
        <v>636.366536</v>
      </c>
      <c r="M65" s="197">
        <f t="shared" si="153"/>
        <v>1210.5970359999999</v>
      </c>
      <c r="N65" s="197">
        <f t="shared" si="154"/>
        <v>277.3949640000003</v>
      </c>
      <c r="O65" s="197">
        <f t="shared" si="155"/>
        <v>453.34496400000035</v>
      </c>
      <c r="P65" s="196">
        <f t="shared" si="156"/>
        <v>1375.7322485207101</v>
      </c>
      <c r="Q65" s="197">
        <f t="shared" si="157"/>
        <v>162.67566568047334</v>
      </c>
      <c r="R65" s="197">
        <f t="shared" si="158"/>
        <v>1119.2650110946743</v>
      </c>
      <c r="S65" s="197">
        <f t="shared" si="159"/>
        <v>256.46723742603575</v>
      </c>
      <c r="T65" s="199">
        <f t="shared" si="160"/>
        <v>419.14290310650915</v>
      </c>
      <c r="U65" s="196">
        <f t="shared" si="161"/>
        <v>4682.7522485207101</v>
      </c>
      <c r="V65" s="197">
        <f t="shared" si="161"/>
        <v>507.80835798816565</v>
      </c>
      <c r="W65" s="197">
        <f t="shared" si="161"/>
        <v>4507.0692163254425</v>
      </c>
      <c r="X65" s="197">
        <f t="shared" si="161"/>
        <v>175.68303219526709</v>
      </c>
      <c r="Y65" s="199">
        <f t="shared" si="161"/>
        <v>683.49139018343294</v>
      </c>
      <c r="Z65" s="197"/>
      <c r="AB65" s="204">
        <f t="shared" ref="AB65:AB78" si="209">AB64+1</f>
        <v>3</v>
      </c>
      <c r="AC65" s="219" t="s">
        <v>31</v>
      </c>
      <c r="AD65" s="760">
        <f>'Arable Inputs'!$H$18+0.5*'Arable Inputs'!$H$18</f>
        <v>12.21</v>
      </c>
      <c r="AE65" s="760">
        <f>'Arable Inputs'!$H$25</f>
        <v>182.8</v>
      </c>
      <c r="AH65" s="762">
        <f>AD65*AE65</f>
        <v>2231.9880000000003</v>
      </c>
      <c r="AI65" s="197">
        <f>'Arable NPV'!$E145</f>
        <v>175.95</v>
      </c>
      <c r="AJ65" s="197">
        <f t="shared" si="162"/>
        <v>2407.9380000000001</v>
      </c>
      <c r="AK65" s="197">
        <f>'Arable NPV'!$G145</f>
        <v>574.23049999999989</v>
      </c>
      <c r="AL65" s="197">
        <f>'Arable NPV'!$H145</f>
        <v>636.366536</v>
      </c>
      <c r="AM65" s="197">
        <f t="shared" si="163"/>
        <v>1210.5970359999999</v>
      </c>
      <c r="AN65" s="197">
        <f t="shared" si="164"/>
        <v>1021.3909640000004</v>
      </c>
      <c r="AO65" s="197">
        <f t="shared" si="165"/>
        <v>1197.3409640000002</v>
      </c>
      <c r="AP65" s="196">
        <f t="shared" si="166"/>
        <v>2063.5983727810653</v>
      </c>
      <c r="AQ65" s="197">
        <f t="shared" si="167"/>
        <v>162.67566568047334</v>
      </c>
      <c r="AR65" s="197">
        <f t="shared" si="168"/>
        <v>1119.2650110946743</v>
      </c>
      <c r="AS65" s="197">
        <f t="shared" si="169"/>
        <v>944.33336168639084</v>
      </c>
      <c r="AT65" s="199">
        <f t="shared" si="170"/>
        <v>1107.0090273668641</v>
      </c>
      <c r="AU65" s="196">
        <f t="shared" si="171"/>
        <v>7024.1283727810651</v>
      </c>
      <c r="AV65" s="197">
        <f t="shared" si="171"/>
        <v>507.80835798816565</v>
      </c>
      <c r="AW65" s="197">
        <f t="shared" si="171"/>
        <v>4507.0692163254425</v>
      </c>
      <c r="AX65" s="197">
        <f t="shared" si="171"/>
        <v>2517.0591564556216</v>
      </c>
      <c r="AY65" s="199">
        <f t="shared" si="172"/>
        <v>3024.8675144437871</v>
      </c>
      <c r="BB65" s="204">
        <f t="shared" ref="BB65:BB78" si="210">BB64+1</f>
        <v>3</v>
      </c>
      <c r="BC65" s="219" t="s">
        <v>31</v>
      </c>
      <c r="BD65" s="760">
        <f>'Arable Inputs'!$H$18-0.5*'Arable Inputs'!$H$18</f>
        <v>4.07</v>
      </c>
      <c r="BE65" s="760">
        <f>'Arable Inputs'!$H$25</f>
        <v>182.8</v>
      </c>
      <c r="BH65" s="762">
        <f>BD65*BE65</f>
        <v>743.99600000000009</v>
      </c>
      <c r="BI65" s="197">
        <f>'Arable NPV'!$E145</f>
        <v>175.95</v>
      </c>
      <c r="BJ65" s="197">
        <f t="shared" si="173"/>
        <v>919.94600000000014</v>
      </c>
      <c r="BK65" s="197">
        <f>'Arable NPV'!$G145</f>
        <v>574.23049999999989</v>
      </c>
      <c r="BL65" s="197">
        <f>'Arable NPV'!$H145</f>
        <v>636.366536</v>
      </c>
      <c r="BM65" s="197">
        <f t="shared" si="174"/>
        <v>1210.5970359999999</v>
      </c>
      <c r="BN65" s="197">
        <f t="shared" si="175"/>
        <v>-466.60103599999979</v>
      </c>
      <c r="BO65" s="197">
        <f t="shared" si="176"/>
        <v>-290.65103599999975</v>
      </c>
      <c r="BP65" s="196">
        <f t="shared" si="177"/>
        <v>687.86612426035504</v>
      </c>
      <c r="BQ65" s="197">
        <f t="shared" si="178"/>
        <v>162.67566568047334</v>
      </c>
      <c r="BR65" s="197">
        <f t="shared" si="179"/>
        <v>1119.2650110946743</v>
      </c>
      <c r="BS65" s="197">
        <f t="shared" si="180"/>
        <v>-431.39888683431928</v>
      </c>
      <c r="BT65" s="199">
        <f t="shared" si="181"/>
        <v>-268.72322115384588</v>
      </c>
      <c r="BU65" s="196">
        <f t="shared" si="182"/>
        <v>2341.376124260355</v>
      </c>
      <c r="BV65" s="197">
        <f t="shared" si="182"/>
        <v>507.80835798816565</v>
      </c>
      <c r="BW65" s="197">
        <f t="shared" si="182"/>
        <v>4507.0692163254425</v>
      </c>
      <c r="BX65" s="197">
        <f t="shared" si="183"/>
        <v>-2165.693092065088</v>
      </c>
      <c r="BY65" s="199">
        <f t="shared" si="184"/>
        <v>-1657.8847340769221</v>
      </c>
      <c r="CB65" s="204">
        <f t="shared" ref="CB65:CB78" si="211">CB64+1</f>
        <v>3</v>
      </c>
      <c r="CC65" s="219" t="s">
        <v>31</v>
      </c>
      <c r="CD65" s="760">
        <f>'Arable Inputs'!$H$18+'Arable Inputs'!$H$18</f>
        <v>16.28</v>
      </c>
      <c r="CE65" s="760">
        <f>'Arable Inputs'!$H$25</f>
        <v>182.8</v>
      </c>
      <c r="CH65" s="762">
        <f>CD65*CE65</f>
        <v>2975.9840000000004</v>
      </c>
      <c r="CI65" s="197">
        <f>'Arable NPV'!$E145</f>
        <v>175.95</v>
      </c>
      <c r="CJ65" s="197">
        <f t="shared" si="185"/>
        <v>3151.9340000000002</v>
      </c>
      <c r="CK65" s="197">
        <f>'Arable NPV'!$G145</f>
        <v>574.23049999999989</v>
      </c>
      <c r="CL65" s="197">
        <f>'Arable NPV'!$H145</f>
        <v>636.366536</v>
      </c>
      <c r="CM65" s="197">
        <f t="shared" si="186"/>
        <v>1210.5970359999999</v>
      </c>
      <c r="CN65" s="197">
        <f t="shared" si="187"/>
        <v>1765.3869640000005</v>
      </c>
      <c r="CO65" s="197">
        <f t="shared" si="188"/>
        <v>1941.3369640000003</v>
      </c>
      <c r="CP65" s="196">
        <f t="shared" si="189"/>
        <v>2751.4644970414201</v>
      </c>
      <c r="CQ65" s="197">
        <f t="shared" si="190"/>
        <v>162.67566568047334</v>
      </c>
      <c r="CR65" s="197">
        <f t="shared" si="191"/>
        <v>1119.2650110946743</v>
      </c>
      <c r="CS65" s="197">
        <f t="shared" si="192"/>
        <v>1632.1994859467459</v>
      </c>
      <c r="CT65" s="199">
        <f t="shared" si="193"/>
        <v>1794.8751516272191</v>
      </c>
      <c r="CU65" s="196">
        <f t="shared" si="194"/>
        <v>9365.5044970414201</v>
      </c>
      <c r="CV65" s="197">
        <f t="shared" si="194"/>
        <v>507.80835798816565</v>
      </c>
      <c r="CW65" s="197">
        <f t="shared" si="195"/>
        <v>4507.0692163254425</v>
      </c>
      <c r="CX65" s="197">
        <f t="shared" si="196"/>
        <v>4858.4352807159776</v>
      </c>
      <c r="CY65" s="199">
        <f t="shared" si="197"/>
        <v>5366.2436387041425</v>
      </c>
      <c r="DB65" s="204">
        <f t="shared" ref="DB65:DB78" si="212">DB64+1</f>
        <v>3</v>
      </c>
      <c r="DC65" s="219" t="s">
        <v>31</v>
      </c>
      <c r="DD65" s="760">
        <f>'Arable Inputs'!$H$18-'Arable Inputs'!$H$18</f>
        <v>0</v>
      </c>
      <c r="DE65" s="760">
        <f>'Arable Inputs'!$H$25</f>
        <v>182.8</v>
      </c>
      <c r="DH65" s="762">
        <f>DD65*DE65</f>
        <v>0</v>
      </c>
      <c r="DI65" s="197">
        <f>'Arable NPV'!$E145</f>
        <v>175.95</v>
      </c>
      <c r="DJ65" s="197">
        <f t="shared" si="198"/>
        <v>175.95</v>
      </c>
      <c r="DK65" s="197">
        <f>'Arable NPV'!$G145</f>
        <v>574.23049999999989</v>
      </c>
      <c r="DL65" s="197">
        <f>'Arable NPV'!$H145</f>
        <v>636.366536</v>
      </c>
      <c r="DM65" s="197">
        <f t="shared" si="199"/>
        <v>1210.5970359999999</v>
      </c>
      <c r="DN65" s="197">
        <f t="shared" si="200"/>
        <v>-1210.5970359999999</v>
      </c>
      <c r="DO65" s="197">
        <f t="shared" si="201"/>
        <v>-1034.6470359999998</v>
      </c>
      <c r="DP65" s="196">
        <f t="shared" si="202"/>
        <v>0</v>
      </c>
      <c r="DQ65" s="197">
        <f t="shared" si="203"/>
        <v>162.67566568047334</v>
      </c>
      <c r="DR65" s="197">
        <f t="shared" si="204"/>
        <v>1119.2650110946743</v>
      </c>
      <c r="DS65" s="197">
        <f t="shared" si="205"/>
        <v>-1119.2650110946743</v>
      </c>
      <c r="DT65" s="199">
        <f t="shared" si="206"/>
        <v>-956.58934541420092</v>
      </c>
      <c r="DU65" s="196">
        <f t="shared" si="207"/>
        <v>0</v>
      </c>
      <c r="DV65" s="197">
        <f t="shared" si="207"/>
        <v>507.80835798816565</v>
      </c>
      <c r="DW65" s="197">
        <f t="shared" si="207"/>
        <v>4507.0692163254425</v>
      </c>
      <c r="DX65" s="197">
        <f t="shared" si="207"/>
        <v>-4507.0692163254425</v>
      </c>
      <c r="DY65" s="199">
        <f t="shared" si="207"/>
        <v>-3999.2608583372771</v>
      </c>
    </row>
    <row r="66" spans="2:129" x14ac:dyDescent="0.3">
      <c r="B66" s="204">
        <f t="shared" si="208"/>
        <v>4</v>
      </c>
      <c r="C66" s="219" t="s">
        <v>6</v>
      </c>
      <c r="D66" s="760">
        <f>'Arable Inputs'!$F$18</f>
        <v>3.3</v>
      </c>
      <c r="E66" s="760">
        <f>'Arable Inputs'!$F$25</f>
        <v>345.1</v>
      </c>
      <c r="F66" s="760">
        <f>'Arable Inputs'!$F$19</f>
        <v>2.6</v>
      </c>
      <c r="G66" s="760">
        <f>'Arable Inputs'!$F$26</f>
        <v>42.374999999999993</v>
      </c>
      <c r="H66" s="762">
        <f>D66*E66+F66*G66</f>
        <v>1249.0049999999999</v>
      </c>
      <c r="I66" s="197">
        <f>'Arable NPV'!$E146</f>
        <v>175.95</v>
      </c>
      <c r="J66" s="197">
        <f t="shared" si="152"/>
        <v>1424.9549999999999</v>
      </c>
      <c r="K66" s="197">
        <f>'Arable NPV'!$G146</f>
        <v>619.745</v>
      </c>
      <c r="L66" s="197">
        <f>'Arable NPV'!$H146</f>
        <v>710.23622685714281</v>
      </c>
      <c r="M66" s="197">
        <f t="shared" si="153"/>
        <v>1329.9812268571427</v>
      </c>
      <c r="N66" s="197">
        <f t="shared" si="154"/>
        <v>-80.976226857142819</v>
      </c>
      <c r="O66" s="197">
        <f t="shared" si="155"/>
        <v>94.973773142857226</v>
      </c>
      <c r="P66" s="196">
        <f t="shared" si="156"/>
        <v>1110.3608969617658</v>
      </c>
      <c r="Q66" s="197">
        <f t="shared" si="157"/>
        <v>156.41890930814745</v>
      </c>
      <c r="R66" s="197">
        <f t="shared" si="158"/>
        <v>1182.3484677766758</v>
      </c>
      <c r="S66" s="197">
        <f t="shared" si="159"/>
        <v>-71.987570814909901</v>
      </c>
      <c r="T66" s="199">
        <f t="shared" si="160"/>
        <v>84.431338493237604</v>
      </c>
      <c r="U66" s="196">
        <f t="shared" si="161"/>
        <v>5793.1131454824754</v>
      </c>
      <c r="V66" s="197">
        <f t="shared" si="161"/>
        <v>664.22726729631313</v>
      </c>
      <c r="W66" s="197">
        <f t="shared" si="161"/>
        <v>5689.4176841021181</v>
      </c>
      <c r="X66" s="197">
        <f t="shared" si="161"/>
        <v>103.69546138035719</v>
      </c>
      <c r="Y66" s="199">
        <f t="shared" si="161"/>
        <v>767.92272867667054</v>
      </c>
      <c r="Z66" s="197"/>
      <c r="AB66" s="204">
        <f t="shared" si="209"/>
        <v>4</v>
      </c>
      <c r="AC66" s="219" t="s">
        <v>6</v>
      </c>
      <c r="AD66" s="760">
        <f>'Arable Inputs'!$F$18+0.5*'Arable Inputs'!$F$18</f>
        <v>4.9499999999999993</v>
      </c>
      <c r="AE66" s="760">
        <f>'Arable Inputs'!$F$25</f>
        <v>345.1</v>
      </c>
      <c r="AF66" s="760">
        <f>'Arable Inputs'!$F$19+0.5*'Arable Inputs'!$F$19</f>
        <v>3.9000000000000004</v>
      </c>
      <c r="AG66" s="760">
        <f>'Arable Inputs'!$F$26</f>
        <v>42.374999999999993</v>
      </c>
      <c r="AH66" s="762">
        <f>AD66*AE66+AF66*AG66</f>
        <v>1873.5074999999999</v>
      </c>
      <c r="AI66" s="197">
        <f>'Arable NPV'!$E146</f>
        <v>175.95</v>
      </c>
      <c r="AJ66" s="197">
        <f t="shared" si="162"/>
        <v>2049.4575</v>
      </c>
      <c r="AK66" s="197">
        <f>'Arable NPV'!$G146</f>
        <v>619.745</v>
      </c>
      <c r="AL66" s="197">
        <f>'Arable NPV'!$H146</f>
        <v>710.23622685714281</v>
      </c>
      <c r="AM66" s="197">
        <f t="shared" si="163"/>
        <v>1329.9812268571427</v>
      </c>
      <c r="AN66" s="197">
        <f t="shared" si="164"/>
        <v>543.52627314285724</v>
      </c>
      <c r="AO66" s="197">
        <f t="shared" si="165"/>
        <v>719.47627314285728</v>
      </c>
      <c r="AP66" s="196">
        <f t="shared" si="166"/>
        <v>1665.5413454426489</v>
      </c>
      <c r="AQ66" s="197">
        <f t="shared" si="167"/>
        <v>156.41890930814745</v>
      </c>
      <c r="AR66" s="197">
        <f t="shared" si="168"/>
        <v>1182.3484677766758</v>
      </c>
      <c r="AS66" s="197">
        <f t="shared" si="169"/>
        <v>483.19287766597313</v>
      </c>
      <c r="AT66" s="199">
        <f t="shared" si="170"/>
        <v>639.61178697412061</v>
      </c>
      <c r="AU66" s="196">
        <f t="shared" si="171"/>
        <v>8689.6697182237149</v>
      </c>
      <c r="AV66" s="197">
        <f t="shared" si="171"/>
        <v>664.22726729631313</v>
      </c>
      <c r="AW66" s="197">
        <f t="shared" si="171"/>
        <v>5689.4176841021181</v>
      </c>
      <c r="AX66" s="197">
        <f t="shared" si="171"/>
        <v>3000.252034121595</v>
      </c>
      <c r="AY66" s="199">
        <f t="shared" si="172"/>
        <v>3664.4793014179077</v>
      </c>
      <c r="BB66" s="204">
        <f t="shared" si="210"/>
        <v>4</v>
      </c>
      <c r="BC66" s="219" t="s">
        <v>6</v>
      </c>
      <c r="BD66" s="760">
        <f>'Arable Inputs'!$F$18-0.5*'Arable Inputs'!$F$18</f>
        <v>1.65</v>
      </c>
      <c r="BE66" s="760">
        <f>'Arable Inputs'!$F$25</f>
        <v>345.1</v>
      </c>
      <c r="BF66" s="760">
        <f>'Arable Inputs'!$F$19-0.5*'Arable Inputs'!$F$19</f>
        <v>1.3</v>
      </c>
      <c r="BG66" s="760">
        <f>'Arable Inputs'!$F$26</f>
        <v>42.374999999999993</v>
      </c>
      <c r="BH66" s="762">
        <f>BD66*BE66+BF66*BG66</f>
        <v>624.50249999999994</v>
      </c>
      <c r="BI66" s="197">
        <f>'Arable NPV'!$E146</f>
        <v>175.95</v>
      </c>
      <c r="BJ66" s="197">
        <f t="shared" si="173"/>
        <v>800.45249999999987</v>
      </c>
      <c r="BK66" s="197">
        <f>'Arable NPV'!$G146</f>
        <v>619.745</v>
      </c>
      <c r="BL66" s="197">
        <f>'Arable NPV'!$H146</f>
        <v>710.23622685714281</v>
      </c>
      <c r="BM66" s="197">
        <f t="shared" si="174"/>
        <v>1329.9812268571427</v>
      </c>
      <c r="BN66" s="197">
        <f t="shared" si="175"/>
        <v>-705.47872685714276</v>
      </c>
      <c r="BO66" s="197">
        <f t="shared" si="176"/>
        <v>-529.52872685714283</v>
      </c>
      <c r="BP66" s="196">
        <f t="shared" si="177"/>
        <v>555.18044848088289</v>
      </c>
      <c r="BQ66" s="197">
        <f t="shared" si="178"/>
        <v>156.41890930814745</v>
      </c>
      <c r="BR66" s="197">
        <f t="shared" si="179"/>
        <v>1182.3484677766758</v>
      </c>
      <c r="BS66" s="197">
        <f t="shared" si="180"/>
        <v>-627.16801929579287</v>
      </c>
      <c r="BT66" s="199">
        <f t="shared" si="181"/>
        <v>-470.74910998764545</v>
      </c>
      <c r="BU66" s="196">
        <f t="shared" si="182"/>
        <v>2896.5565727412377</v>
      </c>
      <c r="BV66" s="197">
        <f t="shared" si="182"/>
        <v>664.22726729631313</v>
      </c>
      <c r="BW66" s="197">
        <f t="shared" si="182"/>
        <v>5689.4176841021181</v>
      </c>
      <c r="BX66" s="197">
        <f t="shared" si="183"/>
        <v>-2792.8611113608808</v>
      </c>
      <c r="BY66" s="199">
        <f t="shared" si="184"/>
        <v>-2128.6338440645677</v>
      </c>
      <c r="CB66" s="204">
        <f t="shared" si="211"/>
        <v>4</v>
      </c>
      <c r="CC66" s="219" t="s">
        <v>6</v>
      </c>
      <c r="CD66" s="760">
        <f>'Arable Inputs'!$F$18+'Arable Inputs'!$F$18</f>
        <v>6.6</v>
      </c>
      <c r="CE66" s="760">
        <f>'Arable Inputs'!$F$25</f>
        <v>345.1</v>
      </c>
      <c r="CF66" s="760">
        <f>'Arable Inputs'!$F$19+'Arable Inputs'!$F$19</f>
        <v>5.2</v>
      </c>
      <c r="CG66" s="760">
        <f>'Arable Inputs'!$F$26</f>
        <v>42.374999999999993</v>
      </c>
      <c r="CH66" s="762">
        <f>CD66*CE66+CF66*CG66</f>
        <v>2498.0099999999998</v>
      </c>
      <c r="CI66" s="197">
        <f>'Arable NPV'!$E146</f>
        <v>175.95</v>
      </c>
      <c r="CJ66" s="197">
        <f t="shared" si="185"/>
        <v>2673.9599999999996</v>
      </c>
      <c r="CK66" s="197">
        <f>'Arable NPV'!$G146</f>
        <v>619.745</v>
      </c>
      <c r="CL66" s="197">
        <f>'Arable NPV'!$H146</f>
        <v>710.23622685714281</v>
      </c>
      <c r="CM66" s="197">
        <f t="shared" si="186"/>
        <v>1329.9812268571427</v>
      </c>
      <c r="CN66" s="197">
        <f t="shared" si="187"/>
        <v>1168.0287731428571</v>
      </c>
      <c r="CO66" s="197">
        <f t="shared" si="188"/>
        <v>1343.9787731428569</v>
      </c>
      <c r="CP66" s="196">
        <f t="shared" si="189"/>
        <v>2220.7217939235315</v>
      </c>
      <c r="CQ66" s="197">
        <f t="shared" si="190"/>
        <v>156.41890930814745</v>
      </c>
      <c r="CR66" s="197">
        <f t="shared" si="191"/>
        <v>1182.3484677766758</v>
      </c>
      <c r="CS66" s="197">
        <f t="shared" si="192"/>
        <v>1038.373326146856</v>
      </c>
      <c r="CT66" s="199">
        <f t="shared" si="193"/>
        <v>1194.7922354550033</v>
      </c>
      <c r="CU66" s="196">
        <f t="shared" si="194"/>
        <v>11586.226290964951</v>
      </c>
      <c r="CV66" s="197">
        <f t="shared" si="194"/>
        <v>664.22726729631313</v>
      </c>
      <c r="CW66" s="197">
        <f t="shared" si="195"/>
        <v>5689.4176841021181</v>
      </c>
      <c r="CX66" s="197">
        <f t="shared" si="196"/>
        <v>5896.8086068628336</v>
      </c>
      <c r="CY66" s="199">
        <f t="shared" si="197"/>
        <v>6561.0358741591463</v>
      </c>
      <c r="DB66" s="204">
        <f t="shared" si="212"/>
        <v>4</v>
      </c>
      <c r="DC66" s="219" t="s">
        <v>6</v>
      </c>
      <c r="DD66" s="760">
        <f>'Arable Inputs'!$F$18-'Arable Inputs'!$F$18</f>
        <v>0</v>
      </c>
      <c r="DE66" s="760">
        <f>'Arable Inputs'!$F$25</f>
        <v>345.1</v>
      </c>
      <c r="DF66" s="760">
        <f>'Arable Inputs'!$F$19-'Arable Inputs'!$F$19</f>
        <v>0</v>
      </c>
      <c r="DG66" s="760">
        <f>'Arable Inputs'!$F$26</f>
        <v>42.374999999999993</v>
      </c>
      <c r="DH66" s="762">
        <f>DD66*DE66+DF66*DG66</f>
        <v>0</v>
      </c>
      <c r="DI66" s="197">
        <f>'Arable NPV'!$E146</f>
        <v>175.95</v>
      </c>
      <c r="DJ66" s="197">
        <f t="shared" si="198"/>
        <v>175.95</v>
      </c>
      <c r="DK66" s="197">
        <f>'Arable NPV'!$G146</f>
        <v>619.745</v>
      </c>
      <c r="DL66" s="197">
        <f>'Arable NPV'!$H146</f>
        <v>710.23622685714281</v>
      </c>
      <c r="DM66" s="197">
        <f t="shared" si="199"/>
        <v>1329.9812268571427</v>
      </c>
      <c r="DN66" s="197">
        <f t="shared" si="200"/>
        <v>-1329.9812268571427</v>
      </c>
      <c r="DO66" s="197">
        <f t="shared" si="201"/>
        <v>-1154.0312268571427</v>
      </c>
      <c r="DP66" s="196">
        <f t="shared" si="202"/>
        <v>0</v>
      </c>
      <c r="DQ66" s="197">
        <f t="shared" si="203"/>
        <v>156.41890930814745</v>
      </c>
      <c r="DR66" s="197">
        <f t="shared" si="204"/>
        <v>1182.3484677766758</v>
      </c>
      <c r="DS66" s="197">
        <f t="shared" si="205"/>
        <v>-1182.3484677766758</v>
      </c>
      <c r="DT66" s="199">
        <f t="shared" si="206"/>
        <v>-1025.9295584685283</v>
      </c>
      <c r="DU66" s="196">
        <f t="shared" si="207"/>
        <v>0</v>
      </c>
      <c r="DV66" s="197">
        <f t="shared" si="207"/>
        <v>664.22726729631313</v>
      </c>
      <c r="DW66" s="197">
        <f t="shared" si="207"/>
        <v>5689.4176841021181</v>
      </c>
      <c r="DX66" s="197">
        <f t="shared" si="207"/>
        <v>-5689.4176841021181</v>
      </c>
      <c r="DY66" s="199">
        <f t="shared" si="207"/>
        <v>-5025.1904168058054</v>
      </c>
    </row>
    <row r="67" spans="2:129" x14ac:dyDescent="0.3">
      <c r="B67" s="204">
        <f t="shared" si="208"/>
        <v>5</v>
      </c>
      <c r="C67" s="219" t="s">
        <v>5</v>
      </c>
      <c r="D67" s="760">
        <f>'Arable Inputs'!$E$18</f>
        <v>4.1100000000000003</v>
      </c>
      <c r="E67" s="760">
        <f>'Arable Inputs'!$E$25</f>
        <v>154.80000000000001</v>
      </c>
      <c r="F67" s="760">
        <f>'Arable Inputs'!$E$19</f>
        <v>3.5</v>
      </c>
      <c r="G67" s="760">
        <f>'Arable Inputs'!$E$26</f>
        <v>79.099999999999994</v>
      </c>
      <c r="H67" s="762">
        <f>D67*E67+F67*G67</f>
        <v>913.07799999999997</v>
      </c>
      <c r="I67" s="197">
        <f>'Arable NPV'!$E147</f>
        <v>175.95</v>
      </c>
      <c r="J67" s="197">
        <f t="shared" si="152"/>
        <v>1089.028</v>
      </c>
      <c r="K67" s="197">
        <f>'Arable NPV'!$G147</f>
        <v>468.64299999999992</v>
      </c>
      <c r="L67" s="197">
        <f>'Arable NPV'!$H147</f>
        <v>888.75536799999986</v>
      </c>
      <c r="M67" s="197">
        <f t="shared" si="153"/>
        <v>1357.3983679999997</v>
      </c>
      <c r="N67" s="197">
        <f t="shared" si="154"/>
        <v>-444.32036799999969</v>
      </c>
      <c r="O67" s="197">
        <f t="shared" si="155"/>
        <v>-268.37036799999964</v>
      </c>
      <c r="P67" s="196">
        <f t="shared" si="156"/>
        <v>780.50290113703988</v>
      </c>
      <c r="Q67" s="197">
        <f t="shared" si="157"/>
        <v>150.40279741168024</v>
      </c>
      <c r="R67" s="197">
        <f t="shared" si="158"/>
        <v>1160.3098138633095</v>
      </c>
      <c r="S67" s="197">
        <f t="shared" si="159"/>
        <v>-379.80691272626973</v>
      </c>
      <c r="T67" s="199">
        <f t="shared" si="160"/>
        <v>-229.40411531458949</v>
      </c>
      <c r="U67" s="196">
        <f t="shared" si="161"/>
        <v>6573.6160466195151</v>
      </c>
      <c r="V67" s="197">
        <f t="shared" si="161"/>
        <v>814.63006470799337</v>
      </c>
      <c r="W67" s="197">
        <f t="shared" si="161"/>
        <v>6849.7274979654276</v>
      </c>
      <c r="X67" s="197">
        <f t="shared" si="161"/>
        <v>-276.11145134591254</v>
      </c>
      <c r="Y67" s="199">
        <f t="shared" si="161"/>
        <v>538.51861336208106</v>
      </c>
      <c r="Z67" s="197"/>
      <c r="AB67" s="204">
        <f t="shared" si="209"/>
        <v>5</v>
      </c>
      <c r="AC67" s="219" t="s">
        <v>5</v>
      </c>
      <c r="AD67" s="760">
        <f>'Arable Inputs'!$E$18+0.5*'Arable Inputs'!$E$18</f>
        <v>6.1650000000000009</v>
      </c>
      <c r="AE67" s="760">
        <f>'Arable Inputs'!$E$25</f>
        <v>154.80000000000001</v>
      </c>
      <c r="AF67" s="760">
        <f>'Arable Inputs'!$E$19+0.5*'Arable Inputs'!$E$19</f>
        <v>5.25</v>
      </c>
      <c r="AG67" s="760">
        <f>'Arable Inputs'!$E$26</f>
        <v>79.099999999999994</v>
      </c>
      <c r="AH67" s="762">
        <f>AD67*AE67+AF67*AG67</f>
        <v>1369.6170000000002</v>
      </c>
      <c r="AI67" s="197">
        <f>'Arable NPV'!$E147</f>
        <v>175.95</v>
      </c>
      <c r="AJ67" s="197">
        <f t="shared" si="162"/>
        <v>1545.5670000000002</v>
      </c>
      <c r="AK67" s="197">
        <f>'Arable NPV'!$G147</f>
        <v>468.64299999999992</v>
      </c>
      <c r="AL67" s="197">
        <f>'Arable NPV'!$H147</f>
        <v>888.75536799999986</v>
      </c>
      <c r="AM67" s="197">
        <f t="shared" si="163"/>
        <v>1357.3983679999997</v>
      </c>
      <c r="AN67" s="197">
        <f t="shared" si="164"/>
        <v>12.218632000000525</v>
      </c>
      <c r="AO67" s="197">
        <f t="shared" si="165"/>
        <v>188.16863200000057</v>
      </c>
      <c r="AP67" s="196">
        <f t="shared" si="166"/>
        <v>1170.7543517055599</v>
      </c>
      <c r="AQ67" s="197">
        <f t="shared" si="167"/>
        <v>150.40279741168024</v>
      </c>
      <c r="AR67" s="197">
        <f t="shared" si="168"/>
        <v>1160.3098138633095</v>
      </c>
      <c r="AS67" s="197">
        <f t="shared" si="169"/>
        <v>10.444537842250368</v>
      </c>
      <c r="AT67" s="199">
        <f t="shared" si="170"/>
        <v>160.84733525393065</v>
      </c>
      <c r="AU67" s="196">
        <f t="shared" si="171"/>
        <v>9860.424069929275</v>
      </c>
      <c r="AV67" s="197">
        <f t="shared" si="171"/>
        <v>814.63006470799337</v>
      </c>
      <c r="AW67" s="197">
        <f t="shared" si="171"/>
        <v>6849.7274979654276</v>
      </c>
      <c r="AX67" s="197">
        <f t="shared" si="171"/>
        <v>3010.6965719638451</v>
      </c>
      <c r="AY67" s="199">
        <f t="shared" si="172"/>
        <v>3825.3266366718385</v>
      </c>
      <c r="BB67" s="204">
        <f t="shared" si="210"/>
        <v>5</v>
      </c>
      <c r="BC67" s="219" t="s">
        <v>5</v>
      </c>
      <c r="BD67" s="760">
        <f>'Arable Inputs'!$E$18-0.5*'Arable Inputs'!$E$18</f>
        <v>2.0550000000000002</v>
      </c>
      <c r="BE67" s="760">
        <f>'Arable Inputs'!$E$25</f>
        <v>154.80000000000001</v>
      </c>
      <c r="BF67" s="760">
        <f>'Arable Inputs'!$E$19-0.5*'Arable Inputs'!$E$19</f>
        <v>1.75</v>
      </c>
      <c r="BG67" s="760">
        <f>'Arable Inputs'!$E$26</f>
        <v>79.099999999999994</v>
      </c>
      <c r="BH67" s="762">
        <f>BD67*BE67+BF67*BG67</f>
        <v>456.53899999999999</v>
      </c>
      <c r="BI67" s="197">
        <f>'Arable NPV'!$E147</f>
        <v>175.95</v>
      </c>
      <c r="BJ67" s="197">
        <f t="shared" si="173"/>
        <v>632.48900000000003</v>
      </c>
      <c r="BK67" s="197">
        <f>'Arable NPV'!$G147</f>
        <v>468.64299999999992</v>
      </c>
      <c r="BL67" s="197">
        <f>'Arable NPV'!$H147</f>
        <v>888.75536799999986</v>
      </c>
      <c r="BM67" s="197">
        <f t="shared" si="174"/>
        <v>1357.3983679999997</v>
      </c>
      <c r="BN67" s="197">
        <f t="shared" si="175"/>
        <v>-900.85936799999968</v>
      </c>
      <c r="BO67" s="197">
        <f t="shared" si="176"/>
        <v>-724.90936799999963</v>
      </c>
      <c r="BP67" s="196">
        <f t="shared" si="177"/>
        <v>390.25145056851994</v>
      </c>
      <c r="BQ67" s="197">
        <f t="shared" si="178"/>
        <v>150.40279741168024</v>
      </c>
      <c r="BR67" s="197">
        <f t="shared" si="179"/>
        <v>1160.3098138633095</v>
      </c>
      <c r="BS67" s="197">
        <f t="shared" si="180"/>
        <v>-770.05836329478973</v>
      </c>
      <c r="BT67" s="199">
        <f t="shared" si="181"/>
        <v>-619.65556588310938</v>
      </c>
      <c r="BU67" s="196">
        <f t="shared" si="182"/>
        <v>3286.8080233097576</v>
      </c>
      <c r="BV67" s="197">
        <f t="shared" si="182"/>
        <v>814.63006470799337</v>
      </c>
      <c r="BW67" s="197">
        <f t="shared" si="182"/>
        <v>6849.7274979654276</v>
      </c>
      <c r="BX67" s="197">
        <f t="shared" si="183"/>
        <v>-3562.9194746556705</v>
      </c>
      <c r="BY67" s="199">
        <f t="shared" si="184"/>
        <v>-2748.2894099476771</v>
      </c>
      <c r="CB67" s="204">
        <f t="shared" si="211"/>
        <v>5</v>
      </c>
      <c r="CC67" s="219" t="s">
        <v>5</v>
      </c>
      <c r="CD67" s="760">
        <f>'Arable Inputs'!$E$18+'Arable Inputs'!$E$18</f>
        <v>8.2200000000000006</v>
      </c>
      <c r="CE67" s="760">
        <f>'Arable Inputs'!$E$25</f>
        <v>154.80000000000001</v>
      </c>
      <c r="CF67" s="760">
        <f>'Arable Inputs'!$E$19+'Arable Inputs'!$E$19</f>
        <v>7</v>
      </c>
      <c r="CG67" s="760">
        <f>'Arable Inputs'!$E$26</f>
        <v>79.099999999999994</v>
      </c>
      <c r="CH67" s="762">
        <f>CD67*CE67+CF67*CG67</f>
        <v>1826.1559999999999</v>
      </c>
      <c r="CI67" s="197">
        <f>'Arable NPV'!$E147</f>
        <v>175.95</v>
      </c>
      <c r="CJ67" s="197">
        <f t="shared" si="185"/>
        <v>2002.106</v>
      </c>
      <c r="CK67" s="197">
        <f>'Arable NPV'!$G147</f>
        <v>468.64299999999992</v>
      </c>
      <c r="CL67" s="197">
        <f>'Arable NPV'!$H147</f>
        <v>888.75536799999986</v>
      </c>
      <c r="CM67" s="197">
        <f t="shared" si="186"/>
        <v>1357.3983679999997</v>
      </c>
      <c r="CN67" s="197">
        <f t="shared" si="187"/>
        <v>468.75763200000029</v>
      </c>
      <c r="CO67" s="197">
        <f t="shared" si="188"/>
        <v>644.70763200000033</v>
      </c>
      <c r="CP67" s="196">
        <f t="shared" si="189"/>
        <v>1561.0058022740798</v>
      </c>
      <c r="CQ67" s="197">
        <f t="shared" si="190"/>
        <v>150.40279741168024</v>
      </c>
      <c r="CR67" s="197">
        <f t="shared" si="191"/>
        <v>1160.3098138633095</v>
      </c>
      <c r="CS67" s="197">
        <f t="shared" si="192"/>
        <v>400.6959884107701</v>
      </c>
      <c r="CT67" s="199">
        <f t="shared" si="193"/>
        <v>551.0987858224504</v>
      </c>
      <c r="CU67" s="196">
        <f t="shared" si="194"/>
        <v>13147.23209323903</v>
      </c>
      <c r="CV67" s="197">
        <f t="shared" si="194"/>
        <v>814.63006470799337</v>
      </c>
      <c r="CW67" s="197">
        <f t="shared" si="195"/>
        <v>6849.7274979654276</v>
      </c>
      <c r="CX67" s="197">
        <f t="shared" si="196"/>
        <v>6297.5045952736036</v>
      </c>
      <c r="CY67" s="199">
        <f t="shared" si="197"/>
        <v>7112.134659981597</v>
      </c>
      <c r="DB67" s="204">
        <f t="shared" si="212"/>
        <v>5</v>
      </c>
      <c r="DC67" s="219" t="s">
        <v>5</v>
      </c>
      <c r="DD67" s="760">
        <f>'Arable Inputs'!$E$18-'Arable Inputs'!$E$18</f>
        <v>0</v>
      </c>
      <c r="DE67" s="760">
        <f>'Arable Inputs'!$E$25</f>
        <v>154.80000000000001</v>
      </c>
      <c r="DF67" s="760">
        <f>'Arable Inputs'!$E$19-'Arable Inputs'!$E$19</f>
        <v>0</v>
      </c>
      <c r="DG67" s="760">
        <f>'Arable Inputs'!$E$26</f>
        <v>79.099999999999994</v>
      </c>
      <c r="DH67" s="762">
        <f>DD67*DE67+DF67*DG67</f>
        <v>0</v>
      </c>
      <c r="DI67" s="197">
        <f>'Arable NPV'!$E147</f>
        <v>175.95</v>
      </c>
      <c r="DJ67" s="197">
        <f t="shared" si="198"/>
        <v>175.95</v>
      </c>
      <c r="DK67" s="197">
        <f>'Arable NPV'!$G147</f>
        <v>468.64299999999992</v>
      </c>
      <c r="DL67" s="197">
        <f>'Arable NPV'!$H147</f>
        <v>888.75536799999986</v>
      </c>
      <c r="DM67" s="197">
        <f t="shared" si="199"/>
        <v>1357.3983679999997</v>
      </c>
      <c r="DN67" s="197">
        <f t="shared" si="200"/>
        <v>-1357.3983679999997</v>
      </c>
      <c r="DO67" s="197">
        <f t="shared" si="201"/>
        <v>-1181.4483679999996</v>
      </c>
      <c r="DP67" s="196">
        <f t="shared" si="202"/>
        <v>0</v>
      </c>
      <c r="DQ67" s="197">
        <f t="shared" si="203"/>
        <v>150.40279741168024</v>
      </c>
      <c r="DR67" s="197">
        <f t="shared" si="204"/>
        <v>1160.3098138633095</v>
      </c>
      <c r="DS67" s="197">
        <f t="shared" si="205"/>
        <v>-1160.3098138633095</v>
      </c>
      <c r="DT67" s="199">
        <f t="shared" si="206"/>
        <v>-1009.9070164516294</v>
      </c>
      <c r="DU67" s="196">
        <f t="shared" si="207"/>
        <v>0</v>
      </c>
      <c r="DV67" s="197">
        <f t="shared" si="207"/>
        <v>814.63006470799337</v>
      </c>
      <c r="DW67" s="197">
        <f t="shared" si="207"/>
        <v>6849.7274979654276</v>
      </c>
      <c r="DX67" s="197">
        <f t="shared" si="207"/>
        <v>-6849.7274979654276</v>
      </c>
      <c r="DY67" s="199">
        <f t="shared" si="207"/>
        <v>-6035.0974332574351</v>
      </c>
    </row>
    <row r="68" spans="2:129" x14ac:dyDescent="0.3">
      <c r="B68" s="204">
        <f t="shared" si="208"/>
        <v>6</v>
      </c>
      <c r="C68" s="219" t="s">
        <v>4</v>
      </c>
      <c r="D68" s="760">
        <f>'Arable Inputs'!$D$18</f>
        <v>7.45</v>
      </c>
      <c r="E68" s="760">
        <f>'Arable Inputs'!$D$25</f>
        <v>193.7</v>
      </c>
      <c r="F68" s="760">
        <f>'Arable Inputs'!$D$19</f>
        <v>3.9</v>
      </c>
      <c r="G68" s="760">
        <f>'Arable Inputs'!$D$26</f>
        <v>73.449999999999989</v>
      </c>
      <c r="H68" s="762">
        <f>D68*E68+F68*G68</f>
        <v>1729.52</v>
      </c>
      <c r="I68" s="197">
        <f>'Arable NPV'!$E148</f>
        <v>175.95</v>
      </c>
      <c r="J68" s="197">
        <f t="shared" si="152"/>
        <v>1905.47</v>
      </c>
      <c r="K68" s="197">
        <f>'Arable NPV'!$G148</f>
        <v>671.92799999999988</v>
      </c>
      <c r="L68" s="197">
        <f>'Arable NPV'!$H148</f>
        <v>969.47373599999992</v>
      </c>
      <c r="M68" s="197">
        <f t="shared" si="153"/>
        <v>1641.4017359999998</v>
      </c>
      <c r="N68" s="197">
        <f t="shared" si="154"/>
        <v>88.118264000000181</v>
      </c>
      <c r="O68" s="197">
        <f t="shared" si="155"/>
        <v>264.06826400000023</v>
      </c>
      <c r="P68" s="196">
        <f t="shared" si="156"/>
        <v>1421.5393696824337</v>
      </c>
      <c r="Q68" s="197">
        <f t="shared" si="157"/>
        <v>144.61807443430789</v>
      </c>
      <c r="R68" s="197">
        <f t="shared" si="158"/>
        <v>1349.1125799002568</v>
      </c>
      <c r="S68" s="197">
        <f t="shared" si="159"/>
        <v>72.426789782176868</v>
      </c>
      <c r="T68" s="199">
        <f t="shared" si="160"/>
        <v>217.04486421648483</v>
      </c>
      <c r="U68" s="196">
        <f t="shared" si="161"/>
        <v>7995.1554163019491</v>
      </c>
      <c r="V68" s="197">
        <f t="shared" si="161"/>
        <v>959.24813914230128</v>
      </c>
      <c r="W68" s="197">
        <f t="shared" si="161"/>
        <v>8198.8400778656851</v>
      </c>
      <c r="X68" s="197">
        <f t="shared" si="161"/>
        <v>-203.68466156373569</v>
      </c>
      <c r="Y68" s="199">
        <f t="shared" si="161"/>
        <v>755.56347757856588</v>
      </c>
      <c r="Z68" s="197"/>
      <c r="AB68" s="204">
        <f t="shared" si="209"/>
        <v>6</v>
      </c>
      <c r="AC68" s="219" t="s">
        <v>4</v>
      </c>
      <c r="AD68" s="760">
        <f>'Arable Inputs'!$D$18+0.5*'Arable Inputs'!$D$18</f>
        <v>11.175000000000001</v>
      </c>
      <c r="AE68" s="760">
        <f>'Arable Inputs'!$D$25</f>
        <v>193.7</v>
      </c>
      <c r="AF68" s="760">
        <f>'Arable Inputs'!$D$19+0.5*'Arable Inputs'!$D$19</f>
        <v>5.85</v>
      </c>
      <c r="AG68" s="760">
        <f>'Arable Inputs'!$D$26</f>
        <v>73.449999999999989</v>
      </c>
      <c r="AH68" s="762">
        <f>AD68*AE68+AF68*AG68</f>
        <v>2594.2799999999997</v>
      </c>
      <c r="AI68" s="197">
        <f>'Arable NPV'!$E148</f>
        <v>175.95</v>
      </c>
      <c r="AJ68" s="197">
        <f t="shared" si="162"/>
        <v>2770.2299999999996</v>
      </c>
      <c r="AK68" s="197">
        <f>'Arable NPV'!$G148</f>
        <v>671.92799999999988</v>
      </c>
      <c r="AL68" s="197">
        <f>'Arable NPV'!$H148</f>
        <v>969.47373599999992</v>
      </c>
      <c r="AM68" s="197">
        <f t="shared" si="163"/>
        <v>1641.4017359999998</v>
      </c>
      <c r="AN68" s="197">
        <f t="shared" si="164"/>
        <v>952.87826399999994</v>
      </c>
      <c r="AO68" s="197">
        <f t="shared" si="165"/>
        <v>1128.8282639999998</v>
      </c>
      <c r="AP68" s="196">
        <f t="shared" si="166"/>
        <v>2132.3090545236505</v>
      </c>
      <c r="AQ68" s="197">
        <f t="shared" si="167"/>
        <v>144.61807443430789</v>
      </c>
      <c r="AR68" s="197">
        <f t="shared" si="168"/>
        <v>1349.1125799002568</v>
      </c>
      <c r="AS68" s="197">
        <f t="shared" si="169"/>
        <v>783.19647462339356</v>
      </c>
      <c r="AT68" s="199">
        <f t="shared" si="170"/>
        <v>927.81454905770124</v>
      </c>
      <c r="AU68" s="196">
        <f t="shared" si="171"/>
        <v>11992.733124452925</v>
      </c>
      <c r="AV68" s="197">
        <f t="shared" si="171"/>
        <v>959.24813914230128</v>
      </c>
      <c r="AW68" s="197">
        <f t="shared" si="171"/>
        <v>8198.8400778656851</v>
      </c>
      <c r="AX68" s="197">
        <f t="shared" si="171"/>
        <v>3793.8930465872386</v>
      </c>
      <c r="AY68" s="199">
        <f t="shared" si="172"/>
        <v>4753.1411857295398</v>
      </c>
      <c r="BB68" s="204">
        <f t="shared" si="210"/>
        <v>6</v>
      </c>
      <c r="BC68" s="219" t="s">
        <v>4</v>
      </c>
      <c r="BD68" s="760">
        <f>'Arable Inputs'!$D$18-0.5*'Arable Inputs'!$D$18</f>
        <v>3.7250000000000001</v>
      </c>
      <c r="BE68" s="760">
        <f>'Arable Inputs'!$D$25</f>
        <v>193.7</v>
      </c>
      <c r="BF68" s="760">
        <f>'Arable Inputs'!$D$19-0.5*'Arable Inputs'!$D$19</f>
        <v>1.95</v>
      </c>
      <c r="BG68" s="760">
        <f>'Arable Inputs'!$D$26</f>
        <v>73.449999999999989</v>
      </c>
      <c r="BH68" s="762">
        <f>BD68*BE68+BF68*BG68</f>
        <v>864.76</v>
      </c>
      <c r="BI68" s="197">
        <f>'Arable NPV'!$E148</f>
        <v>175.95</v>
      </c>
      <c r="BJ68" s="197">
        <f t="shared" si="173"/>
        <v>1040.71</v>
      </c>
      <c r="BK68" s="197">
        <f>'Arable NPV'!$G148</f>
        <v>671.92799999999988</v>
      </c>
      <c r="BL68" s="197">
        <f>'Arable NPV'!$H148</f>
        <v>969.47373599999992</v>
      </c>
      <c r="BM68" s="197">
        <f t="shared" si="174"/>
        <v>1641.4017359999998</v>
      </c>
      <c r="BN68" s="197">
        <f t="shared" si="175"/>
        <v>-776.64173599999981</v>
      </c>
      <c r="BO68" s="197">
        <f t="shared" si="176"/>
        <v>-600.69173599999976</v>
      </c>
      <c r="BP68" s="196">
        <f t="shared" si="177"/>
        <v>710.76968484121687</v>
      </c>
      <c r="BQ68" s="197">
        <f t="shared" si="178"/>
        <v>144.61807443430789</v>
      </c>
      <c r="BR68" s="197">
        <f t="shared" si="179"/>
        <v>1349.1125799002568</v>
      </c>
      <c r="BS68" s="197">
        <f t="shared" si="180"/>
        <v>-638.34289505903996</v>
      </c>
      <c r="BT68" s="199">
        <f t="shared" si="181"/>
        <v>-493.72482062473205</v>
      </c>
      <c r="BU68" s="196">
        <f t="shared" si="182"/>
        <v>3997.5777081509746</v>
      </c>
      <c r="BV68" s="197">
        <f t="shared" si="182"/>
        <v>959.24813914230128</v>
      </c>
      <c r="BW68" s="197">
        <f t="shared" si="182"/>
        <v>8198.8400778656851</v>
      </c>
      <c r="BX68" s="197">
        <f t="shared" si="183"/>
        <v>-4201.2623697147101</v>
      </c>
      <c r="BY68" s="199">
        <f t="shared" si="184"/>
        <v>-3242.0142305724094</v>
      </c>
      <c r="CB68" s="204">
        <f t="shared" si="211"/>
        <v>6</v>
      </c>
      <c r="CC68" s="219" t="s">
        <v>4</v>
      </c>
      <c r="CD68" s="760">
        <f>'Arable Inputs'!$D$18+'Arable Inputs'!$D$18</f>
        <v>14.9</v>
      </c>
      <c r="CE68" s="760">
        <f>'Arable Inputs'!$D$25</f>
        <v>193.7</v>
      </c>
      <c r="CF68" s="760">
        <f>'Arable Inputs'!$D$19+'Arable Inputs'!$D$19</f>
        <v>7.8</v>
      </c>
      <c r="CG68" s="760">
        <f>'Arable Inputs'!$D$26</f>
        <v>73.449999999999989</v>
      </c>
      <c r="CH68" s="762">
        <f>CD68*CE68+CF68*CG68</f>
        <v>3459.04</v>
      </c>
      <c r="CI68" s="197">
        <f>'Arable NPV'!$E148</f>
        <v>175.95</v>
      </c>
      <c r="CJ68" s="197">
        <f t="shared" si="185"/>
        <v>3634.99</v>
      </c>
      <c r="CK68" s="197">
        <f>'Arable NPV'!$G148</f>
        <v>671.92799999999988</v>
      </c>
      <c r="CL68" s="197">
        <f>'Arable NPV'!$H148</f>
        <v>969.47373599999992</v>
      </c>
      <c r="CM68" s="197">
        <f t="shared" si="186"/>
        <v>1641.4017359999998</v>
      </c>
      <c r="CN68" s="197">
        <f t="shared" si="187"/>
        <v>1817.6382640000002</v>
      </c>
      <c r="CO68" s="197">
        <f t="shared" si="188"/>
        <v>1993.588264</v>
      </c>
      <c r="CP68" s="196">
        <f t="shared" si="189"/>
        <v>2843.0787393648675</v>
      </c>
      <c r="CQ68" s="197">
        <f t="shared" si="190"/>
        <v>144.61807443430789</v>
      </c>
      <c r="CR68" s="197">
        <f t="shared" si="191"/>
        <v>1349.1125799002568</v>
      </c>
      <c r="CS68" s="197">
        <f t="shared" si="192"/>
        <v>1493.9661594646104</v>
      </c>
      <c r="CT68" s="199">
        <f t="shared" si="193"/>
        <v>1638.5842338989182</v>
      </c>
      <c r="CU68" s="196">
        <f t="shared" si="194"/>
        <v>15990.310832603898</v>
      </c>
      <c r="CV68" s="197">
        <f t="shared" si="194"/>
        <v>959.24813914230128</v>
      </c>
      <c r="CW68" s="197">
        <f t="shared" si="195"/>
        <v>8198.8400778656851</v>
      </c>
      <c r="CX68" s="197">
        <f t="shared" si="196"/>
        <v>7791.4707547382141</v>
      </c>
      <c r="CY68" s="199">
        <f t="shared" si="197"/>
        <v>8750.7188938805157</v>
      </c>
      <c r="DB68" s="204">
        <f t="shared" si="212"/>
        <v>6</v>
      </c>
      <c r="DC68" s="219" t="s">
        <v>4</v>
      </c>
      <c r="DD68" s="760">
        <f>'Arable Inputs'!$D$18-'Arable Inputs'!$D$18</f>
        <v>0</v>
      </c>
      <c r="DE68" s="760">
        <f>'Arable Inputs'!$D$25</f>
        <v>193.7</v>
      </c>
      <c r="DF68" s="760">
        <f>'Arable Inputs'!$D$19-'Arable Inputs'!$D$19</f>
        <v>0</v>
      </c>
      <c r="DG68" s="760">
        <f>'Arable Inputs'!$D$26</f>
        <v>73.449999999999989</v>
      </c>
      <c r="DH68" s="762">
        <f>DD68*DE68+DF68*DG68</f>
        <v>0</v>
      </c>
      <c r="DI68" s="197">
        <f>'Arable NPV'!$E148</f>
        <v>175.95</v>
      </c>
      <c r="DJ68" s="197">
        <f t="shared" si="198"/>
        <v>175.95</v>
      </c>
      <c r="DK68" s="197">
        <f>'Arable NPV'!$G148</f>
        <v>671.92799999999988</v>
      </c>
      <c r="DL68" s="197">
        <f>'Arable NPV'!$H148</f>
        <v>969.47373599999992</v>
      </c>
      <c r="DM68" s="197">
        <f t="shared" si="199"/>
        <v>1641.4017359999998</v>
      </c>
      <c r="DN68" s="197">
        <f t="shared" si="200"/>
        <v>-1641.4017359999998</v>
      </c>
      <c r="DO68" s="197">
        <f t="shared" si="201"/>
        <v>-1465.4517359999998</v>
      </c>
      <c r="DP68" s="196">
        <f t="shared" si="202"/>
        <v>0</v>
      </c>
      <c r="DQ68" s="197">
        <f t="shared" si="203"/>
        <v>144.61807443430789</v>
      </c>
      <c r="DR68" s="197">
        <f t="shared" si="204"/>
        <v>1349.1125799002568</v>
      </c>
      <c r="DS68" s="197">
        <f t="shared" si="205"/>
        <v>-1349.1125799002568</v>
      </c>
      <c r="DT68" s="199">
        <f t="shared" si="206"/>
        <v>-1204.4945054659488</v>
      </c>
      <c r="DU68" s="196">
        <f t="shared" si="207"/>
        <v>0</v>
      </c>
      <c r="DV68" s="197">
        <f t="shared" si="207"/>
        <v>959.24813914230128</v>
      </c>
      <c r="DW68" s="197">
        <f t="shared" si="207"/>
        <v>8198.8400778656851</v>
      </c>
      <c r="DX68" s="197">
        <f t="shared" si="207"/>
        <v>-8198.8400778656851</v>
      </c>
      <c r="DY68" s="199">
        <f t="shared" si="207"/>
        <v>-7239.5919387233844</v>
      </c>
    </row>
    <row r="69" spans="2:129" x14ac:dyDescent="0.3">
      <c r="B69" s="204">
        <f t="shared" si="208"/>
        <v>7</v>
      </c>
      <c r="C69" s="219" t="s">
        <v>7</v>
      </c>
      <c r="D69" s="760">
        <f>'Arable Inputs'!$G$18</f>
        <v>63.1</v>
      </c>
      <c r="E69" s="760">
        <f>'Arable Inputs'!$G$25</f>
        <v>26</v>
      </c>
      <c r="H69" s="762">
        <f>D69*E69</f>
        <v>1640.6000000000001</v>
      </c>
      <c r="I69" s="197">
        <f>'Arable NPV'!$E149</f>
        <v>175.95</v>
      </c>
      <c r="J69" s="197">
        <f t="shared" si="152"/>
        <v>1816.5500000000002</v>
      </c>
      <c r="K69" s="197">
        <f>'Arable NPV'!$G149</f>
        <v>819.30399999999986</v>
      </c>
      <c r="L69" s="197">
        <f>'Arable NPV'!$H149</f>
        <v>996.95456799999988</v>
      </c>
      <c r="M69" s="197">
        <f t="shared" si="153"/>
        <v>1816.2585679999997</v>
      </c>
      <c r="N69" s="197">
        <f t="shared" si="154"/>
        <v>-175.6585679999996</v>
      </c>
      <c r="O69" s="197">
        <f t="shared" si="155"/>
        <v>0.29143200000044089</v>
      </c>
      <c r="P69" s="196">
        <f t="shared" si="156"/>
        <v>1296.5900109128772</v>
      </c>
      <c r="Q69" s="197">
        <f t="shared" si="157"/>
        <v>139.05584080221914</v>
      </c>
      <c r="R69" s="197">
        <f t="shared" si="158"/>
        <v>1435.4155287722333</v>
      </c>
      <c r="S69" s="197">
        <f t="shared" si="159"/>
        <v>-138.82551785935624</v>
      </c>
      <c r="T69" s="199">
        <f t="shared" si="160"/>
        <v>0.23032294286293628</v>
      </c>
      <c r="U69" s="196">
        <f t="shared" si="161"/>
        <v>9291.7454272148261</v>
      </c>
      <c r="V69" s="197">
        <f t="shared" si="161"/>
        <v>1098.3039799445205</v>
      </c>
      <c r="W69" s="197">
        <f t="shared" si="161"/>
        <v>9634.2556066379184</v>
      </c>
      <c r="X69" s="197">
        <f t="shared" si="161"/>
        <v>-342.51017942309193</v>
      </c>
      <c r="Y69" s="199">
        <f t="shared" si="161"/>
        <v>755.79380052142881</v>
      </c>
      <c r="Z69" s="197"/>
      <c r="AB69" s="204">
        <f t="shared" si="209"/>
        <v>7</v>
      </c>
      <c r="AC69" s="219" t="s">
        <v>7</v>
      </c>
      <c r="AD69" s="760">
        <f>'Arable Inputs'!$G$18+0.5*'Arable Inputs'!$G$18</f>
        <v>94.65</v>
      </c>
      <c r="AE69" s="760">
        <f>'Arable Inputs'!$G$25</f>
        <v>26</v>
      </c>
      <c r="AH69" s="762">
        <f>AD69*AE69</f>
        <v>2460.9</v>
      </c>
      <c r="AI69" s="197">
        <f>'Arable NPV'!$E149</f>
        <v>175.95</v>
      </c>
      <c r="AJ69" s="197">
        <f t="shared" si="162"/>
        <v>2636.85</v>
      </c>
      <c r="AK69" s="197">
        <f>'Arable NPV'!$G149</f>
        <v>819.30399999999986</v>
      </c>
      <c r="AL69" s="197">
        <f>'Arable NPV'!$H149</f>
        <v>996.95456799999988</v>
      </c>
      <c r="AM69" s="197">
        <f t="shared" si="163"/>
        <v>1816.2585679999997</v>
      </c>
      <c r="AN69" s="197">
        <f t="shared" si="164"/>
        <v>644.64143200000035</v>
      </c>
      <c r="AO69" s="197">
        <f t="shared" si="165"/>
        <v>820.59143200000017</v>
      </c>
      <c r="AP69" s="196">
        <f t="shared" si="166"/>
        <v>1944.8850163693157</v>
      </c>
      <c r="AQ69" s="197">
        <f t="shared" si="167"/>
        <v>139.05584080221914</v>
      </c>
      <c r="AR69" s="197">
        <f t="shared" si="168"/>
        <v>1435.4155287722333</v>
      </c>
      <c r="AS69" s="197">
        <f t="shared" si="169"/>
        <v>509.46948759708226</v>
      </c>
      <c r="AT69" s="199">
        <f t="shared" si="170"/>
        <v>648.5253283993012</v>
      </c>
      <c r="AU69" s="196">
        <f t="shared" si="171"/>
        <v>13937.61814082224</v>
      </c>
      <c r="AV69" s="197">
        <f t="shared" si="171"/>
        <v>1098.3039799445205</v>
      </c>
      <c r="AW69" s="197">
        <f t="shared" si="171"/>
        <v>9634.2556066379184</v>
      </c>
      <c r="AX69" s="197">
        <f t="shared" si="171"/>
        <v>4303.3625341843208</v>
      </c>
      <c r="AY69" s="199">
        <f t="shared" si="172"/>
        <v>5401.6665141288413</v>
      </c>
      <c r="BB69" s="204">
        <f t="shared" si="210"/>
        <v>7</v>
      </c>
      <c r="BC69" s="219" t="s">
        <v>7</v>
      </c>
      <c r="BD69" s="760">
        <f>'Arable Inputs'!$G$18-0.5*'Arable Inputs'!$G$18</f>
        <v>31.55</v>
      </c>
      <c r="BE69" s="760">
        <f>'Arable Inputs'!$G$25</f>
        <v>26</v>
      </c>
      <c r="BH69" s="762">
        <f>BD69*BE69</f>
        <v>820.30000000000007</v>
      </c>
      <c r="BI69" s="197">
        <f>'Arable NPV'!$E149</f>
        <v>175.95</v>
      </c>
      <c r="BJ69" s="197">
        <f t="shared" si="173"/>
        <v>996.25</v>
      </c>
      <c r="BK69" s="197">
        <f>'Arable NPV'!$G149</f>
        <v>819.30399999999986</v>
      </c>
      <c r="BL69" s="197">
        <f>'Arable NPV'!$H149</f>
        <v>996.95456799999988</v>
      </c>
      <c r="BM69" s="197">
        <f t="shared" si="174"/>
        <v>1816.2585679999997</v>
      </c>
      <c r="BN69" s="197">
        <f t="shared" si="175"/>
        <v>-995.95856799999967</v>
      </c>
      <c r="BO69" s="197">
        <f t="shared" si="176"/>
        <v>-820.00856799999974</v>
      </c>
      <c r="BP69" s="196">
        <f t="shared" si="177"/>
        <v>648.29500545643862</v>
      </c>
      <c r="BQ69" s="197">
        <f t="shared" si="178"/>
        <v>139.05584080221914</v>
      </c>
      <c r="BR69" s="197">
        <f t="shared" si="179"/>
        <v>1435.4155287722333</v>
      </c>
      <c r="BS69" s="197">
        <f t="shared" si="180"/>
        <v>-787.1205233157948</v>
      </c>
      <c r="BT69" s="199">
        <f t="shared" si="181"/>
        <v>-648.06468251357569</v>
      </c>
      <c r="BU69" s="196">
        <f t="shared" si="182"/>
        <v>4645.8727136074131</v>
      </c>
      <c r="BV69" s="197">
        <f t="shared" si="182"/>
        <v>1098.3039799445205</v>
      </c>
      <c r="BW69" s="197">
        <f t="shared" si="182"/>
        <v>9634.2556066379184</v>
      </c>
      <c r="BX69" s="197">
        <f t="shared" si="183"/>
        <v>-4988.3828930305044</v>
      </c>
      <c r="BY69" s="199">
        <f t="shared" si="184"/>
        <v>-3890.0789130859848</v>
      </c>
      <c r="CB69" s="204">
        <f t="shared" si="211"/>
        <v>7</v>
      </c>
      <c r="CC69" s="219" t="s">
        <v>7</v>
      </c>
      <c r="CD69" s="760">
        <f>'Arable Inputs'!$G$18+'Arable Inputs'!$G$18</f>
        <v>126.2</v>
      </c>
      <c r="CE69" s="760">
        <f>'Arable Inputs'!$G$25</f>
        <v>26</v>
      </c>
      <c r="CH69" s="762">
        <f>CD69*CE69</f>
        <v>3281.2000000000003</v>
      </c>
      <c r="CI69" s="197">
        <f>'Arable NPV'!$E149</f>
        <v>175.95</v>
      </c>
      <c r="CJ69" s="197">
        <f t="shared" si="185"/>
        <v>3457.15</v>
      </c>
      <c r="CK69" s="197">
        <f>'Arable NPV'!$G149</f>
        <v>819.30399999999986</v>
      </c>
      <c r="CL69" s="197">
        <f>'Arable NPV'!$H149</f>
        <v>996.95456799999988</v>
      </c>
      <c r="CM69" s="197">
        <f t="shared" si="186"/>
        <v>1816.2585679999997</v>
      </c>
      <c r="CN69" s="197">
        <f t="shared" si="187"/>
        <v>1464.9414320000005</v>
      </c>
      <c r="CO69" s="197">
        <f t="shared" si="188"/>
        <v>1640.8914320000003</v>
      </c>
      <c r="CP69" s="196">
        <f t="shared" si="189"/>
        <v>2593.1800218257545</v>
      </c>
      <c r="CQ69" s="197">
        <f t="shared" si="190"/>
        <v>139.05584080221914</v>
      </c>
      <c r="CR69" s="197">
        <f t="shared" si="191"/>
        <v>1435.4155287722333</v>
      </c>
      <c r="CS69" s="197">
        <f t="shared" si="192"/>
        <v>1157.7644930535209</v>
      </c>
      <c r="CT69" s="199">
        <f t="shared" si="193"/>
        <v>1296.8203338557398</v>
      </c>
      <c r="CU69" s="196">
        <f t="shared" si="194"/>
        <v>18583.490854429652</v>
      </c>
      <c r="CV69" s="197">
        <f t="shared" si="194"/>
        <v>1098.3039799445205</v>
      </c>
      <c r="CW69" s="197">
        <f t="shared" si="195"/>
        <v>9634.2556066379184</v>
      </c>
      <c r="CX69" s="197">
        <f t="shared" si="196"/>
        <v>8949.2352477917357</v>
      </c>
      <c r="CY69" s="199">
        <f t="shared" si="197"/>
        <v>10047.539227736255</v>
      </c>
      <c r="DB69" s="204">
        <f t="shared" si="212"/>
        <v>7</v>
      </c>
      <c r="DC69" s="219" t="s">
        <v>7</v>
      </c>
      <c r="DD69" s="760">
        <f>'Arable Inputs'!$G$18-'Arable Inputs'!$G$18</f>
        <v>0</v>
      </c>
      <c r="DE69" s="760">
        <f>'Arable Inputs'!$G$25</f>
        <v>26</v>
      </c>
      <c r="DH69" s="762">
        <f>DD69*DE69</f>
        <v>0</v>
      </c>
      <c r="DI69" s="197">
        <f>'Arable NPV'!$E149</f>
        <v>175.95</v>
      </c>
      <c r="DJ69" s="197">
        <f t="shared" si="198"/>
        <v>175.95</v>
      </c>
      <c r="DK69" s="197">
        <f>'Arable NPV'!$G149</f>
        <v>819.30399999999986</v>
      </c>
      <c r="DL69" s="197">
        <f>'Arable NPV'!$H149</f>
        <v>996.95456799999988</v>
      </c>
      <c r="DM69" s="197">
        <f t="shared" si="199"/>
        <v>1816.2585679999997</v>
      </c>
      <c r="DN69" s="197">
        <f t="shared" si="200"/>
        <v>-1816.2585679999997</v>
      </c>
      <c r="DO69" s="197">
        <f t="shared" si="201"/>
        <v>-1640.3085679999997</v>
      </c>
      <c r="DP69" s="196">
        <f t="shared" si="202"/>
        <v>0</v>
      </c>
      <c r="DQ69" s="197">
        <f t="shared" si="203"/>
        <v>139.05584080221914</v>
      </c>
      <c r="DR69" s="197">
        <f t="shared" si="204"/>
        <v>1435.4155287722333</v>
      </c>
      <c r="DS69" s="197">
        <f t="shared" si="205"/>
        <v>-1435.4155287722333</v>
      </c>
      <c r="DT69" s="199">
        <f t="shared" si="206"/>
        <v>-1296.3596879700142</v>
      </c>
      <c r="DU69" s="196">
        <f t="shared" si="207"/>
        <v>0</v>
      </c>
      <c r="DV69" s="197">
        <f t="shared" si="207"/>
        <v>1098.3039799445205</v>
      </c>
      <c r="DW69" s="197">
        <f t="shared" si="207"/>
        <v>9634.2556066379184</v>
      </c>
      <c r="DX69" s="197">
        <f t="shared" si="207"/>
        <v>-9634.2556066379184</v>
      </c>
      <c r="DY69" s="199">
        <f t="shared" si="207"/>
        <v>-8535.9516266933988</v>
      </c>
    </row>
    <row r="70" spans="2:129" x14ac:dyDescent="0.3">
      <c r="B70" s="204">
        <f t="shared" si="208"/>
        <v>8</v>
      </c>
      <c r="C70" s="219" t="s">
        <v>260</v>
      </c>
      <c r="D70" s="760">
        <f>'Arable Inputs'!$H$18</f>
        <v>8.14</v>
      </c>
      <c r="E70" s="760">
        <f>'Arable Inputs'!$H$25</f>
        <v>182.8</v>
      </c>
      <c r="H70" s="762">
        <f>D70*E70</f>
        <v>1487.9920000000002</v>
      </c>
      <c r="I70" s="197">
        <f>'Arable NPV'!$E150</f>
        <v>175.95</v>
      </c>
      <c r="J70" s="197">
        <f t="shared" si="152"/>
        <v>1663.9420000000002</v>
      </c>
      <c r="K70" s="197">
        <f>'Arable NPV'!$G150</f>
        <v>574.23049999999989</v>
      </c>
      <c r="L70" s="197">
        <f>'Arable NPV'!$H150</f>
        <v>636.366536</v>
      </c>
      <c r="M70" s="197">
        <f t="shared" si="153"/>
        <v>1210.5970359999999</v>
      </c>
      <c r="N70" s="197">
        <f t="shared" si="154"/>
        <v>277.3949640000003</v>
      </c>
      <c r="O70" s="197">
        <f t="shared" si="155"/>
        <v>453.34496400000035</v>
      </c>
      <c r="P70" s="196">
        <f t="shared" si="156"/>
        <v>1130.7516267021647</v>
      </c>
      <c r="Q70" s="197">
        <f t="shared" si="157"/>
        <v>133.70753923290303</v>
      </c>
      <c r="R70" s="197">
        <f t="shared" si="158"/>
        <v>919.95425226601935</v>
      </c>
      <c r="S70" s="197">
        <f t="shared" si="159"/>
        <v>210.79737443614528</v>
      </c>
      <c r="T70" s="199">
        <f t="shared" si="160"/>
        <v>344.50491366904834</v>
      </c>
      <c r="U70" s="196">
        <f t="shared" si="161"/>
        <v>10422.497053916992</v>
      </c>
      <c r="V70" s="197">
        <f t="shared" si="161"/>
        <v>1232.0115191774235</v>
      </c>
      <c r="W70" s="197">
        <f t="shared" si="161"/>
        <v>10554.209858903938</v>
      </c>
      <c r="X70" s="197">
        <f t="shared" si="161"/>
        <v>-131.71280498694665</v>
      </c>
      <c r="Y70" s="199">
        <f t="shared" si="161"/>
        <v>1100.2987141904771</v>
      </c>
      <c r="Z70" s="197"/>
      <c r="AB70" s="204">
        <f t="shared" si="209"/>
        <v>8</v>
      </c>
      <c r="AC70" s="219" t="s">
        <v>31</v>
      </c>
      <c r="AD70" s="760">
        <f>'Arable Inputs'!$H$18+0.5*'Arable Inputs'!$H$18</f>
        <v>12.21</v>
      </c>
      <c r="AE70" s="760">
        <f>'Arable Inputs'!$H$25</f>
        <v>182.8</v>
      </c>
      <c r="AH70" s="762">
        <f>AD70*AE70</f>
        <v>2231.9880000000003</v>
      </c>
      <c r="AI70" s="197">
        <f>'Arable NPV'!$E150</f>
        <v>175.95</v>
      </c>
      <c r="AJ70" s="197">
        <f t="shared" si="162"/>
        <v>2407.9380000000001</v>
      </c>
      <c r="AK70" s="197">
        <f>'Arable NPV'!$G150</f>
        <v>574.23049999999989</v>
      </c>
      <c r="AL70" s="197">
        <f>'Arable NPV'!$H150</f>
        <v>636.366536</v>
      </c>
      <c r="AM70" s="197">
        <f t="shared" si="163"/>
        <v>1210.5970359999999</v>
      </c>
      <c r="AN70" s="197">
        <f t="shared" si="164"/>
        <v>1021.3909640000004</v>
      </c>
      <c r="AO70" s="197">
        <f t="shared" si="165"/>
        <v>1197.3409640000002</v>
      </c>
      <c r="AP70" s="196">
        <f t="shared" si="166"/>
        <v>1696.127440053247</v>
      </c>
      <c r="AQ70" s="197">
        <f t="shared" si="167"/>
        <v>133.70753923290303</v>
      </c>
      <c r="AR70" s="197">
        <f t="shared" si="168"/>
        <v>919.95425226601935</v>
      </c>
      <c r="AS70" s="197">
        <f t="shared" si="169"/>
        <v>776.17318778722756</v>
      </c>
      <c r="AT70" s="199">
        <f t="shared" si="170"/>
        <v>909.88072702013051</v>
      </c>
      <c r="AU70" s="196">
        <f t="shared" si="171"/>
        <v>15633.745580875488</v>
      </c>
      <c r="AV70" s="197">
        <f t="shared" si="171"/>
        <v>1232.0115191774235</v>
      </c>
      <c r="AW70" s="197">
        <f t="shared" si="171"/>
        <v>10554.209858903938</v>
      </c>
      <c r="AX70" s="197">
        <f t="shared" si="171"/>
        <v>5079.5357219715479</v>
      </c>
      <c r="AY70" s="199">
        <f t="shared" si="172"/>
        <v>6311.5472411489718</v>
      </c>
      <c r="BB70" s="204">
        <f t="shared" si="210"/>
        <v>8</v>
      </c>
      <c r="BC70" s="219" t="s">
        <v>31</v>
      </c>
      <c r="BD70" s="760">
        <f>'Arable Inputs'!$H$18-0.5*'Arable Inputs'!$H$18</f>
        <v>4.07</v>
      </c>
      <c r="BE70" s="760">
        <f>'Arable Inputs'!$H$25</f>
        <v>182.8</v>
      </c>
      <c r="BH70" s="762">
        <f>BD70*BE70</f>
        <v>743.99600000000009</v>
      </c>
      <c r="BI70" s="197">
        <f>'Arable NPV'!$E150</f>
        <v>175.95</v>
      </c>
      <c r="BJ70" s="197">
        <f t="shared" si="173"/>
        <v>919.94600000000014</v>
      </c>
      <c r="BK70" s="197">
        <f>'Arable NPV'!$G150</f>
        <v>574.23049999999989</v>
      </c>
      <c r="BL70" s="197">
        <f>'Arable NPV'!$H150</f>
        <v>636.366536</v>
      </c>
      <c r="BM70" s="197">
        <f t="shared" si="174"/>
        <v>1210.5970359999999</v>
      </c>
      <c r="BN70" s="197">
        <f t="shared" si="175"/>
        <v>-466.60103599999979</v>
      </c>
      <c r="BO70" s="197">
        <f t="shared" si="176"/>
        <v>-290.65103599999975</v>
      </c>
      <c r="BP70" s="196">
        <f t="shared" si="177"/>
        <v>565.37581335108234</v>
      </c>
      <c r="BQ70" s="197">
        <f t="shared" si="178"/>
        <v>133.70753923290303</v>
      </c>
      <c r="BR70" s="197">
        <f t="shared" si="179"/>
        <v>919.95425226601935</v>
      </c>
      <c r="BS70" s="197">
        <f t="shared" si="180"/>
        <v>-354.57843891493701</v>
      </c>
      <c r="BT70" s="199">
        <f t="shared" si="181"/>
        <v>-220.87089968203398</v>
      </c>
      <c r="BU70" s="196">
        <f t="shared" si="182"/>
        <v>5211.2485269584959</v>
      </c>
      <c r="BV70" s="197">
        <f t="shared" si="182"/>
        <v>1232.0115191774235</v>
      </c>
      <c r="BW70" s="197">
        <f t="shared" si="182"/>
        <v>10554.209858903938</v>
      </c>
      <c r="BX70" s="197">
        <f t="shared" si="183"/>
        <v>-5342.9613319454411</v>
      </c>
      <c r="BY70" s="199">
        <f t="shared" si="184"/>
        <v>-4110.949812768019</v>
      </c>
      <c r="CB70" s="204">
        <f t="shared" si="211"/>
        <v>8</v>
      </c>
      <c r="CC70" s="219" t="s">
        <v>31</v>
      </c>
      <c r="CD70" s="760">
        <f>'Arable Inputs'!$H$18+'Arable Inputs'!$H$18</f>
        <v>16.28</v>
      </c>
      <c r="CE70" s="760">
        <f>'Arable Inputs'!$H$25</f>
        <v>182.8</v>
      </c>
      <c r="CH70" s="762">
        <f>CD70*CE70</f>
        <v>2975.9840000000004</v>
      </c>
      <c r="CI70" s="197">
        <f>'Arable NPV'!$E150</f>
        <v>175.95</v>
      </c>
      <c r="CJ70" s="197">
        <f t="shared" si="185"/>
        <v>3151.9340000000002</v>
      </c>
      <c r="CK70" s="197">
        <f>'Arable NPV'!$G150</f>
        <v>574.23049999999989</v>
      </c>
      <c r="CL70" s="197">
        <f>'Arable NPV'!$H150</f>
        <v>636.366536</v>
      </c>
      <c r="CM70" s="197">
        <f t="shared" si="186"/>
        <v>1210.5970359999999</v>
      </c>
      <c r="CN70" s="197">
        <f t="shared" si="187"/>
        <v>1765.3869640000005</v>
      </c>
      <c r="CO70" s="197">
        <f t="shared" si="188"/>
        <v>1941.3369640000003</v>
      </c>
      <c r="CP70" s="196">
        <f t="shared" si="189"/>
        <v>2261.5032534043294</v>
      </c>
      <c r="CQ70" s="197">
        <f t="shared" si="190"/>
        <v>133.70753923290303</v>
      </c>
      <c r="CR70" s="197">
        <f t="shared" si="191"/>
        <v>919.95425226601935</v>
      </c>
      <c r="CS70" s="197">
        <f t="shared" si="192"/>
        <v>1341.5490011383099</v>
      </c>
      <c r="CT70" s="199">
        <f t="shared" si="193"/>
        <v>1475.2565403712129</v>
      </c>
      <c r="CU70" s="196">
        <f t="shared" si="194"/>
        <v>20844.994107833983</v>
      </c>
      <c r="CV70" s="197">
        <f t="shared" si="194"/>
        <v>1232.0115191774235</v>
      </c>
      <c r="CW70" s="197">
        <f t="shared" si="195"/>
        <v>10554.209858903938</v>
      </c>
      <c r="CX70" s="197">
        <f t="shared" si="196"/>
        <v>10290.784248930046</v>
      </c>
      <c r="CY70" s="199">
        <f t="shared" si="197"/>
        <v>11522.795768107468</v>
      </c>
      <c r="DB70" s="204">
        <f t="shared" si="212"/>
        <v>8</v>
      </c>
      <c r="DC70" s="219" t="s">
        <v>31</v>
      </c>
      <c r="DD70" s="760">
        <f>'Arable Inputs'!$H$18-'Arable Inputs'!$H$18</f>
        <v>0</v>
      </c>
      <c r="DE70" s="760">
        <f>'Arable Inputs'!$H$25</f>
        <v>182.8</v>
      </c>
      <c r="DH70" s="762">
        <f>DD70*DE70</f>
        <v>0</v>
      </c>
      <c r="DI70" s="197">
        <f>'Arable NPV'!$E150</f>
        <v>175.95</v>
      </c>
      <c r="DJ70" s="197">
        <f t="shared" si="198"/>
        <v>175.95</v>
      </c>
      <c r="DK70" s="197">
        <f>'Arable NPV'!$G150</f>
        <v>574.23049999999989</v>
      </c>
      <c r="DL70" s="197">
        <f>'Arable NPV'!$H150</f>
        <v>636.366536</v>
      </c>
      <c r="DM70" s="197">
        <f t="shared" si="199"/>
        <v>1210.5970359999999</v>
      </c>
      <c r="DN70" s="197">
        <f t="shared" si="200"/>
        <v>-1210.5970359999999</v>
      </c>
      <c r="DO70" s="197">
        <f t="shared" si="201"/>
        <v>-1034.6470359999998</v>
      </c>
      <c r="DP70" s="196">
        <f t="shared" si="202"/>
        <v>0</v>
      </c>
      <c r="DQ70" s="197">
        <f t="shared" si="203"/>
        <v>133.70753923290303</v>
      </c>
      <c r="DR70" s="197">
        <f t="shared" si="204"/>
        <v>919.95425226601935</v>
      </c>
      <c r="DS70" s="197">
        <f t="shared" si="205"/>
        <v>-919.95425226601935</v>
      </c>
      <c r="DT70" s="199">
        <f t="shared" si="206"/>
        <v>-786.24671303311629</v>
      </c>
      <c r="DU70" s="196">
        <f t="shared" si="207"/>
        <v>0</v>
      </c>
      <c r="DV70" s="197">
        <f t="shared" si="207"/>
        <v>1232.0115191774235</v>
      </c>
      <c r="DW70" s="197">
        <f t="shared" si="207"/>
        <v>10554.209858903938</v>
      </c>
      <c r="DX70" s="197">
        <f t="shared" si="207"/>
        <v>-10554.209858903938</v>
      </c>
      <c r="DY70" s="199">
        <f t="shared" si="207"/>
        <v>-9322.1983397265158</v>
      </c>
    </row>
    <row r="71" spans="2:129" x14ac:dyDescent="0.3">
      <c r="B71" s="204">
        <f t="shared" si="208"/>
        <v>9</v>
      </c>
      <c r="C71" s="219" t="s">
        <v>6</v>
      </c>
      <c r="D71" s="760">
        <f>'Arable Inputs'!$F$18</f>
        <v>3.3</v>
      </c>
      <c r="E71" s="760">
        <f>'Arable Inputs'!$F$25</f>
        <v>345.1</v>
      </c>
      <c r="F71" s="760">
        <f>'Arable Inputs'!$F$19</f>
        <v>2.6</v>
      </c>
      <c r="G71" s="760">
        <f>'Arable Inputs'!$F$26</f>
        <v>42.374999999999993</v>
      </c>
      <c r="H71" s="762">
        <f>D71*E71+F71*G71</f>
        <v>1249.0049999999999</v>
      </c>
      <c r="I71" s="197">
        <f>'Arable NPV'!$E151</f>
        <v>175.95</v>
      </c>
      <c r="J71" s="197">
        <f t="shared" si="152"/>
        <v>1424.9549999999999</v>
      </c>
      <c r="K71" s="197">
        <f>'Arable NPV'!$G151</f>
        <v>619.745</v>
      </c>
      <c r="L71" s="197">
        <f>'Arable NPV'!$H151</f>
        <v>710.23622685714281</v>
      </c>
      <c r="M71" s="197">
        <f t="shared" si="153"/>
        <v>1329.9812268571427</v>
      </c>
      <c r="N71" s="197">
        <f t="shared" si="154"/>
        <v>-80.976226857142819</v>
      </c>
      <c r="O71" s="197">
        <f t="shared" si="155"/>
        <v>94.973773142857226</v>
      </c>
      <c r="P71" s="196">
        <f t="shared" si="156"/>
        <v>912.63571949850268</v>
      </c>
      <c r="Q71" s="197">
        <f t="shared" si="157"/>
        <v>128.56494157009902</v>
      </c>
      <c r="R71" s="197">
        <f t="shared" si="158"/>
        <v>971.80425530103548</v>
      </c>
      <c r="S71" s="197">
        <f t="shared" si="159"/>
        <v>-59.16853580253283</v>
      </c>
      <c r="T71" s="199">
        <f t="shared" si="160"/>
        <v>69.39640576756625</v>
      </c>
      <c r="U71" s="196">
        <f t="shared" si="161"/>
        <v>11335.132773415495</v>
      </c>
      <c r="V71" s="197">
        <f t="shared" si="161"/>
        <v>1360.5764607475226</v>
      </c>
      <c r="W71" s="197">
        <f t="shared" si="161"/>
        <v>11526.014114204972</v>
      </c>
      <c r="X71" s="197">
        <f t="shared" si="161"/>
        <v>-190.88134078947948</v>
      </c>
      <c r="Y71" s="199">
        <f t="shared" si="161"/>
        <v>1169.6951199580433</v>
      </c>
      <c r="Z71" s="197"/>
      <c r="AB71" s="204">
        <f t="shared" si="209"/>
        <v>9</v>
      </c>
      <c r="AC71" s="219" t="s">
        <v>6</v>
      </c>
      <c r="AD71" s="760">
        <f>'Arable Inputs'!$F$18+0.5*'Arable Inputs'!$F$18</f>
        <v>4.9499999999999993</v>
      </c>
      <c r="AE71" s="760">
        <f>'Arable Inputs'!$F$25</f>
        <v>345.1</v>
      </c>
      <c r="AF71" s="760">
        <f>'Arable Inputs'!$F$19+0.5*'Arable Inputs'!$F$19</f>
        <v>3.9000000000000004</v>
      </c>
      <c r="AG71" s="760">
        <f>'Arable Inputs'!$F$26</f>
        <v>42.374999999999993</v>
      </c>
      <c r="AH71" s="762">
        <f>AD71*AE71+AF71*AG71</f>
        <v>1873.5074999999999</v>
      </c>
      <c r="AI71" s="197">
        <f>'Arable NPV'!$E151</f>
        <v>175.95</v>
      </c>
      <c r="AJ71" s="197">
        <f t="shared" si="162"/>
        <v>2049.4575</v>
      </c>
      <c r="AK71" s="197">
        <f>'Arable NPV'!$G151</f>
        <v>619.745</v>
      </c>
      <c r="AL71" s="197">
        <f>'Arable NPV'!$H151</f>
        <v>710.23622685714281</v>
      </c>
      <c r="AM71" s="197">
        <f t="shared" si="163"/>
        <v>1329.9812268571427</v>
      </c>
      <c r="AN71" s="197">
        <f t="shared" si="164"/>
        <v>543.52627314285724</v>
      </c>
      <c r="AO71" s="197">
        <f t="shared" si="165"/>
        <v>719.47627314285728</v>
      </c>
      <c r="AP71" s="196">
        <f t="shared" si="166"/>
        <v>1368.9535792477541</v>
      </c>
      <c r="AQ71" s="197">
        <f t="shared" si="167"/>
        <v>128.56494157009902</v>
      </c>
      <c r="AR71" s="197">
        <f t="shared" si="168"/>
        <v>971.80425530103548</v>
      </c>
      <c r="AS71" s="197">
        <f t="shared" si="169"/>
        <v>397.1493239467186</v>
      </c>
      <c r="AT71" s="199">
        <f t="shared" si="170"/>
        <v>525.7142655168177</v>
      </c>
      <c r="AU71" s="196">
        <f t="shared" si="171"/>
        <v>17002.69916012324</v>
      </c>
      <c r="AV71" s="197">
        <f t="shared" si="171"/>
        <v>1360.5764607475226</v>
      </c>
      <c r="AW71" s="197">
        <f t="shared" si="171"/>
        <v>11526.014114204972</v>
      </c>
      <c r="AX71" s="197">
        <f t="shared" si="171"/>
        <v>5476.685045918266</v>
      </c>
      <c r="AY71" s="199">
        <f t="shared" si="172"/>
        <v>6837.2615066657891</v>
      </c>
      <c r="BB71" s="204">
        <f t="shared" si="210"/>
        <v>9</v>
      </c>
      <c r="BC71" s="219" t="s">
        <v>6</v>
      </c>
      <c r="BD71" s="760">
        <f>'Arable Inputs'!$F$18-0.5*'Arable Inputs'!$F$18</f>
        <v>1.65</v>
      </c>
      <c r="BE71" s="760">
        <f>'Arable Inputs'!$F$25</f>
        <v>345.1</v>
      </c>
      <c r="BF71" s="760">
        <f>'Arable Inputs'!$F$19-0.5*'Arable Inputs'!$F$19</f>
        <v>1.3</v>
      </c>
      <c r="BG71" s="760">
        <f>'Arable Inputs'!$F$26</f>
        <v>42.374999999999993</v>
      </c>
      <c r="BH71" s="762">
        <f>BD71*BE71+BF71*BG71</f>
        <v>624.50249999999994</v>
      </c>
      <c r="BI71" s="197">
        <f>'Arable NPV'!$E151</f>
        <v>175.95</v>
      </c>
      <c r="BJ71" s="197">
        <f t="shared" si="173"/>
        <v>800.45249999999987</v>
      </c>
      <c r="BK71" s="197">
        <f>'Arable NPV'!$G151</f>
        <v>619.745</v>
      </c>
      <c r="BL71" s="197">
        <f>'Arable NPV'!$H151</f>
        <v>710.23622685714281</v>
      </c>
      <c r="BM71" s="197">
        <f t="shared" si="174"/>
        <v>1329.9812268571427</v>
      </c>
      <c r="BN71" s="197">
        <f t="shared" si="175"/>
        <v>-705.47872685714276</v>
      </c>
      <c r="BO71" s="197">
        <f t="shared" si="176"/>
        <v>-529.52872685714283</v>
      </c>
      <c r="BP71" s="196">
        <f t="shared" si="177"/>
        <v>456.31785974925134</v>
      </c>
      <c r="BQ71" s="197">
        <f t="shared" si="178"/>
        <v>128.56494157009902</v>
      </c>
      <c r="BR71" s="197">
        <f t="shared" si="179"/>
        <v>971.80425530103548</v>
      </c>
      <c r="BS71" s="197">
        <f t="shared" si="180"/>
        <v>-515.4863955517842</v>
      </c>
      <c r="BT71" s="199">
        <f t="shared" si="181"/>
        <v>-386.92145398168515</v>
      </c>
      <c r="BU71" s="196">
        <f t="shared" si="182"/>
        <v>5667.5663867077474</v>
      </c>
      <c r="BV71" s="197">
        <f t="shared" si="182"/>
        <v>1360.5764607475226</v>
      </c>
      <c r="BW71" s="197">
        <f t="shared" si="182"/>
        <v>11526.014114204972</v>
      </c>
      <c r="BX71" s="197">
        <f t="shared" si="183"/>
        <v>-5858.4477274972251</v>
      </c>
      <c r="BY71" s="199">
        <f t="shared" si="184"/>
        <v>-4497.8712667497039</v>
      </c>
      <c r="CB71" s="204">
        <f t="shared" si="211"/>
        <v>9</v>
      </c>
      <c r="CC71" s="219" t="s">
        <v>6</v>
      </c>
      <c r="CD71" s="760">
        <f>'Arable Inputs'!$F$18+'Arable Inputs'!$F$18</f>
        <v>6.6</v>
      </c>
      <c r="CE71" s="760">
        <f>'Arable Inputs'!$F$25</f>
        <v>345.1</v>
      </c>
      <c r="CF71" s="760">
        <f>'Arable Inputs'!$F$19+'Arable Inputs'!$F$19</f>
        <v>5.2</v>
      </c>
      <c r="CG71" s="760">
        <f>'Arable Inputs'!$F$26</f>
        <v>42.374999999999993</v>
      </c>
      <c r="CH71" s="762">
        <f>CD71*CE71+CF71*CG71</f>
        <v>2498.0099999999998</v>
      </c>
      <c r="CI71" s="197">
        <f>'Arable NPV'!$E151</f>
        <v>175.95</v>
      </c>
      <c r="CJ71" s="197">
        <f t="shared" si="185"/>
        <v>2673.9599999999996</v>
      </c>
      <c r="CK71" s="197">
        <f>'Arable NPV'!$G151</f>
        <v>619.745</v>
      </c>
      <c r="CL71" s="197">
        <f>'Arable NPV'!$H151</f>
        <v>710.23622685714281</v>
      </c>
      <c r="CM71" s="197">
        <f t="shared" si="186"/>
        <v>1329.9812268571427</v>
      </c>
      <c r="CN71" s="197">
        <f t="shared" si="187"/>
        <v>1168.0287731428571</v>
      </c>
      <c r="CO71" s="197">
        <f t="shared" si="188"/>
        <v>1343.9787731428569</v>
      </c>
      <c r="CP71" s="196">
        <f t="shared" si="189"/>
        <v>1825.2714389970054</v>
      </c>
      <c r="CQ71" s="197">
        <f t="shared" si="190"/>
        <v>128.56494157009902</v>
      </c>
      <c r="CR71" s="197">
        <f t="shared" si="191"/>
        <v>971.80425530103548</v>
      </c>
      <c r="CS71" s="197">
        <f t="shared" si="192"/>
        <v>853.46718369596988</v>
      </c>
      <c r="CT71" s="199">
        <f t="shared" si="193"/>
        <v>982.03212526606876</v>
      </c>
      <c r="CU71" s="196">
        <f t="shared" si="194"/>
        <v>22670.265546830989</v>
      </c>
      <c r="CV71" s="197">
        <f t="shared" si="194"/>
        <v>1360.5764607475226</v>
      </c>
      <c r="CW71" s="197">
        <f t="shared" si="195"/>
        <v>11526.014114204972</v>
      </c>
      <c r="CX71" s="197">
        <f t="shared" si="196"/>
        <v>11144.251432626015</v>
      </c>
      <c r="CY71" s="199">
        <f t="shared" si="197"/>
        <v>12504.827893373536</v>
      </c>
      <c r="DB71" s="204">
        <f t="shared" si="212"/>
        <v>9</v>
      </c>
      <c r="DC71" s="219" t="s">
        <v>6</v>
      </c>
      <c r="DD71" s="760">
        <f>'Arable Inputs'!$F$18-'Arable Inputs'!$F$18</f>
        <v>0</v>
      </c>
      <c r="DE71" s="760">
        <f>'Arable Inputs'!$F$25</f>
        <v>345.1</v>
      </c>
      <c r="DF71" s="760">
        <f>'Arable Inputs'!$F$19-'Arable Inputs'!$F$19</f>
        <v>0</v>
      </c>
      <c r="DG71" s="760">
        <f>'Arable Inputs'!$F$26</f>
        <v>42.374999999999993</v>
      </c>
      <c r="DH71" s="762">
        <f>DD71*DE71+DF71*DG71</f>
        <v>0</v>
      </c>
      <c r="DI71" s="197">
        <f>'Arable NPV'!$E151</f>
        <v>175.95</v>
      </c>
      <c r="DJ71" s="197">
        <f t="shared" si="198"/>
        <v>175.95</v>
      </c>
      <c r="DK71" s="197">
        <f>'Arable NPV'!$G151</f>
        <v>619.745</v>
      </c>
      <c r="DL71" s="197">
        <f>'Arable NPV'!$H151</f>
        <v>710.23622685714281</v>
      </c>
      <c r="DM71" s="197">
        <f t="shared" si="199"/>
        <v>1329.9812268571427</v>
      </c>
      <c r="DN71" s="197">
        <f t="shared" si="200"/>
        <v>-1329.9812268571427</v>
      </c>
      <c r="DO71" s="197">
        <f t="shared" si="201"/>
        <v>-1154.0312268571427</v>
      </c>
      <c r="DP71" s="196">
        <f t="shared" si="202"/>
        <v>0</v>
      </c>
      <c r="DQ71" s="197">
        <f t="shared" si="203"/>
        <v>128.56494157009902</v>
      </c>
      <c r="DR71" s="197">
        <f t="shared" si="204"/>
        <v>971.80425530103548</v>
      </c>
      <c r="DS71" s="197">
        <f t="shared" si="205"/>
        <v>-971.80425530103548</v>
      </c>
      <c r="DT71" s="199">
        <f t="shared" si="206"/>
        <v>-843.23931373093637</v>
      </c>
      <c r="DU71" s="196">
        <f t="shared" si="207"/>
        <v>0</v>
      </c>
      <c r="DV71" s="197">
        <f t="shared" si="207"/>
        <v>1360.5764607475226</v>
      </c>
      <c r="DW71" s="197">
        <f t="shared" si="207"/>
        <v>11526.014114204972</v>
      </c>
      <c r="DX71" s="197">
        <f t="shared" si="207"/>
        <v>-11526.014114204972</v>
      </c>
      <c r="DY71" s="199">
        <f t="shared" si="207"/>
        <v>-10165.437653457451</v>
      </c>
    </row>
    <row r="72" spans="2:129" x14ac:dyDescent="0.3">
      <c r="B72" s="204">
        <f t="shared" si="208"/>
        <v>10</v>
      </c>
      <c r="C72" s="219" t="s">
        <v>5</v>
      </c>
      <c r="D72" s="760">
        <f>'Arable Inputs'!$E$18</f>
        <v>4.1100000000000003</v>
      </c>
      <c r="E72" s="760">
        <f>'Arable Inputs'!$E$25</f>
        <v>154.80000000000001</v>
      </c>
      <c r="F72" s="760">
        <f>'Arable Inputs'!$E$19</f>
        <v>3.5</v>
      </c>
      <c r="G72" s="760">
        <f>'Arable Inputs'!$E$26</f>
        <v>79.099999999999994</v>
      </c>
      <c r="H72" s="762">
        <f>D72*E72+F72*G72</f>
        <v>913.07799999999997</v>
      </c>
      <c r="I72" s="197">
        <f>'Arable NPV'!$E152</f>
        <v>175.95</v>
      </c>
      <c r="J72" s="197">
        <f t="shared" si="152"/>
        <v>1089.028</v>
      </c>
      <c r="K72" s="197">
        <f>'Arable NPV'!$G152</f>
        <v>468.64299999999992</v>
      </c>
      <c r="L72" s="197">
        <f>'Arable NPV'!$H152</f>
        <v>888.75536799999986</v>
      </c>
      <c r="M72" s="197">
        <f t="shared" si="153"/>
        <v>1357.3983679999997</v>
      </c>
      <c r="N72" s="197">
        <f t="shared" si="154"/>
        <v>-444.32036799999969</v>
      </c>
      <c r="O72" s="197">
        <f t="shared" si="155"/>
        <v>-268.37036799999964</v>
      </c>
      <c r="P72" s="196">
        <f t="shared" si="156"/>
        <v>641.51649134884735</v>
      </c>
      <c r="Q72" s="197">
        <f t="shared" si="157"/>
        <v>123.62013612509521</v>
      </c>
      <c r="R72" s="197">
        <f t="shared" si="158"/>
        <v>953.69008825315177</v>
      </c>
      <c r="S72" s="197">
        <f t="shared" si="159"/>
        <v>-312.17359690430442</v>
      </c>
      <c r="T72" s="199">
        <f t="shared" si="160"/>
        <v>-188.55346077920919</v>
      </c>
      <c r="U72" s="196">
        <f t="shared" si="161"/>
        <v>11976.649264764343</v>
      </c>
      <c r="V72" s="197">
        <f t="shared" si="161"/>
        <v>1484.1965968726179</v>
      </c>
      <c r="W72" s="197">
        <f t="shared" si="161"/>
        <v>12479.704202458124</v>
      </c>
      <c r="X72" s="197">
        <f t="shared" si="161"/>
        <v>-503.05493769378393</v>
      </c>
      <c r="Y72" s="199">
        <f t="shared" si="161"/>
        <v>981.14165917883406</v>
      </c>
      <c r="Z72" s="197"/>
      <c r="AB72" s="204">
        <f t="shared" si="209"/>
        <v>10</v>
      </c>
      <c r="AC72" s="219" t="s">
        <v>5</v>
      </c>
      <c r="AD72" s="760">
        <f>'Arable Inputs'!$E$18+0.5*'Arable Inputs'!$E$18</f>
        <v>6.1650000000000009</v>
      </c>
      <c r="AE72" s="760">
        <f>'Arable Inputs'!$E$25</f>
        <v>154.80000000000001</v>
      </c>
      <c r="AF72" s="760">
        <f>'Arable Inputs'!$E$19+0.5*'Arable Inputs'!$E$19</f>
        <v>5.25</v>
      </c>
      <c r="AG72" s="760">
        <f>'Arable Inputs'!$E$26</f>
        <v>79.099999999999994</v>
      </c>
      <c r="AH72" s="762">
        <f>AD72*AE72+AF72*AG72</f>
        <v>1369.6170000000002</v>
      </c>
      <c r="AI72" s="197">
        <f>'Arable NPV'!$E152</f>
        <v>175.95</v>
      </c>
      <c r="AJ72" s="197">
        <f t="shared" si="162"/>
        <v>1545.5670000000002</v>
      </c>
      <c r="AK72" s="197">
        <f>'Arable NPV'!$G152</f>
        <v>468.64299999999992</v>
      </c>
      <c r="AL72" s="197">
        <f>'Arable NPV'!$H152</f>
        <v>888.75536799999986</v>
      </c>
      <c r="AM72" s="197">
        <f t="shared" si="163"/>
        <v>1357.3983679999997</v>
      </c>
      <c r="AN72" s="197">
        <f t="shared" si="164"/>
        <v>12.218632000000525</v>
      </c>
      <c r="AO72" s="197">
        <f t="shared" si="165"/>
        <v>188.16863200000057</v>
      </c>
      <c r="AP72" s="196">
        <f t="shared" si="166"/>
        <v>962.2747370232712</v>
      </c>
      <c r="AQ72" s="197">
        <f t="shared" si="167"/>
        <v>123.62013612509521</v>
      </c>
      <c r="AR72" s="197">
        <f t="shared" si="168"/>
        <v>953.69008825315177</v>
      </c>
      <c r="AS72" s="197">
        <f t="shared" si="169"/>
        <v>8.5846487701194061</v>
      </c>
      <c r="AT72" s="199">
        <f t="shared" si="170"/>
        <v>132.20478489521466</v>
      </c>
      <c r="AU72" s="196">
        <f t="shared" si="171"/>
        <v>17964.973897146512</v>
      </c>
      <c r="AV72" s="197">
        <f t="shared" si="171"/>
        <v>1484.1965968726179</v>
      </c>
      <c r="AW72" s="197">
        <f t="shared" si="171"/>
        <v>12479.704202458124</v>
      </c>
      <c r="AX72" s="197">
        <f t="shared" si="171"/>
        <v>5485.2696946883852</v>
      </c>
      <c r="AY72" s="199">
        <f t="shared" si="172"/>
        <v>6969.4662915610033</v>
      </c>
      <c r="BB72" s="204">
        <f t="shared" si="210"/>
        <v>10</v>
      </c>
      <c r="BC72" s="219" t="s">
        <v>5</v>
      </c>
      <c r="BD72" s="760">
        <f>'Arable Inputs'!$E$18-0.5*'Arable Inputs'!$E$18</f>
        <v>2.0550000000000002</v>
      </c>
      <c r="BE72" s="760">
        <f>'Arable Inputs'!$E$25</f>
        <v>154.80000000000001</v>
      </c>
      <c r="BF72" s="760">
        <f>'Arable Inputs'!$E$19-0.5*'Arable Inputs'!$E$19</f>
        <v>1.75</v>
      </c>
      <c r="BG72" s="760">
        <f>'Arable Inputs'!$E$26</f>
        <v>79.099999999999994</v>
      </c>
      <c r="BH72" s="762">
        <f>BD72*BE72+BF72*BG72</f>
        <v>456.53899999999999</v>
      </c>
      <c r="BI72" s="197">
        <f>'Arable NPV'!$E152</f>
        <v>175.95</v>
      </c>
      <c r="BJ72" s="197">
        <f t="shared" si="173"/>
        <v>632.48900000000003</v>
      </c>
      <c r="BK72" s="197">
        <f>'Arable NPV'!$G152</f>
        <v>468.64299999999992</v>
      </c>
      <c r="BL72" s="197">
        <f>'Arable NPV'!$H152</f>
        <v>888.75536799999986</v>
      </c>
      <c r="BM72" s="197">
        <f t="shared" si="174"/>
        <v>1357.3983679999997</v>
      </c>
      <c r="BN72" s="197">
        <f t="shared" si="175"/>
        <v>-900.85936799999968</v>
      </c>
      <c r="BO72" s="197">
        <f t="shared" si="176"/>
        <v>-724.90936799999963</v>
      </c>
      <c r="BP72" s="196">
        <f t="shared" si="177"/>
        <v>320.75824567442368</v>
      </c>
      <c r="BQ72" s="197">
        <f t="shared" si="178"/>
        <v>123.62013612509521</v>
      </c>
      <c r="BR72" s="197">
        <f t="shared" si="179"/>
        <v>953.69008825315177</v>
      </c>
      <c r="BS72" s="197">
        <f t="shared" si="180"/>
        <v>-632.93184257872815</v>
      </c>
      <c r="BT72" s="199">
        <f t="shared" si="181"/>
        <v>-509.31170645363289</v>
      </c>
      <c r="BU72" s="196">
        <f t="shared" si="182"/>
        <v>5988.3246323821713</v>
      </c>
      <c r="BV72" s="197">
        <f t="shared" si="182"/>
        <v>1484.1965968726179</v>
      </c>
      <c r="BW72" s="197">
        <f t="shared" si="182"/>
        <v>12479.704202458124</v>
      </c>
      <c r="BX72" s="197">
        <f t="shared" si="183"/>
        <v>-6491.3795700759529</v>
      </c>
      <c r="BY72" s="199">
        <f t="shared" si="184"/>
        <v>-5007.1829732033366</v>
      </c>
      <c r="CB72" s="204">
        <f t="shared" si="211"/>
        <v>10</v>
      </c>
      <c r="CC72" s="219" t="s">
        <v>5</v>
      </c>
      <c r="CD72" s="760">
        <f>'Arable Inputs'!$E$18+'Arable Inputs'!$E$18</f>
        <v>8.2200000000000006</v>
      </c>
      <c r="CE72" s="760">
        <f>'Arable Inputs'!$E$25</f>
        <v>154.80000000000001</v>
      </c>
      <c r="CF72" s="760">
        <f>'Arable Inputs'!$E$19+'Arable Inputs'!$E$19</f>
        <v>7</v>
      </c>
      <c r="CG72" s="760">
        <f>'Arable Inputs'!$E$26</f>
        <v>79.099999999999994</v>
      </c>
      <c r="CH72" s="762">
        <f>CD72*CE72+CF72*CG72</f>
        <v>1826.1559999999999</v>
      </c>
      <c r="CI72" s="197">
        <f>'Arable NPV'!$E152</f>
        <v>175.95</v>
      </c>
      <c r="CJ72" s="197">
        <f t="shared" si="185"/>
        <v>2002.106</v>
      </c>
      <c r="CK72" s="197">
        <f>'Arable NPV'!$G152</f>
        <v>468.64299999999992</v>
      </c>
      <c r="CL72" s="197">
        <f>'Arable NPV'!$H152</f>
        <v>888.75536799999986</v>
      </c>
      <c r="CM72" s="197">
        <f t="shared" si="186"/>
        <v>1357.3983679999997</v>
      </c>
      <c r="CN72" s="197">
        <f t="shared" si="187"/>
        <v>468.75763200000029</v>
      </c>
      <c r="CO72" s="197">
        <f t="shared" si="188"/>
        <v>644.70763200000033</v>
      </c>
      <c r="CP72" s="196">
        <f t="shared" si="189"/>
        <v>1283.0329826976947</v>
      </c>
      <c r="CQ72" s="197">
        <f t="shared" si="190"/>
        <v>123.62013612509521</v>
      </c>
      <c r="CR72" s="197">
        <f t="shared" si="191"/>
        <v>953.69008825315177</v>
      </c>
      <c r="CS72" s="197">
        <f t="shared" si="192"/>
        <v>329.34289444454294</v>
      </c>
      <c r="CT72" s="199">
        <f t="shared" si="193"/>
        <v>452.96303056963819</v>
      </c>
      <c r="CU72" s="196">
        <f t="shared" si="194"/>
        <v>23953.298529528685</v>
      </c>
      <c r="CV72" s="197">
        <f t="shared" si="194"/>
        <v>1484.1965968726179</v>
      </c>
      <c r="CW72" s="197">
        <f t="shared" si="195"/>
        <v>12479.704202458124</v>
      </c>
      <c r="CX72" s="197">
        <f t="shared" si="196"/>
        <v>11473.594327070557</v>
      </c>
      <c r="CY72" s="199">
        <f t="shared" si="197"/>
        <v>12957.790923943174</v>
      </c>
      <c r="DB72" s="204">
        <f t="shared" si="212"/>
        <v>10</v>
      </c>
      <c r="DC72" s="219" t="s">
        <v>5</v>
      </c>
      <c r="DD72" s="760">
        <f>'Arable Inputs'!$E$18-'Arable Inputs'!$E$18</f>
        <v>0</v>
      </c>
      <c r="DE72" s="760">
        <f>'Arable Inputs'!$E$25</f>
        <v>154.80000000000001</v>
      </c>
      <c r="DF72" s="760">
        <f>'Arable Inputs'!$E$19-'Arable Inputs'!$E$19</f>
        <v>0</v>
      </c>
      <c r="DG72" s="760">
        <f>'Arable Inputs'!$E$26</f>
        <v>79.099999999999994</v>
      </c>
      <c r="DH72" s="762">
        <f>DD72*DE72+DF72*DG72</f>
        <v>0</v>
      </c>
      <c r="DI72" s="197">
        <f>'Arable NPV'!$E152</f>
        <v>175.95</v>
      </c>
      <c r="DJ72" s="197">
        <f t="shared" si="198"/>
        <v>175.95</v>
      </c>
      <c r="DK72" s="197">
        <f>'Arable NPV'!$G152</f>
        <v>468.64299999999992</v>
      </c>
      <c r="DL72" s="197">
        <f>'Arable NPV'!$H152</f>
        <v>888.75536799999986</v>
      </c>
      <c r="DM72" s="197">
        <f t="shared" si="199"/>
        <v>1357.3983679999997</v>
      </c>
      <c r="DN72" s="197">
        <f t="shared" si="200"/>
        <v>-1357.3983679999997</v>
      </c>
      <c r="DO72" s="197">
        <f t="shared" si="201"/>
        <v>-1181.4483679999996</v>
      </c>
      <c r="DP72" s="196">
        <f t="shared" si="202"/>
        <v>0</v>
      </c>
      <c r="DQ72" s="197">
        <f t="shared" si="203"/>
        <v>123.62013612509521</v>
      </c>
      <c r="DR72" s="197">
        <f t="shared" si="204"/>
        <v>953.69008825315177</v>
      </c>
      <c r="DS72" s="197">
        <f t="shared" si="205"/>
        <v>-953.69008825315177</v>
      </c>
      <c r="DT72" s="199">
        <f t="shared" si="206"/>
        <v>-830.06995212805657</v>
      </c>
      <c r="DU72" s="196">
        <f t="shared" si="207"/>
        <v>0</v>
      </c>
      <c r="DV72" s="197">
        <f t="shared" si="207"/>
        <v>1484.1965968726179</v>
      </c>
      <c r="DW72" s="197">
        <f t="shared" si="207"/>
        <v>12479.704202458124</v>
      </c>
      <c r="DX72" s="197">
        <f t="shared" si="207"/>
        <v>-12479.704202458124</v>
      </c>
      <c r="DY72" s="199">
        <f t="shared" si="207"/>
        <v>-10995.507605585508</v>
      </c>
    </row>
    <row r="73" spans="2:129" x14ac:dyDescent="0.3">
      <c r="B73" s="204">
        <f t="shared" si="208"/>
        <v>11</v>
      </c>
      <c r="C73" s="219" t="s">
        <v>4</v>
      </c>
      <c r="D73" s="760">
        <f>'Arable Inputs'!$D$18</f>
        <v>7.45</v>
      </c>
      <c r="E73" s="760">
        <f>'Arable Inputs'!$D$25</f>
        <v>193.7</v>
      </c>
      <c r="F73" s="760">
        <f>'Arable Inputs'!$D$19</f>
        <v>3.9</v>
      </c>
      <c r="G73" s="760">
        <f>'Arable Inputs'!$D$26</f>
        <v>73.449999999999989</v>
      </c>
      <c r="H73" s="762">
        <f>D73*E73+F73*G73</f>
        <v>1729.52</v>
      </c>
      <c r="I73" s="197">
        <f>'Arable NPV'!$E153</f>
        <v>175.95</v>
      </c>
      <c r="J73" s="197">
        <f t="shared" si="152"/>
        <v>1905.47</v>
      </c>
      <c r="K73" s="197">
        <f>'Arable NPV'!$G153</f>
        <v>671.92799999999988</v>
      </c>
      <c r="L73" s="197">
        <f>'Arable NPV'!$H153</f>
        <v>969.47373599999992</v>
      </c>
      <c r="M73" s="197">
        <f t="shared" si="153"/>
        <v>1641.4017359999998</v>
      </c>
      <c r="N73" s="197">
        <f t="shared" si="154"/>
        <v>88.118264000000181</v>
      </c>
      <c r="O73" s="197">
        <f t="shared" si="155"/>
        <v>264.06826400000023</v>
      </c>
      <c r="P73" s="196">
        <f t="shared" si="156"/>
        <v>1168.4017412675951</v>
      </c>
      <c r="Q73" s="197">
        <f t="shared" si="157"/>
        <v>118.86551550489925</v>
      </c>
      <c r="R73" s="197">
        <f t="shared" si="158"/>
        <v>1108.8721994900627</v>
      </c>
      <c r="S73" s="197">
        <f t="shared" si="159"/>
        <v>59.529541777532408</v>
      </c>
      <c r="T73" s="199">
        <f t="shared" si="160"/>
        <v>178.39505728243171</v>
      </c>
      <c r="U73" s="196">
        <f t="shared" si="161"/>
        <v>13145.051006031938</v>
      </c>
      <c r="V73" s="197">
        <f t="shared" si="161"/>
        <v>1603.0621123775172</v>
      </c>
      <c r="W73" s="197">
        <f t="shared" si="161"/>
        <v>13588.576401948187</v>
      </c>
      <c r="X73" s="197">
        <f t="shared" si="161"/>
        <v>-443.52539591625151</v>
      </c>
      <c r="Y73" s="199">
        <f t="shared" si="161"/>
        <v>1159.5367164612658</v>
      </c>
      <c r="Z73" s="197"/>
      <c r="AB73" s="204">
        <f t="shared" si="209"/>
        <v>11</v>
      </c>
      <c r="AC73" s="219" t="s">
        <v>4</v>
      </c>
      <c r="AD73" s="760">
        <f>'Arable Inputs'!$D$18+0.5*'Arable Inputs'!$D$18</f>
        <v>11.175000000000001</v>
      </c>
      <c r="AE73" s="760">
        <f>'Arable Inputs'!$D$25</f>
        <v>193.7</v>
      </c>
      <c r="AF73" s="760">
        <f>'Arable Inputs'!$D$19+0.5*'Arable Inputs'!$D$19</f>
        <v>5.85</v>
      </c>
      <c r="AG73" s="760">
        <f>'Arable Inputs'!$D$26</f>
        <v>73.449999999999989</v>
      </c>
      <c r="AH73" s="762">
        <f>AD73*AE73+AF73*AG73</f>
        <v>2594.2799999999997</v>
      </c>
      <c r="AI73" s="197">
        <f>'Arable NPV'!$E153</f>
        <v>175.95</v>
      </c>
      <c r="AJ73" s="197">
        <f t="shared" si="162"/>
        <v>2770.2299999999996</v>
      </c>
      <c r="AK73" s="197">
        <f>'Arable NPV'!$G153</f>
        <v>671.92799999999988</v>
      </c>
      <c r="AL73" s="197">
        <f>'Arable NPV'!$H153</f>
        <v>969.47373599999992</v>
      </c>
      <c r="AM73" s="197">
        <f t="shared" si="163"/>
        <v>1641.4017359999998</v>
      </c>
      <c r="AN73" s="197">
        <f t="shared" si="164"/>
        <v>952.87826399999994</v>
      </c>
      <c r="AO73" s="197">
        <f t="shared" si="165"/>
        <v>1128.8282639999998</v>
      </c>
      <c r="AP73" s="196">
        <f t="shared" si="166"/>
        <v>1752.6026119013925</v>
      </c>
      <c r="AQ73" s="197">
        <f t="shared" si="167"/>
        <v>118.86551550489925</v>
      </c>
      <c r="AR73" s="197">
        <f t="shared" si="168"/>
        <v>1108.8721994900627</v>
      </c>
      <c r="AS73" s="197">
        <f t="shared" si="169"/>
        <v>643.73041241132978</v>
      </c>
      <c r="AT73" s="199">
        <f t="shared" si="170"/>
        <v>762.5959279162289</v>
      </c>
      <c r="AU73" s="196">
        <f t="shared" si="171"/>
        <v>19717.576509047904</v>
      </c>
      <c r="AV73" s="197">
        <f t="shared" si="171"/>
        <v>1603.0621123775172</v>
      </c>
      <c r="AW73" s="197">
        <f t="shared" si="171"/>
        <v>13588.576401948187</v>
      </c>
      <c r="AX73" s="197">
        <f t="shared" si="171"/>
        <v>6129.000107099715</v>
      </c>
      <c r="AY73" s="199">
        <f t="shared" si="172"/>
        <v>7732.0622194772322</v>
      </c>
      <c r="BB73" s="204">
        <f t="shared" si="210"/>
        <v>11</v>
      </c>
      <c r="BC73" s="219" t="s">
        <v>4</v>
      </c>
      <c r="BD73" s="760">
        <f>'Arable Inputs'!$D$18-0.5*'Arable Inputs'!$D$18</f>
        <v>3.7250000000000001</v>
      </c>
      <c r="BE73" s="760">
        <f>'Arable Inputs'!$D$25</f>
        <v>193.7</v>
      </c>
      <c r="BF73" s="760">
        <f>'Arable Inputs'!$D$19-0.5*'Arable Inputs'!$D$19</f>
        <v>1.95</v>
      </c>
      <c r="BG73" s="760">
        <f>'Arable Inputs'!$D$26</f>
        <v>73.449999999999989</v>
      </c>
      <c r="BH73" s="762">
        <f>BD73*BE73+BF73*BG73</f>
        <v>864.76</v>
      </c>
      <c r="BI73" s="197">
        <f>'Arable NPV'!$E153</f>
        <v>175.95</v>
      </c>
      <c r="BJ73" s="197">
        <f t="shared" si="173"/>
        <v>1040.71</v>
      </c>
      <c r="BK73" s="197">
        <f>'Arable NPV'!$G153</f>
        <v>671.92799999999988</v>
      </c>
      <c r="BL73" s="197">
        <f>'Arable NPV'!$H153</f>
        <v>969.47373599999992</v>
      </c>
      <c r="BM73" s="197">
        <f t="shared" si="174"/>
        <v>1641.4017359999998</v>
      </c>
      <c r="BN73" s="197">
        <f t="shared" si="175"/>
        <v>-776.64173599999981</v>
      </c>
      <c r="BO73" s="197">
        <f t="shared" si="176"/>
        <v>-600.69173599999976</v>
      </c>
      <c r="BP73" s="196">
        <f t="shared" si="177"/>
        <v>584.20087063379754</v>
      </c>
      <c r="BQ73" s="197">
        <f t="shared" si="178"/>
        <v>118.86551550489925</v>
      </c>
      <c r="BR73" s="197">
        <f t="shared" si="179"/>
        <v>1108.8721994900627</v>
      </c>
      <c r="BS73" s="197">
        <f t="shared" si="180"/>
        <v>-524.67132885626518</v>
      </c>
      <c r="BT73" s="199">
        <f t="shared" si="181"/>
        <v>-405.80581335136583</v>
      </c>
      <c r="BU73" s="196">
        <f t="shared" si="182"/>
        <v>6572.5255030159688</v>
      </c>
      <c r="BV73" s="197">
        <f t="shared" si="182"/>
        <v>1603.0621123775172</v>
      </c>
      <c r="BW73" s="197">
        <f t="shared" si="182"/>
        <v>13588.576401948187</v>
      </c>
      <c r="BX73" s="197">
        <f t="shared" si="183"/>
        <v>-7016.0508989322179</v>
      </c>
      <c r="BY73" s="199">
        <f t="shared" si="184"/>
        <v>-5412.9887865547025</v>
      </c>
      <c r="CB73" s="204">
        <f t="shared" si="211"/>
        <v>11</v>
      </c>
      <c r="CC73" s="219" t="s">
        <v>4</v>
      </c>
      <c r="CD73" s="760">
        <f>'Arable Inputs'!$D$18+'Arable Inputs'!$D$18</f>
        <v>14.9</v>
      </c>
      <c r="CE73" s="760">
        <f>'Arable Inputs'!$D$25</f>
        <v>193.7</v>
      </c>
      <c r="CF73" s="760">
        <f>'Arable Inputs'!$D$19+'Arable Inputs'!$D$19</f>
        <v>7.8</v>
      </c>
      <c r="CG73" s="760">
        <f>'Arable Inputs'!$D$26</f>
        <v>73.449999999999989</v>
      </c>
      <c r="CH73" s="762">
        <f>CD73*CE73+CF73*CG73</f>
        <v>3459.04</v>
      </c>
      <c r="CI73" s="197">
        <f>'Arable NPV'!$E153</f>
        <v>175.95</v>
      </c>
      <c r="CJ73" s="197">
        <f t="shared" si="185"/>
        <v>3634.99</v>
      </c>
      <c r="CK73" s="197">
        <f>'Arable NPV'!$G153</f>
        <v>671.92799999999988</v>
      </c>
      <c r="CL73" s="197">
        <f>'Arable NPV'!$H153</f>
        <v>969.47373599999992</v>
      </c>
      <c r="CM73" s="197">
        <f t="shared" si="186"/>
        <v>1641.4017359999998</v>
      </c>
      <c r="CN73" s="197">
        <f t="shared" si="187"/>
        <v>1817.6382640000002</v>
      </c>
      <c r="CO73" s="197">
        <f t="shared" si="188"/>
        <v>1993.588264</v>
      </c>
      <c r="CP73" s="196">
        <f t="shared" si="189"/>
        <v>2336.8034825351901</v>
      </c>
      <c r="CQ73" s="197">
        <f t="shared" si="190"/>
        <v>118.86551550489925</v>
      </c>
      <c r="CR73" s="197">
        <f t="shared" si="191"/>
        <v>1108.8721994900627</v>
      </c>
      <c r="CS73" s="197">
        <f t="shared" si="192"/>
        <v>1227.9312830451274</v>
      </c>
      <c r="CT73" s="199">
        <f t="shared" si="193"/>
        <v>1346.7967985500266</v>
      </c>
      <c r="CU73" s="196">
        <f t="shared" si="194"/>
        <v>26290.102012063875</v>
      </c>
      <c r="CV73" s="197">
        <f t="shared" si="194"/>
        <v>1603.0621123775172</v>
      </c>
      <c r="CW73" s="197">
        <f t="shared" si="195"/>
        <v>13588.576401948187</v>
      </c>
      <c r="CX73" s="197">
        <f t="shared" si="196"/>
        <v>12701.525610115685</v>
      </c>
      <c r="CY73" s="199">
        <f t="shared" si="197"/>
        <v>14304.587722493201</v>
      </c>
      <c r="DB73" s="204">
        <f t="shared" si="212"/>
        <v>11</v>
      </c>
      <c r="DC73" s="219" t="s">
        <v>4</v>
      </c>
      <c r="DD73" s="760">
        <f>'Arable Inputs'!$D$18-'Arable Inputs'!$D$18</f>
        <v>0</v>
      </c>
      <c r="DE73" s="760">
        <f>'Arable Inputs'!$D$25</f>
        <v>193.7</v>
      </c>
      <c r="DF73" s="760">
        <f>'Arable Inputs'!$D$19-'Arable Inputs'!$D$19</f>
        <v>0</v>
      </c>
      <c r="DG73" s="760">
        <f>'Arable Inputs'!$D$26</f>
        <v>73.449999999999989</v>
      </c>
      <c r="DH73" s="762">
        <f>DD73*DE73+DF73*DG73</f>
        <v>0</v>
      </c>
      <c r="DI73" s="197">
        <f>'Arable NPV'!$E153</f>
        <v>175.95</v>
      </c>
      <c r="DJ73" s="197">
        <f t="shared" si="198"/>
        <v>175.95</v>
      </c>
      <c r="DK73" s="197">
        <f>'Arable NPV'!$G153</f>
        <v>671.92799999999988</v>
      </c>
      <c r="DL73" s="197">
        <f>'Arable NPV'!$H153</f>
        <v>969.47373599999992</v>
      </c>
      <c r="DM73" s="197">
        <f t="shared" si="199"/>
        <v>1641.4017359999998</v>
      </c>
      <c r="DN73" s="197">
        <f t="shared" si="200"/>
        <v>-1641.4017359999998</v>
      </c>
      <c r="DO73" s="197">
        <f t="shared" si="201"/>
        <v>-1465.4517359999998</v>
      </c>
      <c r="DP73" s="196">
        <f t="shared" si="202"/>
        <v>0</v>
      </c>
      <c r="DQ73" s="197">
        <f t="shared" si="203"/>
        <v>118.86551550489925</v>
      </c>
      <c r="DR73" s="197">
        <f t="shared" si="204"/>
        <v>1108.8721994900627</v>
      </c>
      <c r="DS73" s="197">
        <f t="shared" si="205"/>
        <v>-1108.8721994900627</v>
      </c>
      <c r="DT73" s="199">
        <f t="shared" si="206"/>
        <v>-990.00668398516336</v>
      </c>
      <c r="DU73" s="196">
        <f t="shared" si="207"/>
        <v>0</v>
      </c>
      <c r="DV73" s="197">
        <f t="shared" si="207"/>
        <v>1603.0621123775172</v>
      </c>
      <c r="DW73" s="197">
        <f t="shared" si="207"/>
        <v>13588.576401948187</v>
      </c>
      <c r="DX73" s="197">
        <f t="shared" si="207"/>
        <v>-13588.576401948187</v>
      </c>
      <c r="DY73" s="199">
        <f t="shared" si="207"/>
        <v>-11985.51428957067</v>
      </c>
    </row>
    <row r="74" spans="2:129" x14ac:dyDescent="0.3">
      <c r="B74" s="204">
        <f t="shared" si="208"/>
        <v>12</v>
      </c>
      <c r="C74" s="219" t="s">
        <v>7</v>
      </c>
      <c r="D74" s="760">
        <f>'Arable Inputs'!$G$18</f>
        <v>63.1</v>
      </c>
      <c r="E74" s="760">
        <f>'Arable Inputs'!$G$25</f>
        <v>26</v>
      </c>
      <c r="H74" s="762">
        <f>D74*E74</f>
        <v>1640.6000000000001</v>
      </c>
      <c r="I74" s="197">
        <f>'Arable NPV'!$E154</f>
        <v>175.95</v>
      </c>
      <c r="J74" s="197">
        <f t="shared" si="152"/>
        <v>1816.5500000000002</v>
      </c>
      <c r="K74" s="197">
        <f>'Arable NPV'!$G154</f>
        <v>819.30399999999986</v>
      </c>
      <c r="L74" s="197">
        <f>'Arable NPV'!$H154</f>
        <v>996.95456799999988</v>
      </c>
      <c r="M74" s="197">
        <f t="shared" si="153"/>
        <v>1816.2585679999997</v>
      </c>
      <c r="N74" s="197">
        <f t="shared" si="154"/>
        <v>-175.6585679999996</v>
      </c>
      <c r="O74" s="197">
        <f t="shared" si="155"/>
        <v>0.29143200000044089</v>
      </c>
      <c r="P74" s="196">
        <f t="shared" si="156"/>
        <v>1065.7024763226973</v>
      </c>
      <c r="Q74" s="197">
        <f t="shared" si="157"/>
        <v>114.29376490855698</v>
      </c>
      <c r="R74" s="197">
        <f t="shared" si="158"/>
        <v>1179.8069325612068</v>
      </c>
      <c r="S74" s="197">
        <f t="shared" si="159"/>
        <v>-114.10445623850939</v>
      </c>
      <c r="T74" s="199">
        <f t="shared" si="160"/>
        <v>0.18930867004763269</v>
      </c>
      <c r="U74" s="196">
        <f t="shared" si="161"/>
        <v>14210.753482354634</v>
      </c>
      <c r="V74" s="197">
        <f t="shared" si="161"/>
        <v>1717.3558772860742</v>
      </c>
      <c r="W74" s="197">
        <f t="shared" si="161"/>
        <v>14768.383334509394</v>
      </c>
      <c r="X74" s="197">
        <f t="shared" si="161"/>
        <v>-557.6298521547609</v>
      </c>
      <c r="Y74" s="199">
        <f t="shared" si="161"/>
        <v>1159.7260251313135</v>
      </c>
      <c r="Z74" s="197"/>
      <c r="AB74" s="204">
        <f t="shared" si="209"/>
        <v>12</v>
      </c>
      <c r="AC74" s="219" t="s">
        <v>7</v>
      </c>
      <c r="AD74" s="760">
        <f>'Arable Inputs'!$G$18+0.5*'Arable Inputs'!$G$18</f>
        <v>94.65</v>
      </c>
      <c r="AE74" s="760">
        <f>'Arable Inputs'!$G$25</f>
        <v>26</v>
      </c>
      <c r="AH74" s="762">
        <f>AD74*AE74</f>
        <v>2460.9</v>
      </c>
      <c r="AI74" s="197">
        <f>'Arable NPV'!$E154</f>
        <v>175.95</v>
      </c>
      <c r="AJ74" s="197">
        <f t="shared" si="162"/>
        <v>2636.85</v>
      </c>
      <c r="AK74" s="197">
        <f>'Arable NPV'!$G154</f>
        <v>819.30399999999986</v>
      </c>
      <c r="AL74" s="197">
        <f>'Arable NPV'!$H154</f>
        <v>996.95456799999988</v>
      </c>
      <c r="AM74" s="197">
        <f t="shared" si="163"/>
        <v>1816.2585679999997</v>
      </c>
      <c r="AN74" s="197">
        <f t="shared" si="164"/>
        <v>644.64143200000035</v>
      </c>
      <c r="AO74" s="197">
        <f t="shared" si="165"/>
        <v>820.59143200000017</v>
      </c>
      <c r="AP74" s="196">
        <f t="shared" si="166"/>
        <v>1598.5537144840459</v>
      </c>
      <c r="AQ74" s="197">
        <f t="shared" si="167"/>
        <v>114.29376490855698</v>
      </c>
      <c r="AR74" s="197">
        <f t="shared" si="168"/>
        <v>1179.8069325612068</v>
      </c>
      <c r="AS74" s="197">
        <f t="shared" si="169"/>
        <v>418.74678192283926</v>
      </c>
      <c r="AT74" s="199">
        <f t="shared" si="170"/>
        <v>533.04054683139611</v>
      </c>
      <c r="AU74" s="196">
        <f t="shared" si="171"/>
        <v>21316.130223531949</v>
      </c>
      <c r="AV74" s="197">
        <f t="shared" si="171"/>
        <v>1717.3558772860742</v>
      </c>
      <c r="AW74" s="197">
        <f t="shared" si="171"/>
        <v>14768.383334509394</v>
      </c>
      <c r="AX74" s="197">
        <f t="shared" si="171"/>
        <v>6547.7468890225546</v>
      </c>
      <c r="AY74" s="199">
        <f t="shared" si="172"/>
        <v>8265.1027663086279</v>
      </c>
      <c r="BB74" s="204">
        <f t="shared" si="210"/>
        <v>12</v>
      </c>
      <c r="BC74" s="219" t="s">
        <v>7</v>
      </c>
      <c r="BD74" s="760">
        <f>'Arable Inputs'!$G$18-0.5*'Arable Inputs'!$G$18</f>
        <v>31.55</v>
      </c>
      <c r="BE74" s="760">
        <f>'Arable Inputs'!$G$25</f>
        <v>26</v>
      </c>
      <c r="BH74" s="762">
        <f>BD74*BE74</f>
        <v>820.30000000000007</v>
      </c>
      <c r="BI74" s="197">
        <f>'Arable NPV'!$E154</f>
        <v>175.95</v>
      </c>
      <c r="BJ74" s="197">
        <f t="shared" si="173"/>
        <v>996.25</v>
      </c>
      <c r="BK74" s="197">
        <f>'Arable NPV'!$G154</f>
        <v>819.30399999999986</v>
      </c>
      <c r="BL74" s="197">
        <f>'Arable NPV'!$H154</f>
        <v>996.95456799999988</v>
      </c>
      <c r="BM74" s="197">
        <f t="shared" si="174"/>
        <v>1816.2585679999997</v>
      </c>
      <c r="BN74" s="197">
        <f t="shared" si="175"/>
        <v>-995.95856799999967</v>
      </c>
      <c r="BO74" s="197">
        <f t="shared" si="176"/>
        <v>-820.00856799999974</v>
      </c>
      <c r="BP74" s="196">
        <f t="shared" si="177"/>
        <v>532.85123816134865</v>
      </c>
      <c r="BQ74" s="197">
        <f t="shared" si="178"/>
        <v>114.29376490855698</v>
      </c>
      <c r="BR74" s="197">
        <f t="shared" si="179"/>
        <v>1179.8069325612068</v>
      </c>
      <c r="BS74" s="197">
        <f t="shared" si="180"/>
        <v>-646.95569439985809</v>
      </c>
      <c r="BT74" s="199">
        <f t="shared" si="181"/>
        <v>-532.66192949130118</v>
      </c>
      <c r="BU74" s="196">
        <f t="shared" si="182"/>
        <v>7105.3767411773169</v>
      </c>
      <c r="BV74" s="197">
        <f t="shared" si="182"/>
        <v>1717.3558772860742</v>
      </c>
      <c r="BW74" s="197">
        <f t="shared" si="182"/>
        <v>14768.383334509394</v>
      </c>
      <c r="BX74" s="197">
        <f t="shared" si="183"/>
        <v>-7663.0065933320757</v>
      </c>
      <c r="BY74" s="199">
        <f t="shared" si="184"/>
        <v>-5945.6507160460042</v>
      </c>
      <c r="CB74" s="204">
        <f t="shared" si="211"/>
        <v>12</v>
      </c>
      <c r="CC74" s="219" t="s">
        <v>7</v>
      </c>
      <c r="CD74" s="760">
        <f>'Arable Inputs'!$G$18+'Arable Inputs'!$G$18</f>
        <v>126.2</v>
      </c>
      <c r="CE74" s="760">
        <f>'Arable Inputs'!$G$25</f>
        <v>26</v>
      </c>
      <c r="CH74" s="762">
        <f>CD74*CE74</f>
        <v>3281.2000000000003</v>
      </c>
      <c r="CI74" s="197">
        <f>'Arable NPV'!$E154</f>
        <v>175.95</v>
      </c>
      <c r="CJ74" s="197">
        <f t="shared" si="185"/>
        <v>3457.15</v>
      </c>
      <c r="CK74" s="197">
        <f>'Arable NPV'!$G154</f>
        <v>819.30399999999986</v>
      </c>
      <c r="CL74" s="197">
        <f>'Arable NPV'!$H154</f>
        <v>996.95456799999988</v>
      </c>
      <c r="CM74" s="197">
        <f t="shared" si="186"/>
        <v>1816.2585679999997</v>
      </c>
      <c r="CN74" s="197">
        <f t="shared" si="187"/>
        <v>1464.9414320000005</v>
      </c>
      <c r="CO74" s="197">
        <f t="shared" si="188"/>
        <v>1640.8914320000003</v>
      </c>
      <c r="CP74" s="196">
        <f t="shared" si="189"/>
        <v>2131.4049526453946</v>
      </c>
      <c r="CQ74" s="197">
        <f t="shared" si="190"/>
        <v>114.29376490855698</v>
      </c>
      <c r="CR74" s="197">
        <f t="shared" si="191"/>
        <v>1179.8069325612068</v>
      </c>
      <c r="CS74" s="197">
        <f t="shared" si="192"/>
        <v>951.59802008418797</v>
      </c>
      <c r="CT74" s="199">
        <f t="shared" si="193"/>
        <v>1065.8917849927448</v>
      </c>
      <c r="CU74" s="196">
        <f t="shared" si="194"/>
        <v>28421.506964709268</v>
      </c>
      <c r="CV74" s="197">
        <f t="shared" si="194"/>
        <v>1717.3558772860742</v>
      </c>
      <c r="CW74" s="197">
        <f t="shared" si="195"/>
        <v>14768.383334509394</v>
      </c>
      <c r="CX74" s="197">
        <f t="shared" si="196"/>
        <v>13653.123630199872</v>
      </c>
      <c r="CY74" s="199">
        <f t="shared" si="197"/>
        <v>15370.479507485947</v>
      </c>
      <c r="DB74" s="204">
        <f t="shared" si="212"/>
        <v>12</v>
      </c>
      <c r="DC74" s="219" t="s">
        <v>7</v>
      </c>
      <c r="DD74" s="760">
        <f>'Arable Inputs'!$G$18-'Arable Inputs'!$G$18</f>
        <v>0</v>
      </c>
      <c r="DE74" s="760">
        <f>'Arable Inputs'!$G$25</f>
        <v>26</v>
      </c>
      <c r="DH74" s="762">
        <f>DD74*DE74</f>
        <v>0</v>
      </c>
      <c r="DI74" s="197">
        <f>'Arable NPV'!$E154</f>
        <v>175.95</v>
      </c>
      <c r="DJ74" s="197">
        <f t="shared" si="198"/>
        <v>175.95</v>
      </c>
      <c r="DK74" s="197">
        <f>'Arable NPV'!$G154</f>
        <v>819.30399999999986</v>
      </c>
      <c r="DL74" s="197">
        <f>'Arable NPV'!$H154</f>
        <v>996.95456799999988</v>
      </c>
      <c r="DM74" s="197">
        <f t="shared" si="199"/>
        <v>1816.2585679999997</v>
      </c>
      <c r="DN74" s="197">
        <f t="shared" si="200"/>
        <v>-1816.2585679999997</v>
      </c>
      <c r="DO74" s="197">
        <f t="shared" si="201"/>
        <v>-1640.3085679999997</v>
      </c>
      <c r="DP74" s="196">
        <f t="shared" si="202"/>
        <v>0</v>
      </c>
      <c r="DQ74" s="197">
        <f t="shared" si="203"/>
        <v>114.29376490855698</v>
      </c>
      <c r="DR74" s="197">
        <f t="shared" si="204"/>
        <v>1179.8069325612068</v>
      </c>
      <c r="DS74" s="197">
        <f t="shared" si="205"/>
        <v>-1179.8069325612068</v>
      </c>
      <c r="DT74" s="199">
        <f t="shared" si="206"/>
        <v>-1065.5131676526498</v>
      </c>
      <c r="DU74" s="196">
        <f t="shared" si="207"/>
        <v>0</v>
      </c>
      <c r="DV74" s="197">
        <f t="shared" si="207"/>
        <v>1717.3558772860742</v>
      </c>
      <c r="DW74" s="197">
        <f t="shared" si="207"/>
        <v>14768.383334509394</v>
      </c>
      <c r="DX74" s="197">
        <f t="shared" si="207"/>
        <v>-14768.383334509394</v>
      </c>
      <c r="DY74" s="199">
        <f t="shared" si="207"/>
        <v>-13051.027457223321</v>
      </c>
    </row>
    <row r="75" spans="2:129" x14ac:dyDescent="0.3">
      <c r="B75" s="204">
        <f t="shared" si="208"/>
        <v>13</v>
      </c>
      <c r="C75" s="219" t="s">
        <v>260</v>
      </c>
      <c r="D75" s="760">
        <f>'Arable Inputs'!$H$18</f>
        <v>8.14</v>
      </c>
      <c r="E75" s="760">
        <f>'Arable Inputs'!$H$25</f>
        <v>182.8</v>
      </c>
      <c r="H75" s="762">
        <f>D75*E75</f>
        <v>1487.9920000000002</v>
      </c>
      <c r="I75" s="197">
        <f>'Arable NPV'!$E155</f>
        <v>175.95</v>
      </c>
      <c r="J75" s="197">
        <f t="shared" si="152"/>
        <v>1663.9420000000002</v>
      </c>
      <c r="K75" s="197">
        <f>'Arable NPV'!$G155</f>
        <v>574.23049999999989</v>
      </c>
      <c r="L75" s="197">
        <f>'Arable NPV'!$H155</f>
        <v>636.366536</v>
      </c>
      <c r="M75" s="197">
        <f t="shared" si="153"/>
        <v>1210.5970359999999</v>
      </c>
      <c r="N75" s="197">
        <f t="shared" si="154"/>
        <v>277.3949640000003</v>
      </c>
      <c r="O75" s="197">
        <f t="shared" si="155"/>
        <v>453.34496400000035</v>
      </c>
      <c r="P75" s="196">
        <f t="shared" si="156"/>
        <v>929.39541299874043</v>
      </c>
      <c r="Q75" s="197">
        <f t="shared" si="157"/>
        <v>109.89785087361246</v>
      </c>
      <c r="R75" s="197">
        <f t="shared" si="158"/>
        <v>756.13533691597183</v>
      </c>
      <c r="S75" s="197">
        <f t="shared" si="159"/>
        <v>173.26007608276856</v>
      </c>
      <c r="T75" s="199">
        <f t="shared" si="160"/>
        <v>283.15792695638106</v>
      </c>
      <c r="U75" s="196">
        <f t="shared" si="161"/>
        <v>15140.148895353374</v>
      </c>
      <c r="V75" s="197">
        <f t="shared" si="161"/>
        <v>1827.2537281596867</v>
      </c>
      <c r="W75" s="197">
        <f t="shared" si="161"/>
        <v>15524.518671425365</v>
      </c>
      <c r="X75" s="197">
        <f t="shared" si="161"/>
        <v>-384.36977607199231</v>
      </c>
      <c r="Y75" s="199">
        <f t="shared" si="161"/>
        <v>1442.8839520876945</v>
      </c>
      <c r="Z75" s="197"/>
      <c r="AB75" s="204">
        <f t="shared" si="209"/>
        <v>13</v>
      </c>
      <c r="AC75" s="219" t="s">
        <v>31</v>
      </c>
      <c r="AD75" s="760">
        <f>'Arable Inputs'!$H$18+0.5*'Arable Inputs'!$H$18</f>
        <v>12.21</v>
      </c>
      <c r="AE75" s="760">
        <f>'Arable Inputs'!$H$25</f>
        <v>182.8</v>
      </c>
      <c r="AH75" s="762">
        <f>AD75*AE75</f>
        <v>2231.9880000000003</v>
      </c>
      <c r="AI75" s="197">
        <f>'Arable NPV'!$E155</f>
        <v>175.95</v>
      </c>
      <c r="AJ75" s="197">
        <f t="shared" si="162"/>
        <v>2407.9380000000001</v>
      </c>
      <c r="AK75" s="197">
        <f>'Arable NPV'!$G155</f>
        <v>574.23049999999989</v>
      </c>
      <c r="AL75" s="197">
        <f>'Arable NPV'!$H155</f>
        <v>636.366536</v>
      </c>
      <c r="AM75" s="197">
        <f t="shared" si="163"/>
        <v>1210.5970359999999</v>
      </c>
      <c r="AN75" s="197">
        <f t="shared" si="164"/>
        <v>1021.3909640000004</v>
      </c>
      <c r="AO75" s="197">
        <f t="shared" si="165"/>
        <v>1197.3409640000002</v>
      </c>
      <c r="AP75" s="196">
        <f t="shared" si="166"/>
        <v>1394.0931194981106</v>
      </c>
      <c r="AQ75" s="197">
        <f t="shared" si="167"/>
        <v>109.89785087361246</v>
      </c>
      <c r="AR75" s="197">
        <f t="shared" si="168"/>
        <v>756.13533691597183</v>
      </c>
      <c r="AS75" s="197">
        <f t="shared" si="169"/>
        <v>637.95778258213875</v>
      </c>
      <c r="AT75" s="199">
        <f t="shared" si="170"/>
        <v>747.8556334557511</v>
      </c>
      <c r="AU75" s="196">
        <f t="shared" si="171"/>
        <v>22710.223343030058</v>
      </c>
      <c r="AV75" s="197">
        <f t="shared" si="171"/>
        <v>1827.2537281596867</v>
      </c>
      <c r="AW75" s="197">
        <f t="shared" si="171"/>
        <v>15524.518671425365</v>
      </c>
      <c r="AX75" s="197">
        <f t="shared" si="171"/>
        <v>7185.7046716046934</v>
      </c>
      <c r="AY75" s="199">
        <f t="shared" si="172"/>
        <v>9012.9583997643786</v>
      </c>
      <c r="BB75" s="204">
        <f t="shared" si="210"/>
        <v>13</v>
      </c>
      <c r="BC75" s="219" t="s">
        <v>31</v>
      </c>
      <c r="BD75" s="760">
        <f>'Arable Inputs'!$H$18-0.5*'Arable Inputs'!$H$18</f>
        <v>4.07</v>
      </c>
      <c r="BE75" s="760">
        <f>'Arable Inputs'!$H$25</f>
        <v>182.8</v>
      </c>
      <c r="BH75" s="762">
        <f>BD75*BE75</f>
        <v>743.99600000000009</v>
      </c>
      <c r="BI75" s="197">
        <f>'Arable NPV'!$E155</f>
        <v>175.95</v>
      </c>
      <c r="BJ75" s="197">
        <f t="shared" si="173"/>
        <v>919.94600000000014</v>
      </c>
      <c r="BK75" s="197">
        <f>'Arable NPV'!$G155</f>
        <v>574.23049999999989</v>
      </c>
      <c r="BL75" s="197">
        <f>'Arable NPV'!$H155</f>
        <v>636.366536</v>
      </c>
      <c r="BM75" s="197">
        <f t="shared" si="174"/>
        <v>1210.5970359999999</v>
      </c>
      <c r="BN75" s="197">
        <f t="shared" si="175"/>
        <v>-466.60103599999979</v>
      </c>
      <c r="BO75" s="197">
        <f t="shared" si="176"/>
        <v>-290.65103599999975</v>
      </c>
      <c r="BP75" s="196">
        <f t="shared" si="177"/>
        <v>464.69770649937021</v>
      </c>
      <c r="BQ75" s="197">
        <f t="shared" si="178"/>
        <v>109.89785087361246</v>
      </c>
      <c r="BR75" s="197">
        <f t="shared" si="179"/>
        <v>756.13533691597183</v>
      </c>
      <c r="BS75" s="197">
        <f t="shared" si="180"/>
        <v>-291.43763041660162</v>
      </c>
      <c r="BT75" s="199">
        <f t="shared" si="181"/>
        <v>-181.53977954298915</v>
      </c>
      <c r="BU75" s="196">
        <f t="shared" si="182"/>
        <v>7570.0744476766868</v>
      </c>
      <c r="BV75" s="197">
        <f t="shared" si="182"/>
        <v>1827.2537281596867</v>
      </c>
      <c r="BW75" s="197">
        <f t="shared" si="182"/>
        <v>15524.518671425365</v>
      </c>
      <c r="BX75" s="197">
        <f t="shared" si="183"/>
        <v>-7954.4442237486774</v>
      </c>
      <c r="BY75" s="199">
        <f t="shared" si="184"/>
        <v>-6127.1904955889931</v>
      </c>
      <c r="CB75" s="204">
        <f t="shared" si="211"/>
        <v>13</v>
      </c>
      <c r="CC75" s="219" t="s">
        <v>31</v>
      </c>
      <c r="CD75" s="760">
        <f>'Arable Inputs'!$H$18+'Arable Inputs'!$H$18</f>
        <v>16.28</v>
      </c>
      <c r="CE75" s="760">
        <f>'Arable Inputs'!$H$25</f>
        <v>182.8</v>
      </c>
      <c r="CH75" s="762">
        <f>CD75*CE75</f>
        <v>2975.9840000000004</v>
      </c>
      <c r="CI75" s="197">
        <f>'Arable NPV'!$E155</f>
        <v>175.95</v>
      </c>
      <c r="CJ75" s="197">
        <f t="shared" si="185"/>
        <v>3151.9340000000002</v>
      </c>
      <c r="CK75" s="197">
        <f>'Arable NPV'!$G155</f>
        <v>574.23049999999989</v>
      </c>
      <c r="CL75" s="197">
        <f>'Arable NPV'!$H155</f>
        <v>636.366536</v>
      </c>
      <c r="CM75" s="197">
        <f t="shared" si="186"/>
        <v>1210.5970359999999</v>
      </c>
      <c r="CN75" s="197">
        <f t="shared" si="187"/>
        <v>1765.3869640000005</v>
      </c>
      <c r="CO75" s="197">
        <f t="shared" si="188"/>
        <v>1941.3369640000003</v>
      </c>
      <c r="CP75" s="196">
        <f t="shared" si="189"/>
        <v>1858.7908259974809</v>
      </c>
      <c r="CQ75" s="197">
        <f t="shared" si="190"/>
        <v>109.89785087361246</v>
      </c>
      <c r="CR75" s="197">
        <f t="shared" si="191"/>
        <v>756.13533691597183</v>
      </c>
      <c r="CS75" s="197">
        <f t="shared" si="192"/>
        <v>1102.6554890815089</v>
      </c>
      <c r="CT75" s="199">
        <f t="shared" si="193"/>
        <v>1212.5533399551214</v>
      </c>
      <c r="CU75" s="196">
        <f t="shared" si="194"/>
        <v>30280.297790706747</v>
      </c>
      <c r="CV75" s="197">
        <f t="shared" si="194"/>
        <v>1827.2537281596867</v>
      </c>
      <c r="CW75" s="197">
        <f t="shared" si="195"/>
        <v>15524.518671425365</v>
      </c>
      <c r="CX75" s="197">
        <f t="shared" si="196"/>
        <v>14755.779119281382</v>
      </c>
      <c r="CY75" s="199">
        <f t="shared" si="197"/>
        <v>16583.032847441067</v>
      </c>
      <c r="DB75" s="204">
        <f t="shared" si="212"/>
        <v>13</v>
      </c>
      <c r="DC75" s="219" t="s">
        <v>31</v>
      </c>
      <c r="DD75" s="760">
        <f>'Arable Inputs'!$H$18-'Arable Inputs'!$H$18</f>
        <v>0</v>
      </c>
      <c r="DE75" s="760">
        <f>'Arable Inputs'!$H$25</f>
        <v>182.8</v>
      </c>
      <c r="DH75" s="762">
        <f>DD75*DE75</f>
        <v>0</v>
      </c>
      <c r="DI75" s="197">
        <f>'Arable NPV'!$E155</f>
        <v>175.95</v>
      </c>
      <c r="DJ75" s="197">
        <f t="shared" si="198"/>
        <v>175.95</v>
      </c>
      <c r="DK75" s="197">
        <f>'Arable NPV'!$G155</f>
        <v>574.23049999999989</v>
      </c>
      <c r="DL75" s="197">
        <f>'Arable NPV'!$H155</f>
        <v>636.366536</v>
      </c>
      <c r="DM75" s="197">
        <f t="shared" si="199"/>
        <v>1210.5970359999999</v>
      </c>
      <c r="DN75" s="197">
        <f t="shared" si="200"/>
        <v>-1210.5970359999999</v>
      </c>
      <c r="DO75" s="197">
        <f t="shared" si="201"/>
        <v>-1034.6470359999998</v>
      </c>
      <c r="DP75" s="196">
        <f t="shared" si="202"/>
        <v>0</v>
      </c>
      <c r="DQ75" s="197">
        <f t="shared" si="203"/>
        <v>109.89785087361246</v>
      </c>
      <c r="DR75" s="197">
        <f t="shared" si="204"/>
        <v>756.13533691597183</v>
      </c>
      <c r="DS75" s="197">
        <f t="shared" si="205"/>
        <v>-756.13533691597183</v>
      </c>
      <c r="DT75" s="199">
        <f t="shared" si="206"/>
        <v>-646.23748604235936</v>
      </c>
      <c r="DU75" s="196">
        <f t="shared" si="207"/>
        <v>0</v>
      </c>
      <c r="DV75" s="197">
        <f t="shared" si="207"/>
        <v>1827.2537281596867</v>
      </c>
      <c r="DW75" s="197">
        <f t="shared" si="207"/>
        <v>15524.518671425365</v>
      </c>
      <c r="DX75" s="197">
        <f t="shared" si="207"/>
        <v>-15524.518671425365</v>
      </c>
      <c r="DY75" s="199">
        <f t="shared" si="207"/>
        <v>-13697.26494326568</v>
      </c>
    </row>
    <row r="76" spans="2:129" x14ac:dyDescent="0.3">
      <c r="B76" s="204">
        <f t="shared" si="208"/>
        <v>14</v>
      </c>
      <c r="C76" s="219" t="s">
        <v>6</v>
      </c>
      <c r="D76" s="760">
        <f>'Arable Inputs'!$F$18</f>
        <v>3.3</v>
      </c>
      <c r="E76" s="760">
        <f>'Arable Inputs'!$F$25</f>
        <v>345.1</v>
      </c>
      <c r="F76" s="760">
        <f>'Arable Inputs'!$F$19</f>
        <v>2.6</v>
      </c>
      <c r="G76" s="760">
        <f>'Arable Inputs'!$F$26</f>
        <v>42.374999999999993</v>
      </c>
      <c r="H76" s="762">
        <f>D76*E76+F76*G76</f>
        <v>1249.0049999999999</v>
      </c>
      <c r="I76" s="197">
        <f>'Arable NPV'!$E156</f>
        <v>175.95</v>
      </c>
      <c r="J76" s="197">
        <f t="shared" si="152"/>
        <v>1424.9549999999999</v>
      </c>
      <c r="K76" s="197">
        <f>'Arable NPV'!$G156</f>
        <v>619.745</v>
      </c>
      <c r="L76" s="197">
        <f>'Arable NPV'!$H156</f>
        <v>710.23622685714281</v>
      </c>
      <c r="M76" s="197">
        <f t="shared" si="153"/>
        <v>1329.9812268571427</v>
      </c>
      <c r="N76" s="197">
        <f t="shared" si="154"/>
        <v>-80.976226857142819</v>
      </c>
      <c r="O76" s="197">
        <f t="shared" si="155"/>
        <v>94.973773142857226</v>
      </c>
      <c r="P76" s="196">
        <f t="shared" si="156"/>
        <v>750.12003645264338</v>
      </c>
      <c r="Q76" s="197">
        <f t="shared" si="157"/>
        <v>105.67101045539658</v>
      </c>
      <c r="R76" s="197">
        <f t="shared" si="158"/>
        <v>798.75225989600631</v>
      </c>
      <c r="S76" s="197">
        <f t="shared" si="159"/>
        <v>-48.632223443362918</v>
      </c>
      <c r="T76" s="199">
        <f t="shared" si="160"/>
        <v>57.038787012033701</v>
      </c>
      <c r="U76" s="196">
        <f t="shared" si="161"/>
        <v>15890.268931806017</v>
      </c>
      <c r="V76" s="197">
        <f t="shared" si="161"/>
        <v>1932.9247386150832</v>
      </c>
      <c r="W76" s="197">
        <f t="shared" si="161"/>
        <v>16323.270931321371</v>
      </c>
      <c r="X76" s="197">
        <f t="shared" si="161"/>
        <v>-433.00199951535524</v>
      </c>
      <c r="Y76" s="199">
        <f t="shared" si="161"/>
        <v>1499.9227390997282</v>
      </c>
      <c r="Z76" s="197"/>
      <c r="AB76" s="204">
        <f t="shared" si="209"/>
        <v>14</v>
      </c>
      <c r="AC76" s="219" t="s">
        <v>6</v>
      </c>
      <c r="AD76" s="760">
        <f>'Arable Inputs'!$F$18+0.5*'Arable Inputs'!$F$18</f>
        <v>4.9499999999999993</v>
      </c>
      <c r="AE76" s="760">
        <f>'Arable Inputs'!$F$25</f>
        <v>345.1</v>
      </c>
      <c r="AF76" s="760">
        <f>'Arable Inputs'!$F$19+0.5*'Arable Inputs'!$F$19</f>
        <v>3.9000000000000004</v>
      </c>
      <c r="AG76" s="760">
        <f>'Arable Inputs'!$F$26</f>
        <v>42.374999999999993</v>
      </c>
      <c r="AH76" s="762">
        <f>AD76*AE76+AF76*AG76</f>
        <v>1873.5074999999999</v>
      </c>
      <c r="AI76" s="197">
        <f>'Arable NPV'!$E156</f>
        <v>175.95</v>
      </c>
      <c r="AJ76" s="197">
        <f t="shared" si="162"/>
        <v>2049.4575</v>
      </c>
      <c r="AK76" s="197">
        <f>'Arable NPV'!$G156</f>
        <v>619.745</v>
      </c>
      <c r="AL76" s="197">
        <f>'Arable NPV'!$H156</f>
        <v>710.23622685714281</v>
      </c>
      <c r="AM76" s="197">
        <f t="shared" si="163"/>
        <v>1329.9812268571427</v>
      </c>
      <c r="AN76" s="197">
        <f t="shared" si="164"/>
        <v>543.52627314285724</v>
      </c>
      <c r="AO76" s="197">
        <f t="shared" si="165"/>
        <v>719.47627314285728</v>
      </c>
      <c r="AP76" s="196">
        <f t="shared" si="166"/>
        <v>1125.1800546789652</v>
      </c>
      <c r="AQ76" s="197">
        <f t="shared" si="167"/>
        <v>105.67101045539658</v>
      </c>
      <c r="AR76" s="197">
        <f t="shared" si="168"/>
        <v>798.75225989600631</v>
      </c>
      <c r="AS76" s="197">
        <f t="shared" si="169"/>
        <v>326.42779478295887</v>
      </c>
      <c r="AT76" s="199">
        <f t="shared" si="170"/>
        <v>432.09880523835551</v>
      </c>
      <c r="AU76" s="196">
        <f t="shared" si="171"/>
        <v>23835.403397709022</v>
      </c>
      <c r="AV76" s="197">
        <f t="shared" si="171"/>
        <v>1932.9247386150832</v>
      </c>
      <c r="AW76" s="197">
        <f t="shared" si="171"/>
        <v>16323.270931321371</v>
      </c>
      <c r="AX76" s="197">
        <f t="shared" si="171"/>
        <v>7512.1324663876521</v>
      </c>
      <c r="AY76" s="199">
        <f t="shared" si="172"/>
        <v>9445.0572050027349</v>
      </c>
      <c r="BB76" s="204">
        <f t="shared" si="210"/>
        <v>14</v>
      </c>
      <c r="BC76" s="219" t="s">
        <v>6</v>
      </c>
      <c r="BD76" s="760">
        <f>'Arable Inputs'!$F$18-0.5*'Arable Inputs'!$F$18</f>
        <v>1.65</v>
      </c>
      <c r="BE76" s="760">
        <f>'Arable Inputs'!$F$25</f>
        <v>345.1</v>
      </c>
      <c r="BF76" s="760">
        <f>'Arable Inputs'!$F$19-0.5*'Arable Inputs'!$F$19</f>
        <v>1.3</v>
      </c>
      <c r="BG76" s="760">
        <f>'Arable Inputs'!$F$26</f>
        <v>42.374999999999993</v>
      </c>
      <c r="BH76" s="762">
        <f>BD76*BE76+BF76*BG76</f>
        <v>624.50249999999994</v>
      </c>
      <c r="BI76" s="197">
        <f>'Arable NPV'!$E156</f>
        <v>175.95</v>
      </c>
      <c r="BJ76" s="197">
        <f t="shared" si="173"/>
        <v>800.45249999999987</v>
      </c>
      <c r="BK76" s="197">
        <f>'Arable NPV'!$G156</f>
        <v>619.745</v>
      </c>
      <c r="BL76" s="197">
        <f>'Arable NPV'!$H156</f>
        <v>710.23622685714281</v>
      </c>
      <c r="BM76" s="197">
        <f t="shared" si="174"/>
        <v>1329.9812268571427</v>
      </c>
      <c r="BN76" s="197">
        <f t="shared" si="175"/>
        <v>-705.47872685714276</v>
      </c>
      <c r="BO76" s="197">
        <f t="shared" si="176"/>
        <v>-529.52872685714283</v>
      </c>
      <c r="BP76" s="196">
        <f t="shared" si="177"/>
        <v>375.06001822632169</v>
      </c>
      <c r="BQ76" s="197">
        <f t="shared" si="178"/>
        <v>105.67101045539658</v>
      </c>
      <c r="BR76" s="197">
        <f t="shared" si="179"/>
        <v>798.75225989600631</v>
      </c>
      <c r="BS76" s="197">
        <f t="shared" si="180"/>
        <v>-423.69224166968462</v>
      </c>
      <c r="BT76" s="199">
        <f t="shared" si="181"/>
        <v>-318.02123121428809</v>
      </c>
      <c r="BU76" s="196">
        <f t="shared" si="182"/>
        <v>7945.1344659030083</v>
      </c>
      <c r="BV76" s="197">
        <f t="shared" si="182"/>
        <v>1932.9247386150832</v>
      </c>
      <c r="BW76" s="197">
        <f t="shared" si="182"/>
        <v>16323.270931321371</v>
      </c>
      <c r="BX76" s="197">
        <f t="shared" si="183"/>
        <v>-8378.1364654183617</v>
      </c>
      <c r="BY76" s="199">
        <f t="shared" si="184"/>
        <v>-6445.2117268032816</v>
      </c>
      <c r="CB76" s="204">
        <f t="shared" si="211"/>
        <v>14</v>
      </c>
      <c r="CC76" s="219" t="s">
        <v>6</v>
      </c>
      <c r="CD76" s="760">
        <f>'Arable Inputs'!$F$18+'Arable Inputs'!$F$18</f>
        <v>6.6</v>
      </c>
      <c r="CE76" s="760">
        <f>'Arable Inputs'!$F$25</f>
        <v>345.1</v>
      </c>
      <c r="CF76" s="760">
        <f>'Arable Inputs'!$F$19+'Arable Inputs'!$F$19</f>
        <v>5.2</v>
      </c>
      <c r="CG76" s="760">
        <f>'Arable Inputs'!$F$26</f>
        <v>42.374999999999993</v>
      </c>
      <c r="CH76" s="762">
        <f>CD76*CE76+CF76*CG76</f>
        <v>2498.0099999999998</v>
      </c>
      <c r="CI76" s="197">
        <f>'Arable NPV'!$E156</f>
        <v>175.95</v>
      </c>
      <c r="CJ76" s="197">
        <f t="shared" si="185"/>
        <v>2673.9599999999996</v>
      </c>
      <c r="CK76" s="197">
        <f>'Arable NPV'!$G156</f>
        <v>619.745</v>
      </c>
      <c r="CL76" s="197">
        <f>'Arable NPV'!$H156</f>
        <v>710.23622685714281</v>
      </c>
      <c r="CM76" s="197">
        <f t="shared" si="186"/>
        <v>1329.9812268571427</v>
      </c>
      <c r="CN76" s="197">
        <f t="shared" si="187"/>
        <v>1168.0287731428571</v>
      </c>
      <c r="CO76" s="197">
        <f t="shared" si="188"/>
        <v>1343.9787731428569</v>
      </c>
      <c r="CP76" s="196">
        <f t="shared" si="189"/>
        <v>1500.2400729052868</v>
      </c>
      <c r="CQ76" s="197">
        <f t="shared" si="190"/>
        <v>105.67101045539658</v>
      </c>
      <c r="CR76" s="197">
        <f t="shared" si="191"/>
        <v>798.75225989600631</v>
      </c>
      <c r="CS76" s="197">
        <f t="shared" si="192"/>
        <v>701.48781300928056</v>
      </c>
      <c r="CT76" s="199">
        <f t="shared" si="193"/>
        <v>807.15882346467697</v>
      </c>
      <c r="CU76" s="196">
        <f t="shared" si="194"/>
        <v>31780.537863612033</v>
      </c>
      <c r="CV76" s="197">
        <f t="shared" si="194"/>
        <v>1932.9247386150832</v>
      </c>
      <c r="CW76" s="197">
        <f t="shared" si="195"/>
        <v>16323.270931321371</v>
      </c>
      <c r="CX76" s="197">
        <f t="shared" si="196"/>
        <v>15457.266932290662</v>
      </c>
      <c r="CY76" s="199">
        <f t="shared" si="197"/>
        <v>17390.191670905744</v>
      </c>
      <c r="DB76" s="204">
        <f t="shared" si="212"/>
        <v>14</v>
      </c>
      <c r="DC76" s="219" t="s">
        <v>6</v>
      </c>
      <c r="DD76" s="760">
        <f>'Arable Inputs'!$F$18-'Arable Inputs'!$F$18</f>
        <v>0</v>
      </c>
      <c r="DE76" s="760">
        <f>'Arable Inputs'!$F$25</f>
        <v>345.1</v>
      </c>
      <c r="DF76" s="760">
        <f>'Arable Inputs'!$F$19-'Arable Inputs'!$F$19</f>
        <v>0</v>
      </c>
      <c r="DG76" s="760">
        <f>'Arable Inputs'!$F$26</f>
        <v>42.374999999999993</v>
      </c>
      <c r="DH76" s="762">
        <f>DD76*DE76+DF76*DG76</f>
        <v>0</v>
      </c>
      <c r="DI76" s="197">
        <f>'Arable NPV'!$E156</f>
        <v>175.95</v>
      </c>
      <c r="DJ76" s="197">
        <f t="shared" si="198"/>
        <v>175.95</v>
      </c>
      <c r="DK76" s="197">
        <f>'Arable NPV'!$G156</f>
        <v>619.745</v>
      </c>
      <c r="DL76" s="197">
        <f>'Arable NPV'!$H156</f>
        <v>710.23622685714281</v>
      </c>
      <c r="DM76" s="197">
        <f t="shared" si="199"/>
        <v>1329.9812268571427</v>
      </c>
      <c r="DN76" s="197">
        <f t="shared" si="200"/>
        <v>-1329.9812268571427</v>
      </c>
      <c r="DO76" s="197">
        <f t="shared" si="201"/>
        <v>-1154.0312268571427</v>
      </c>
      <c r="DP76" s="196">
        <f t="shared" si="202"/>
        <v>0</v>
      </c>
      <c r="DQ76" s="197">
        <f t="shared" si="203"/>
        <v>105.67101045539658</v>
      </c>
      <c r="DR76" s="197">
        <f t="shared" si="204"/>
        <v>798.75225989600631</v>
      </c>
      <c r="DS76" s="197">
        <f t="shared" si="205"/>
        <v>-798.75225989600631</v>
      </c>
      <c r="DT76" s="199">
        <f t="shared" si="206"/>
        <v>-693.08124944060967</v>
      </c>
      <c r="DU76" s="196">
        <f t="shared" si="207"/>
        <v>0</v>
      </c>
      <c r="DV76" s="197">
        <f t="shared" si="207"/>
        <v>1932.9247386150832</v>
      </c>
      <c r="DW76" s="197">
        <f t="shared" si="207"/>
        <v>16323.270931321371</v>
      </c>
      <c r="DX76" s="197">
        <f t="shared" si="207"/>
        <v>-16323.270931321371</v>
      </c>
      <c r="DY76" s="199">
        <f t="shared" si="207"/>
        <v>-14390.346192706289</v>
      </c>
    </row>
    <row r="77" spans="2:129" x14ac:dyDescent="0.3">
      <c r="B77" s="204">
        <f t="shared" si="208"/>
        <v>15</v>
      </c>
      <c r="C77" s="219" t="s">
        <v>5</v>
      </c>
      <c r="D77" s="760">
        <f>'Arable Inputs'!$E$18</f>
        <v>4.1100000000000003</v>
      </c>
      <c r="E77" s="760">
        <f>'Arable Inputs'!$E$25</f>
        <v>154.80000000000001</v>
      </c>
      <c r="F77" s="760">
        <f>'Arable Inputs'!$E$19</f>
        <v>3.5</v>
      </c>
      <c r="G77" s="760">
        <f>'Arable Inputs'!$E$26</f>
        <v>79.099999999999994</v>
      </c>
      <c r="H77" s="762">
        <f>D77*E77+F77*G77</f>
        <v>913.07799999999997</v>
      </c>
      <c r="I77" s="197">
        <f>'Arable NPV'!$E157</f>
        <v>175.95</v>
      </c>
      <c r="J77" s="197">
        <f t="shared" si="152"/>
        <v>1089.028</v>
      </c>
      <c r="K77" s="197">
        <f>'Arable NPV'!$G157</f>
        <v>468.64299999999992</v>
      </c>
      <c r="L77" s="197">
        <f>'Arable NPV'!$H157</f>
        <v>888.75536799999986</v>
      </c>
      <c r="M77" s="197">
        <f t="shared" si="153"/>
        <v>1357.3983679999997</v>
      </c>
      <c r="N77" s="197">
        <f t="shared" si="154"/>
        <v>-444.32036799999969</v>
      </c>
      <c r="O77" s="197">
        <f t="shared" si="155"/>
        <v>-268.37036799999964</v>
      </c>
      <c r="P77" s="196">
        <f t="shared" si="156"/>
        <v>527.27979367276873</v>
      </c>
      <c r="Q77" s="197">
        <f t="shared" si="157"/>
        <v>101.60674082249672</v>
      </c>
      <c r="R77" s="197">
        <f t="shared" si="158"/>
        <v>783.86373498298383</v>
      </c>
      <c r="S77" s="197">
        <f t="shared" si="159"/>
        <v>-256.58394131021504</v>
      </c>
      <c r="T77" s="199">
        <f t="shared" si="160"/>
        <v>-154.97720048771828</v>
      </c>
      <c r="U77" s="196">
        <f t="shared" si="161"/>
        <v>16417.548725478784</v>
      </c>
      <c r="V77" s="197">
        <f t="shared" si="161"/>
        <v>2034.5314794375799</v>
      </c>
      <c r="W77" s="197">
        <f t="shared" si="161"/>
        <v>17107.134666304355</v>
      </c>
      <c r="X77" s="197">
        <f t="shared" si="161"/>
        <v>-689.58594082557033</v>
      </c>
      <c r="Y77" s="199">
        <f t="shared" si="161"/>
        <v>1344.9455386120098</v>
      </c>
      <c r="Z77" s="197"/>
      <c r="AB77" s="204">
        <f t="shared" si="209"/>
        <v>15</v>
      </c>
      <c r="AC77" s="219" t="s">
        <v>5</v>
      </c>
      <c r="AD77" s="760">
        <f>'Arable Inputs'!$E$18+0.5*'Arable Inputs'!$E$18</f>
        <v>6.1650000000000009</v>
      </c>
      <c r="AE77" s="760">
        <f>'Arable Inputs'!$E$25</f>
        <v>154.80000000000001</v>
      </c>
      <c r="AF77" s="760">
        <f>'Arable Inputs'!$E$19+0.5*'Arable Inputs'!$E$19</f>
        <v>5.25</v>
      </c>
      <c r="AG77" s="760">
        <f>'Arable Inputs'!$E$26</f>
        <v>79.099999999999994</v>
      </c>
      <c r="AH77" s="762">
        <f>AD77*AE77+AF77*AG77</f>
        <v>1369.6170000000002</v>
      </c>
      <c r="AI77" s="197">
        <f>'Arable NPV'!$E157</f>
        <v>175.95</v>
      </c>
      <c r="AJ77" s="197">
        <f t="shared" si="162"/>
        <v>1545.5670000000002</v>
      </c>
      <c r="AK77" s="197">
        <f>'Arable NPV'!$G157</f>
        <v>468.64299999999992</v>
      </c>
      <c r="AL77" s="197">
        <f>'Arable NPV'!$H157</f>
        <v>888.75536799999986</v>
      </c>
      <c r="AM77" s="197">
        <f t="shared" si="163"/>
        <v>1357.3983679999997</v>
      </c>
      <c r="AN77" s="197">
        <f t="shared" si="164"/>
        <v>12.218632000000525</v>
      </c>
      <c r="AO77" s="197">
        <f t="shared" si="165"/>
        <v>188.16863200000057</v>
      </c>
      <c r="AP77" s="196">
        <f t="shared" si="166"/>
        <v>790.91969050915327</v>
      </c>
      <c r="AQ77" s="197">
        <f t="shared" si="167"/>
        <v>101.60674082249672</v>
      </c>
      <c r="AR77" s="197">
        <f t="shared" si="168"/>
        <v>783.86373498298383</v>
      </c>
      <c r="AS77" s="197">
        <f t="shared" si="169"/>
        <v>7.0559555261694697</v>
      </c>
      <c r="AT77" s="199">
        <f t="shared" si="170"/>
        <v>108.66269634866622</v>
      </c>
      <c r="AU77" s="196">
        <f t="shared" si="171"/>
        <v>24626.323088218174</v>
      </c>
      <c r="AV77" s="197">
        <f t="shared" si="171"/>
        <v>2034.5314794375799</v>
      </c>
      <c r="AW77" s="197">
        <f t="shared" si="171"/>
        <v>17107.134666304355</v>
      </c>
      <c r="AX77" s="197">
        <f t="shared" si="171"/>
        <v>7519.1884219138219</v>
      </c>
      <c r="AY77" s="199">
        <f t="shared" si="172"/>
        <v>9553.7199013514019</v>
      </c>
      <c r="BB77" s="204">
        <f t="shared" si="210"/>
        <v>15</v>
      </c>
      <c r="BC77" s="219" t="s">
        <v>5</v>
      </c>
      <c r="BD77" s="760">
        <f>'Arable Inputs'!$E$18-0.5*'Arable Inputs'!$E$18</f>
        <v>2.0550000000000002</v>
      </c>
      <c r="BE77" s="760">
        <f>'Arable Inputs'!$E$25</f>
        <v>154.80000000000001</v>
      </c>
      <c r="BF77" s="760">
        <f>'Arable Inputs'!$E$19-0.5*'Arable Inputs'!$E$19</f>
        <v>1.75</v>
      </c>
      <c r="BG77" s="760">
        <f>'Arable Inputs'!$E$26</f>
        <v>79.099999999999994</v>
      </c>
      <c r="BH77" s="762">
        <f>BD77*BE77+BF77*BG77</f>
        <v>456.53899999999999</v>
      </c>
      <c r="BI77" s="197">
        <f>'Arable NPV'!$E157</f>
        <v>175.95</v>
      </c>
      <c r="BJ77" s="197">
        <f t="shared" si="173"/>
        <v>632.48900000000003</v>
      </c>
      <c r="BK77" s="197">
        <f>'Arable NPV'!$G157</f>
        <v>468.64299999999992</v>
      </c>
      <c r="BL77" s="197">
        <f>'Arable NPV'!$H157</f>
        <v>888.75536799999986</v>
      </c>
      <c r="BM77" s="197">
        <f t="shared" si="174"/>
        <v>1357.3983679999997</v>
      </c>
      <c r="BN77" s="197">
        <f t="shared" si="175"/>
        <v>-900.85936799999968</v>
      </c>
      <c r="BO77" s="197">
        <f t="shared" si="176"/>
        <v>-724.90936799999963</v>
      </c>
      <c r="BP77" s="196">
        <f t="shared" si="177"/>
        <v>263.63989683638437</v>
      </c>
      <c r="BQ77" s="197">
        <f t="shared" si="178"/>
        <v>101.60674082249672</v>
      </c>
      <c r="BR77" s="197">
        <f t="shared" si="179"/>
        <v>783.86373498298383</v>
      </c>
      <c r="BS77" s="197">
        <f t="shared" si="180"/>
        <v>-520.22383814659941</v>
      </c>
      <c r="BT77" s="199">
        <f t="shared" si="181"/>
        <v>-418.61709732410264</v>
      </c>
      <c r="BU77" s="196">
        <f t="shared" si="182"/>
        <v>8208.774362739392</v>
      </c>
      <c r="BV77" s="197">
        <f t="shared" si="182"/>
        <v>2034.5314794375799</v>
      </c>
      <c r="BW77" s="197">
        <f t="shared" si="182"/>
        <v>17107.134666304355</v>
      </c>
      <c r="BX77" s="197">
        <f t="shared" si="183"/>
        <v>-8898.3603035649612</v>
      </c>
      <c r="BY77" s="199">
        <f t="shared" si="184"/>
        <v>-6863.828824127384</v>
      </c>
      <c r="CB77" s="204">
        <f t="shared" si="211"/>
        <v>15</v>
      </c>
      <c r="CC77" s="219" t="s">
        <v>5</v>
      </c>
      <c r="CD77" s="760">
        <f>'Arable Inputs'!$E$18+'Arable Inputs'!$E$18</f>
        <v>8.2200000000000006</v>
      </c>
      <c r="CE77" s="760">
        <f>'Arable Inputs'!$E$25</f>
        <v>154.80000000000001</v>
      </c>
      <c r="CF77" s="760">
        <f>'Arable Inputs'!$E$19+'Arable Inputs'!$E$19</f>
        <v>7</v>
      </c>
      <c r="CG77" s="760">
        <f>'Arable Inputs'!$E$26</f>
        <v>79.099999999999994</v>
      </c>
      <c r="CH77" s="762">
        <f>CD77*CE77+CF77*CG77</f>
        <v>1826.1559999999999</v>
      </c>
      <c r="CI77" s="197">
        <f>'Arable NPV'!$E157</f>
        <v>175.95</v>
      </c>
      <c r="CJ77" s="197">
        <f t="shared" si="185"/>
        <v>2002.106</v>
      </c>
      <c r="CK77" s="197">
        <f>'Arable NPV'!$G157</f>
        <v>468.64299999999992</v>
      </c>
      <c r="CL77" s="197">
        <f>'Arable NPV'!$H157</f>
        <v>888.75536799999986</v>
      </c>
      <c r="CM77" s="197">
        <f t="shared" si="186"/>
        <v>1357.3983679999997</v>
      </c>
      <c r="CN77" s="197">
        <f t="shared" si="187"/>
        <v>468.75763200000029</v>
      </c>
      <c r="CO77" s="197">
        <f t="shared" si="188"/>
        <v>644.70763200000033</v>
      </c>
      <c r="CP77" s="196">
        <f t="shared" si="189"/>
        <v>1054.5595873455375</v>
      </c>
      <c r="CQ77" s="197">
        <f t="shared" si="190"/>
        <v>101.60674082249672</v>
      </c>
      <c r="CR77" s="197">
        <f t="shared" si="191"/>
        <v>783.86373498298383</v>
      </c>
      <c r="CS77" s="197">
        <f t="shared" si="192"/>
        <v>270.69585236255369</v>
      </c>
      <c r="CT77" s="199">
        <f t="shared" si="193"/>
        <v>372.30259318505045</v>
      </c>
      <c r="CU77" s="196">
        <f t="shared" si="194"/>
        <v>32835.097450957568</v>
      </c>
      <c r="CV77" s="197">
        <f t="shared" si="194"/>
        <v>2034.5314794375799</v>
      </c>
      <c r="CW77" s="197">
        <f t="shared" si="195"/>
        <v>17107.134666304355</v>
      </c>
      <c r="CX77" s="197">
        <f t="shared" si="196"/>
        <v>15727.962784653217</v>
      </c>
      <c r="CY77" s="199">
        <f t="shared" si="197"/>
        <v>17762.494264090794</v>
      </c>
      <c r="DB77" s="204">
        <f t="shared" si="212"/>
        <v>15</v>
      </c>
      <c r="DC77" s="219" t="s">
        <v>5</v>
      </c>
      <c r="DD77" s="760">
        <f>'Arable Inputs'!$E$18-'Arable Inputs'!$E$18</f>
        <v>0</v>
      </c>
      <c r="DE77" s="760">
        <f>'Arable Inputs'!$E$25</f>
        <v>154.80000000000001</v>
      </c>
      <c r="DF77" s="760">
        <f>'Arable Inputs'!$E$19-'Arable Inputs'!$E$19</f>
        <v>0</v>
      </c>
      <c r="DG77" s="760">
        <f>'Arable Inputs'!$E$26</f>
        <v>79.099999999999994</v>
      </c>
      <c r="DH77" s="762">
        <f>DD77*DE77+DF77*DG77</f>
        <v>0</v>
      </c>
      <c r="DI77" s="197">
        <f>'Arable NPV'!$E157</f>
        <v>175.95</v>
      </c>
      <c r="DJ77" s="197">
        <f t="shared" si="198"/>
        <v>175.95</v>
      </c>
      <c r="DK77" s="197">
        <f>'Arable NPV'!$G157</f>
        <v>468.64299999999992</v>
      </c>
      <c r="DL77" s="197">
        <f>'Arable NPV'!$H157</f>
        <v>888.75536799999986</v>
      </c>
      <c r="DM77" s="197">
        <f t="shared" si="199"/>
        <v>1357.3983679999997</v>
      </c>
      <c r="DN77" s="197">
        <f t="shared" si="200"/>
        <v>-1357.3983679999997</v>
      </c>
      <c r="DO77" s="197">
        <f t="shared" si="201"/>
        <v>-1181.4483679999996</v>
      </c>
      <c r="DP77" s="196">
        <f t="shared" si="202"/>
        <v>0</v>
      </c>
      <c r="DQ77" s="197">
        <f t="shared" si="203"/>
        <v>101.60674082249672</v>
      </c>
      <c r="DR77" s="197">
        <f t="shared" si="204"/>
        <v>783.86373498298383</v>
      </c>
      <c r="DS77" s="197">
        <f t="shared" si="205"/>
        <v>-783.86373498298383</v>
      </c>
      <c r="DT77" s="199">
        <f t="shared" si="206"/>
        <v>-682.25699416048701</v>
      </c>
      <c r="DU77" s="196">
        <f t="shared" si="207"/>
        <v>0</v>
      </c>
      <c r="DV77" s="197">
        <f t="shared" si="207"/>
        <v>2034.5314794375799</v>
      </c>
      <c r="DW77" s="197">
        <f t="shared" si="207"/>
        <v>17107.134666304355</v>
      </c>
      <c r="DX77" s="197">
        <f t="shared" si="207"/>
        <v>-17107.134666304355</v>
      </c>
      <c r="DY77" s="199">
        <f t="shared" si="207"/>
        <v>-15072.603186866776</v>
      </c>
    </row>
    <row r="78" spans="2:129" x14ac:dyDescent="0.3">
      <c r="B78" s="206">
        <f t="shared" si="208"/>
        <v>16</v>
      </c>
      <c r="C78" s="220" t="s">
        <v>4</v>
      </c>
      <c r="D78" s="761">
        <f>'Arable Inputs'!$D$18</f>
        <v>7.45</v>
      </c>
      <c r="E78" s="761">
        <f>'Arable Inputs'!$D$25</f>
        <v>193.7</v>
      </c>
      <c r="F78" s="761">
        <f>'Arable Inputs'!$D$19</f>
        <v>3.9</v>
      </c>
      <c r="G78" s="761">
        <f>'Arable Inputs'!$D$26</f>
        <v>73.449999999999989</v>
      </c>
      <c r="H78" s="207">
        <f>D78*E78+F78*G78</f>
        <v>1729.52</v>
      </c>
      <c r="I78" s="207">
        <f>'Arable NPV'!$E158</f>
        <v>175.95</v>
      </c>
      <c r="J78" s="207">
        <f t="shared" si="152"/>
        <v>1905.47</v>
      </c>
      <c r="K78" s="207">
        <f>'Arable NPV'!$G158</f>
        <v>671.92799999999988</v>
      </c>
      <c r="L78" s="207">
        <f>'Arable NPV'!$H158</f>
        <v>969.47373599999992</v>
      </c>
      <c r="M78" s="207">
        <f t="shared" si="153"/>
        <v>1641.4017359999998</v>
      </c>
      <c r="N78" s="207">
        <f t="shared" si="154"/>
        <v>88.118264000000181</v>
      </c>
      <c r="O78" s="207">
        <f t="shared" si="155"/>
        <v>264.06826400000023</v>
      </c>
      <c r="P78" s="208">
        <f>H78/(1+$B$4)^(B78-1)</f>
        <v>960.34106273266298</v>
      </c>
      <c r="Q78" s="207">
        <f>I78/(1+$B$4)^(B78-1)</f>
        <v>97.698789252400701</v>
      </c>
      <c r="R78" s="207">
        <f>M78/(1+$B$4)^(B78-1)</f>
        <v>911.41211869274582</v>
      </c>
      <c r="S78" s="207">
        <f t="shared" si="159"/>
        <v>48.928944039917162</v>
      </c>
      <c r="T78" s="209">
        <f>O78/(1+$B$4)^(B78-1)</f>
        <v>146.62773329231788</v>
      </c>
      <c r="U78" s="208">
        <f t="shared" si="161"/>
        <v>17377.889788211447</v>
      </c>
      <c r="V78" s="207">
        <f t="shared" si="161"/>
        <v>2132.2302686899807</v>
      </c>
      <c r="W78" s="207">
        <f t="shared" si="161"/>
        <v>18018.546784997099</v>
      </c>
      <c r="X78" s="207">
        <f t="shared" si="161"/>
        <v>-640.65699678565318</v>
      </c>
      <c r="Y78" s="209">
        <f t="shared" si="161"/>
        <v>1491.5732719043276</v>
      </c>
      <c r="Z78" s="197"/>
      <c r="AB78" s="206">
        <f t="shared" si="209"/>
        <v>16</v>
      </c>
      <c r="AC78" s="220" t="s">
        <v>4</v>
      </c>
      <c r="AD78" s="761">
        <f>'Arable Inputs'!$D$18+0.5*'Arable Inputs'!$D$18</f>
        <v>11.175000000000001</v>
      </c>
      <c r="AE78" s="761">
        <f>'Arable Inputs'!$D$25</f>
        <v>193.7</v>
      </c>
      <c r="AF78" s="761">
        <f>'Arable Inputs'!$D$19+0.5*'Arable Inputs'!$D$19</f>
        <v>5.85</v>
      </c>
      <c r="AG78" s="761">
        <f>'Arable Inputs'!$D$26</f>
        <v>73.449999999999989</v>
      </c>
      <c r="AH78" s="207">
        <f>AD78*AE78+AF78*AG78</f>
        <v>2594.2799999999997</v>
      </c>
      <c r="AI78" s="207">
        <f>'Arable NPV'!$E158</f>
        <v>175.95</v>
      </c>
      <c r="AJ78" s="207">
        <f t="shared" si="162"/>
        <v>2770.2299999999996</v>
      </c>
      <c r="AK78" s="207">
        <f>'Arable NPV'!$G158</f>
        <v>671.92799999999988</v>
      </c>
      <c r="AL78" s="207">
        <f>'Arable NPV'!$H158</f>
        <v>969.47373599999992</v>
      </c>
      <c r="AM78" s="207">
        <f t="shared" si="163"/>
        <v>1641.4017359999998</v>
      </c>
      <c r="AN78" s="207">
        <f t="shared" si="164"/>
        <v>952.87826399999994</v>
      </c>
      <c r="AO78" s="207">
        <f t="shared" si="165"/>
        <v>1128.8282639999998</v>
      </c>
      <c r="AP78" s="208">
        <f>AH78/(1+$B$4)^(AB78-1)</f>
        <v>1440.5115940989945</v>
      </c>
      <c r="AQ78" s="207">
        <f>AI78/(1+$B$4)^(AB78-1)</f>
        <v>97.698789252400701</v>
      </c>
      <c r="AR78" s="207">
        <f>AM78/(1+$B$4)^(AB78-1)</f>
        <v>911.41211869274582</v>
      </c>
      <c r="AS78" s="207">
        <f t="shared" si="169"/>
        <v>529.09947540624853</v>
      </c>
      <c r="AT78" s="209">
        <f>AO78/(1+$B$4)^(AB78-1)</f>
        <v>626.79826465864915</v>
      </c>
      <c r="AU78" s="208">
        <f t="shared" si="171"/>
        <v>26066.834682317167</v>
      </c>
      <c r="AV78" s="207">
        <f t="shared" si="171"/>
        <v>2132.2302686899807</v>
      </c>
      <c r="AW78" s="207">
        <f t="shared" si="171"/>
        <v>18018.546784997099</v>
      </c>
      <c r="AX78" s="207">
        <f t="shared" si="171"/>
        <v>8048.2878973200704</v>
      </c>
      <c r="AY78" s="209">
        <f t="shared" si="172"/>
        <v>10180.518166010052</v>
      </c>
      <c r="BB78" s="206">
        <f t="shared" si="210"/>
        <v>16</v>
      </c>
      <c r="BC78" s="220" t="s">
        <v>4</v>
      </c>
      <c r="BD78" s="761">
        <f>'Arable Inputs'!$D$18-0.5*'Arable Inputs'!$D$18</f>
        <v>3.7250000000000001</v>
      </c>
      <c r="BE78" s="761">
        <f>'Arable Inputs'!$D$25</f>
        <v>193.7</v>
      </c>
      <c r="BF78" s="761">
        <f>'Arable Inputs'!$D$19-0.5*'Arable Inputs'!$D$19</f>
        <v>1.95</v>
      </c>
      <c r="BG78" s="761">
        <f>'Arable Inputs'!$D$26</f>
        <v>73.449999999999989</v>
      </c>
      <c r="BH78" s="207">
        <f>BD78*BE78+BF78*BG78</f>
        <v>864.76</v>
      </c>
      <c r="BI78" s="207">
        <f>'Arable NPV'!$E158</f>
        <v>175.95</v>
      </c>
      <c r="BJ78" s="207">
        <f t="shared" si="173"/>
        <v>1040.71</v>
      </c>
      <c r="BK78" s="207">
        <f>'Arable NPV'!$G158</f>
        <v>671.92799999999988</v>
      </c>
      <c r="BL78" s="207">
        <f>'Arable NPV'!$H158</f>
        <v>969.47373599999992</v>
      </c>
      <c r="BM78" s="207">
        <f t="shared" si="174"/>
        <v>1641.4017359999998</v>
      </c>
      <c r="BN78" s="207">
        <f t="shared" si="175"/>
        <v>-776.64173599999981</v>
      </c>
      <c r="BO78" s="207">
        <f t="shared" si="176"/>
        <v>-600.69173599999976</v>
      </c>
      <c r="BP78" s="208">
        <f>BH78/(1+$B$4)^(BB78-1)</f>
        <v>480.17053136633149</v>
      </c>
      <c r="BQ78" s="207">
        <f>BI78/(1+$B$4)^(BB78-1)</f>
        <v>97.698789252400701</v>
      </c>
      <c r="BR78" s="207">
        <f>BM78/(1+$B$4)^(BB78-1)</f>
        <v>911.41211869274582</v>
      </c>
      <c r="BS78" s="207">
        <f t="shared" si="180"/>
        <v>-431.24158732641433</v>
      </c>
      <c r="BT78" s="209">
        <f>BO78/(1+$B$4)^(BB78-1)</f>
        <v>-333.5427980740136</v>
      </c>
      <c r="BU78" s="208">
        <f t="shared" si="182"/>
        <v>8688.9448941057235</v>
      </c>
      <c r="BV78" s="207">
        <f t="shared" si="182"/>
        <v>2132.2302686899807</v>
      </c>
      <c r="BW78" s="207">
        <f t="shared" si="182"/>
        <v>18018.546784997099</v>
      </c>
      <c r="BX78" s="207">
        <f t="shared" si="183"/>
        <v>-9329.6018908913757</v>
      </c>
      <c r="BY78" s="209">
        <f t="shared" si="184"/>
        <v>-7197.3716222013973</v>
      </c>
      <c r="CB78" s="206">
        <f t="shared" si="211"/>
        <v>16</v>
      </c>
      <c r="CC78" s="220" t="s">
        <v>4</v>
      </c>
      <c r="CD78" s="761">
        <f>'Arable Inputs'!$D$18+'Arable Inputs'!$D$18</f>
        <v>14.9</v>
      </c>
      <c r="CE78" s="761">
        <f>'Arable Inputs'!$D$25</f>
        <v>193.7</v>
      </c>
      <c r="CF78" s="761">
        <f>'Arable Inputs'!$D$19+'Arable Inputs'!$D$19</f>
        <v>7.8</v>
      </c>
      <c r="CG78" s="761">
        <f>'Arable Inputs'!$D$26</f>
        <v>73.449999999999989</v>
      </c>
      <c r="CH78" s="207">
        <f>CD78*CE78+CF78*CG78</f>
        <v>3459.04</v>
      </c>
      <c r="CI78" s="207">
        <f>'Arable NPV'!$E158</f>
        <v>175.95</v>
      </c>
      <c r="CJ78" s="207">
        <f t="shared" si="185"/>
        <v>3634.99</v>
      </c>
      <c r="CK78" s="207">
        <f>'Arable NPV'!$G158</f>
        <v>671.92799999999988</v>
      </c>
      <c r="CL78" s="207">
        <f>'Arable NPV'!$H158</f>
        <v>969.47373599999992</v>
      </c>
      <c r="CM78" s="207">
        <f t="shared" si="186"/>
        <v>1641.4017359999998</v>
      </c>
      <c r="CN78" s="207">
        <f t="shared" si="187"/>
        <v>1817.6382640000002</v>
      </c>
      <c r="CO78" s="207">
        <f t="shared" si="188"/>
        <v>1993.588264</v>
      </c>
      <c r="CP78" s="208">
        <f>CH78/(1+$B$4)^(CB78-1)</f>
        <v>1920.682125465326</v>
      </c>
      <c r="CQ78" s="207">
        <f>CI78/(1+$B$4)^(CB78-1)</f>
        <v>97.698789252400701</v>
      </c>
      <c r="CR78" s="207">
        <f>CM78/(1+$B$4)^(CB78-1)</f>
        <v>911.41211869274582</v>
      </c>
      <c r="CS78" s="207">
        <f t="shared" si="192"/>
        <v>1009.2700067725802</v>
      </c>
      <c r="CT78" s="209">
        <f>CO78/(1+$B$4)^(CB78-1)</f>
        <v>1106.9687960249807</v>
      </c>
      <c r="CU78" s="208">
        <f t="shared" si="194"/>
        <v>34755.779576422894</v>
      </c>
      <c r="CV78" s="207">
        <f t="shared" si="194"/>
        <v>2132.2302686899807</v>
      </c>
      <c r="CW78" s="207">
        <f t="shared" si="195"/>
        <v>18018.546784997099</v>
      </c>
      <c r="CX78" s="207">
        <f t="shared" si="196"/>
        <v>16737.232791425798</v>
      </c>
      <c r="CY78" s="209">
        <f t="shared" si="197"/>
        <v>18869.463060115773</v>
      </c>
      <c r="DB78" s="206">
        <f t="shared" si="212"/>
        <v>16</v>
      </c>
      <c r="DC78" s="220" t="s">
        <v>4</v>
      </c>
      <c r="DD78" s="761">
        <f>'Arable Inputs'!$D$18-'Arable Inputs'!$D$18</f>
        <v>0</v>
      </c>
      <c r="DE78" s="761">
        <f>'Arable Inputs'!$D$25</f>
        <v>193.7</v>
      </c>
      <c r="DF78" s="761">
        <f>'Arable Inputs'!$D$19-'Arable Inputs'!$D$19</f>
        <v>0</v>
      </c>
      <c r="DG78" s="761">
        <f>'Arable Inputs'!$D$26</f>
        <v>73.449999999999989</v>
      </c>
      <c r="DH78" s="207">
        <f>DD78*DE78+DF78*DG78</f>
        <v>0</v>
      </c>
      <c r="DI78" s="207">
        <f>'Arable NPV'!$E158</f>
        <v>175.95</v>
      </c>
      <c r="DJ78" s="207">
        <f t="shared" si="198"/>
        <v>175.95</v>
      </c>
      <c r="DK78" s="207">
        <f>'Arable NPV'!$G158</f>
        <v>671.92799999999988</v>
      </c>
      <c r="DL78" s="207">
        <f>'Arable NPV'!$H158</f>
        <v>969.47373599999992</v>
      </c>
      <c r="DM78" s="207">
        <f t="shared" si="199"/>
        <v>1641.4017359999998</v>
      </c>
      <c r="DN78" s="207">
        <f t="shared" si="200"/>
        <v>-1641.4017359999998</v>
      </c>
      <c r="DO78" s="207">
        <f t="shared" si="201"/>
        <v>-1465.4517359999998</v>
      </c>
      <c r="DP78" s="208">
        <f>DH78/(1+$B$4)^(DB78-1)</f>
        <v>0</v>
      </c>
      <c r="DQ78" s="207">
        <f>DI78/(1+$B$4)^(DB78-1)</f>
        <v>97.698789252400701</v>
      </c>
      <c r="DR78" s="207">
        <f>DM78/(1+$B$4)^(DB78-1)</f>
        <v>911.41211869274582</v>
      </c>
      <c r="DS78" s="207">
        <f t="shared" si="205"/>
        <v>-911.41211869274582</v>
      </c>
      <c r="DT78" s="209">
        <f>DO78/(1+$B$4)^(DB78-1)</f>
        <v>-813.71332944034509</v>
      </c>
      <c r="DU78" s="208">
        <f t="shared" si="207"/>
        <v>0</v>
      </c>
      <c r="DV78" s="207">
        <f t="shared" si="207"/>
        <v>2132.2302686899807</v>
      </c>
      <c r="DW78" s="207">
        <f t="shared" si="207"/>
        <v>18018.546784997099</v>
      </c>
      <c r="DX78" s="207">
        <f t="shared" si="207"/>
        <v>-18018.546784997099</v>
      </c>
      <c r="DY78" s="209">
        <f t="shared" si="207"/>
        <v>-15886.316516307121</v>
      </c>
    </row>
    <row r="84" spans="2:119" x14ac:dyDescent="0.3">
      <c r="B84" s="211" t="s">
        <v>94</v>
      </c>
      <c r="C84" s="763" t="s">
        <v>418</v>
      </c>
      <c r="D84" s="269" t="s">
        <v>405</v>
      </c>
      <c r="E84" s="906">
        <v>1</v>
      </c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Z84" s="211" t="s">
        <v>94</v>
      </c>
      <c r="AA84" s="211" t="s">
        <v>327</v>
      </c>
      <c r="AB84" s="906">
        <v>1.5</v>
      </c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X84" s="211" t="s">
        <v>94</v>
      </c>
      <c r="AY84" s="211" t="s">
        <v>328</v>
      </c>
      <c r="AZ84" s="906">
        <v>0.5</v>
      </c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V84" s="211" t="s">
        <v>94</v>
      </c>
      <c r="BW84" s="211" t="s">
        <v>329</v>
      </c>
      <c r="BX84" s="906">
        <v>2</v>
      </c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T84" s="211" t="s">
        <v>94</v>
      </c>
      <c r="CU84" s="211" t="s">
        <v>330</v>
      </c>
      <c r="CV84" s="906">
        <v>0</v>
      </c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</row>
    <row r="85" spans="2:119" x14ac:dyDescent="0.3">
      <c r="B85" s="203"/>
      <c r="C85" s="148"/>
      <c r="D85" s="148"/>
      <c r="E85" s="1086"/>
      <c r="F85" s="1086"/>
      <c r="G85" s="1086"/>
      <c r="H85" s="148"/>
      <c r="I85" s="931"/>
      <c r="J85" s="1086"/>
      <c r="K85" s="1086"/>
      <c r="L85" s="148"/>
      <c r="M85" s="148"/>
      <c r="N85" s="1087" t="s">
        <v>275</v>
      </c>
      <c r="O85" s="1088"/>
      <c r="P85" s="1088"/>
      <c r="Q85" s="1088"/>
      <c r="R85" s="1089"/>
      <c r="S85" s="1087" t="s">
        <v>276</v>
      </c>
      <c r="T85" s="1088"/>
      <c r="U85" s="1088"/>
      <c r="V85" s="1088"/>
      <c r="W85" s="1089"/>
      <c r="X85" s="987"/>
      <c r="Z85" s="203"/>
      <c r="AA85" s="148"/>
      <c r="AB85" s="148"/>
      <c r="AC85" s="1086"/>
      <c r="AD85" s="1086"/>
      <c r="AE85" s="1086"/>
      <c r="AF85" s="148"/>
      <c r="AG85" s="931"/>
      <c r="AH85" s="1086"/>
      <c r="AI85" s="1086"/>
      <c r="AJ85" s="148"/>
      <c r="AK85" s="148"/>
      <c r="AL85" s="1087" t="s">
        <v>275</v>
      </c>
      <c r="AM85" s="1088"/>
      <c r="AN85" s="1088"/>
      <c r="AO85" s="1088"/>
      <c r="AP85" s="1089"/>
      <c r="AQ85" s="1087" t="s">
        <v>276</v>
      </c>
      <c r="AR85" s="1088"/>
      <c r="AS85" s="1088"/>
      <c r="AT85" s="1088"/>
      <c r="AU85" s="1089"/>
      <c r="AV85" s="987"/>
      <c r="AX85" s="203"/>
      <c r="AY85" s="148"/>
      <c r="AZ85" s="148"/>
      <c r="BA85" s="1086"/>
      <c r="BB85" s="1086"/>
      <c r="BC85" s="1086"/>
      <c r="BD85" s="148"/>
      <c r="BE85" s="931"/>
      <c r="BF85" s="1086"/>
      <c r="BG85" s="1086"/>
      <c r="BH85" s="148"/>
      <c r="BI85" s="148"/>
      <c r="BJ85" s="1087" t="s">
        <v>275</v>
      </c>
      <c r="BK85" s="1088"/>
      <c r="BL85" s="1088"/>
      <c r="BM85" s="1088"/>
      <c r="BN85" s="1089"/>
      <c r="BO85" s="1087" t="s">
        <v>276</v>
      </c>
      <c r="BP85" s="1088"/>
      <c r="BQ85" s="1088"/>
      <c r="BR85" s="1088"/>
      <c r="BS85" s="1089"/>
      <c r="BT85" s="987"/>
      <c r="BV85" s="203"/>
      <c r="BW85" s="148"/>
      <c r="BX85" s="148"/>
      <c r="BY85" s="1086"/>
      <c r="BZ85" s="1086"/>
      <c r="CA85" s="1086"/>
      <c r="CB85" s="148"/>
      <c r="CC85" s="931"/>
      <c r="CD85" s="1086"/>
      <c r="CE85" s="1086"/>
      <c r="CF85" s="148"/>
      <c r="CG85" s="148"/>
      <c r="CH85" s="1087" t="s">
        <v>275</v>
      </c>
      <c r="CI85" s="1088"/>
      <c r="CJ85" s="1088"/>
      <c r="CK85" s="1088"/>
      <c r="CL85" s="1089"/>
      <c r="CM85" s="1087" t="s">
        <v>276</v>
      </c>
      <c r="CN85" s="1088"/>
      <c r="CO85" s="1088"/>
      <c r="CP85" s="1088"/>
      <c r="CQ85" s="1089"/>
      <c r="CR85" s="987"/>
      <c r="CT85" s="203"/>
      <c r="CU85" s="148"/>
      <c r="CV85" s="148"/>
      <c r="CW85" s="1086"/>
      <c r="CX85" s="1086"/>
      <c r="CY85" s="1086"/>
      <c r="CZ85" s="148"/>
      <c r="DA85" s="931"/>
      <c r="DB85" s="1086"/>
      <c r="DC85" s="1086"/>
      <c r="DD85" s="148"/>
      <c r="DE85" s="148"/>
      <c r="DF85" s="1087" t="s">
        <v>275</v>
      </c>
      <c r="DG85" s="1088"/>
      <c r="DH85" s="1088"/>
      <c r="DI85" s="1088"/>
      <c r="DJ85" s="1089"/>
      <c r="DK85" s="1087" t="s">
        <v>276</v>
      </c>
      <c r="DL85" s="1088"/>
      <c r="DM85" s="1088"/>
      <c r="DN85" s="1088"/>
      <c r="DO85" s="1089"/>
    </row>
    <row r="86" spans="2:119" ht="51" x14ac:dyDescent="0.3">
      <c r="B86" s="204" t="s">
        <v>277</v>
      </c>
      <c r="C86" s="205" t="s">
        <v>303</v>
      </c>
      <c r="D86" s="205" t="s">
        <v>304</v>
      </c>
      <c r="E86" s="171" t="s">
        <v>675</v>
      </c>
      <c r="F86" s="171" t="s">
        <v>666</v>
      </c>
      <c r="G86" s="171" t="s">
        <v>676</v>
      </c>
      <c r="H86" s="205" t="s">
        <v>301</v>
      </c>
      <c r="I86" s="935" t="str">
        <f>'Energy NPV'!U11</f>
        <v>Total Recurring Costs</v>
      </c>
      <c r="J86" s="205" t="s">
        <v>305</v>
      </c>
      <c r="K86" s="171" t="s">
        <v>283</v>
      </c>
      <c r="L86" s="171" t="s">
        <v>677</v>
      </c>
      <c r="M86" s="171" t="s">
        <v>678</v>
      </c>
      <c r="N86" s="195" t="s">
        <v>286</v>
      </c>
      <c r="O86" s="171" t="s">
        <v>679</v>
      </c>
      <c r="P86" s="171" t="s">
        <v>288</v>
      </c>
      <c r="Q86" s="171" t="s">
        <v>680</v>
      </c>
      <c r="R86" s="198" t="s">
        <v>290</v>
      </c>
      <c r="S86" s="195" t="s">
        <v>291</v>
      </c>
      <c r="T86" s="171" t="s">
        <v>681</v>
      </c>
      <c r="U86" s="171" t="s">
        <v>293</v>
      </c>
      <c r="V86" s="171" t="s">
        <v>682</v>
      </c>
      <c r="W86" s="198" t="s">
        <v>295</v>
      </c>
      <c r="X86" s="171"/>
      <c r="Z86" s="204" t="s">
        <v>277</v>
      </c>
      <c r="AA86" s="205" t="s">
        <v>303</v>
      </c>
      <c r="AB86" s="205" t="s">
        <v>304</v>
      </c>
      <c r="AC86" s="171" t="s">
        <v>675</v>
      </c>
      <c r="AD86" s="171" t="s">
        <v>666</v>
      </c>
      <c r="AE86" s="171" t="s">
        <v>676</v>
      </c>
      <c r="AF86" s="205" t="s">
        <v>301</v>
      </c>
      <c r="AG86" s="935" t="str">
        <f>'Energy NPV'!U11</f>
        <v>Total Recurring Costs</v>
      </c>
      <c r="AH86" s="205" t="s">
        <v>305</v>
      </c>
      <c r="AI86" s="171" t="s">
        <v>283</v>
      </c>
      <c r="AJ86" s="171" t="s">
        <v>677</v>
      </c>
      <c r="AK86" s="171" t="s">
        <v>678</v>
      </c>
      <c r="AL86" s="195" t="s">
        <v>286</v>
      </c>
      <c r="AM86" s="171" t="s">
        <v>679</v>
      </c>
      <c r="AN86" s="171" t="s">
        <v>288</v>
      </c>
      <c r="AO86" s="171" t="s">
        <v>680</v>
      </c>
      <c r="AP86" s="198" t="s">
        <v>290</v>
      </c>
      <c r="AQ86" s="195" t="s">
        <v>291</v>
      </c>
      <c r="AR86" s="171" t="s">
        <v>681</v>
      </c>
      <c r="AS86" s="171" t="s">
        <v>293</v>
      </c>
      <c r="AT86" s="171" t="s">
        <v>682</v>
      </c>
      <c r="AU86" s="198" t="s">
        <v>295</v>
      </c>
      <c r="AV86" s="171"/>
      <c r="AX86" s="204" t="s">
        <v>277</v>
      </c>
      <c r="AY86" s="205" t="s">
        <v>303</v>
      </c>
      <c r="AZ86" s="205" t="s">
        <v>304</v>
      </c>
      <c r="BA86" s="171" t="s">
        <v>675</v>
      </c>
      <c r="BB86" s="171" t="s">
        <v>666</v>
      </c>
      <c r="BC86" s="171" t="s">
        <v>676</v>
      </c>
      <c r="BD86" s="205" t="s">
        <v>301</v>
      </c>
      <c r="BE86" s="935" t="str">
        <f>'Energy NPV'!U11</f>
        <v>Total Recurring Costs</v>
      </c>
      <c r="BF86" s="205" t="s">
        <v>305</v>
      </c>
      <c r="BG86" s="171" t="s">
        <v>283</v>
      </c>
      <c r="BH86" s="171" t="s">
        <v>677</v>
      </c>
      <c r="BI86" s="171" t="s">
        <v>678</v>
      </c>
      <c r="BJ86" s="195" t="s">
        <v>286</v>
      </c>
      <c r="BK86" s="171" t="s">
        <v>679</v>
      </c>
      <c r="BL86" s="171" t="s">
        <v>288</v>
      </c>
      <c r="BM86" s="171" t="s">
        <v>680</v>
      </c>
      <c r="BN86" s="198" t="s">
        <v>290</v>
      </c>
      <c r="BO86" s="195" t="s">
        <v>291</v>
      </c>
      <c r="BP86" s="171" t="s">
        <v>681</v>
      </c>
      <c r="BQ86" s="171" t="s">
        <v>293</v>
      </c>
      <c r="BR86" s="171" t="s">
        <v>682</v>
      </c>
      <c r="BS86" s="198" t="s">
        <v>295</v>
      </c>
      <c r="BT86" s="171"/>
      <c r="BV86" s="204" t="s">
        <v>277</v>
      </c>
      <c r="BW86" s="205" t="s">
        <v>303</v>
      </c>
      <c r="BX86" s="205" t="s">
        <v>304</v>
      </c>
      <c r="BY86" s="171" t="s">
        <v>675</v>
      </c>
      <c r="BZ86" s="171" t="s">
        <v>666</v>
      </c>
      <c r="CA86" s="171" t="s">
        <v>676</v>
      </c>
      <c r="CB86" s="205" t="s">
        <v>301</v>
      </c>
      <c r="CC86" s="935" t="str">
        <f>'Energy NPV'!U11</f>
        <v>Total Recurring Costs</v>
      </c>
      <c r="CD86" s="205" t="s">
        <v>305</v>
      </c>
      <c r="CE86" s="171" t="s">
        <v>283</v>
      </c>
      <c r="CF86" s="171" t="s">
        <v>677</v>
      </c>
      <c r="CG86" s="171" t="s">
        <v>678</v>
      </c>
      <c r="CH86" s="195" t="s">
        <v>286</v>
      </c>
      <c r="CI86" s="171" t="s">
        <v>679</v>
      </c>
      <c r="CJ86" s="171" t="s">
        <v>288</v>
      </c>
      <c r="CK86" s="171" t="s">
        <v>680</v>
      </c>
      <c r="CL86" s="198" t="s">
        <v>290</v>
      </c>
      <c r="CM86" s="195" t="s">
        <v>291</v>
      </c>
      <c r="CN86" s="171" t="s">
        <v>681</v>
      </c>
      <c r="CO86" s="171" t="s">
        <v>293</v>
      </c>
      <c r="CP86" s="171" t="s">
        <v>682</v>
      </c>
      <c r="CQ86" s="198" t="s">
        <v>295</v>
      </c>
      <c r="CR86" s="171"/>
      <c r="CT86" s="204" t="s">
        <v>277</v>
      </c>
      <c r="CU86" s="205" t="s">
        <v>303</v>
      </c>
      <c r="CV86" s="205" t="s">
        <v>304</v>
      </c>
      <c r="CW86" s="171" t="s">
        <v>675</v>
      </c>
      <c r="CX86" s="171" t="s">
        <v>666</v>
      </c>
      <c r="CY86" s="171" t="s">
        <v>676</v>
      </c>
      <c r="CZ86" s="205" t="s">
        <v>301</v>
      </c>
      <c r="DA86" s="935" t="str">
        <f>'Energy NPV'!U11</f>
        <v>Total Recurring Costs</v>
      </c>
      <c r="DB86" s="205" t="s">
        <v>305</v>
      </c>
      <c r="DC86" s="171" t="s">
        <v>283</v>
      </c>
      <c r="DD86" s="171" t="s">
        <v>677</v>
      </c>
      <c r="DE86" s="171" t="s">
        <v>678</v>
      </c>
      <c r="DF86" s="195" t="s">
        <v>286</v>
      </c>
      <c r="DG86" s="171" t="s">
        <v>679</v>
      </c>
      <c r="DH86" s="171" t="s">
        <v>288</v>
      </c>
      <c r="DI86" s="171" t="s">
        <v>680</v>
      </c>
      <c r="DJ86" s="198" t="s">
        <v>290</v>
      </c>
      <c r="DK86" s="195" t="s">
        <v>291</v>
      </c>
      <c r="DL86" s="171" t="s">
        <v>681</v>
      </c>
      <c r="DM86" s="171" t="s">
        <v>293</v>
      </c>
      <c r="DN86" s="171" t="s">
        <v>682</v>
      </c>
      <c r="DO86" s="198" t="s">
        <v>295</v>
      </c>
    </row>
    <row r="87" spans="2:119" x14ac:dyDescent="0.3">
      <c r="B87" s="173"/>
      <c r="C87" s="226" t="s">
        <v>341</v>
      </c>
      <c r="D87" s="226" t="s">
        <v>601</v>
      </c>
      <c r="E87" s="201" t="s">
        <v>599</v>
      </c>
      <c r="F87" s="201" t="s">
        <v>599</v>
      </c>
      <c r="G87" s="201" t="s">
        <v>599</v>
      </c>
      <c r="H87" s="201" t="s">
        <v>599</v>
      </c>
      <c r="I87" s="969" t="str">
        <f>'Energy NPV'!U12</f>
        <v>(€ ha-1)</v>
      </c>
      <c r="J87" s="201" t="s">
        <v>599</v>
      </c>
      <c r="K87" s="201" t="s">
        <v>599</v>
      </c>
      <c r="L87" s="201" t="s">
        <v>599</v>
      </c>
      <c r="M87" s="202" t="s">
        <v>599</v>
      </c>
      <c r="N87" s="201" t="s">
        <v>599</v>
      </c>
      <c r="O87" s="201" t="s">
        <v>599</v>
      </c>
      <c r="P87" s="201" t="s">
        <v>599</v>
      </c>
      <c r="Q87" s="201" t="s">
        <v>599</v>
      </c>
      <c r="R87" s="202" t="s">
        <v>599</v>
      </c>
      <c r="S87" s="201" t="s">
        <v>599</v>
      </c>
      <c r="T87" s="201" t="s">
        <v>599</v>
      </c>
      <c r="U87" s="201" t="s">
        <v>599</v>
      </c>
      <c r="V87" s="201" t="s">
        <v>599</v>
      </c>
      <c r="W87" s="202" t="s">
        <v>599</v>
      </c>
      <c r="X87" s="988"/>
      <c r="Z87" s="173"/>
      <c r="AA87" s="226" t="s">
        <v>341</v>
      </c>
      <c r="AB87" s="226" t="s">
        <v>601</v>
      </c>
      <c r="AC87" s="201" t="s">
        <v>599</v>
      </c>
      <c r="AD87" s="201" t="s">
        <v>599</v>
      </c>
      <c r="AE87" s="201" t="s">
        <v>599</v>
      </c>
      <c r="AF87" s="201" t="s">
        <v>599</v>
      </c>
      <c r="AG87" s="969" t="str">
        <f>'Energy NPV'!U12</f>
        <v>(€ ha-1)</v>
      </c>
      <c r="AH87" s="201" t="s">
        <v>599</v>
      </c>
      <c r="AI87" s="201" t="s">
        <v>599</v>
      </c>
      <c r="AJ87" s="201" t="s">
        <v>599</v>
      </c>
      <c r="AK87" s="202" t="s">
        <v>599</v>
      </c>
      <c r="AL87" s="201" t="s">
        <v>599</v>
      </c>
      <c r="AM87" s="201" t="s">
        <v>599</v>
      </c>
      <c r="AN87" s="201" t="s">
        <v>599</v>
      </c>
      <c r="AO87" s="201" t="s">
        <v>599</v>
      </c>
      <c r="AP87" s="202" t="s">
        <v>599</v>
      </c>
      <c r="AQ87" s="201" t="s">
        <v>599</v>
      </c>
      <c r="AR87" s="201" t="s">
        <v>599</v>
      </c>
      <c r="AS87" s="201" t="s">
        <v>599</v>
      </c>
      <c r="AT87" s="201" t="s">
        <v>599</v>
      </c>
      <c r="AU87" s="202" t="s">
        <v>599</v>
      </c>
      <c r="AV87" s="988"/>
      <c r="AX87" s="173"/>
      <c r="AY87" s="226" t="s">
        <v>341</v>
      </c>
      <c r="AZ87" s="226" t="s">
        <v>601</v>
      </c>
      <c r="BA87" s="201" t="s">
        <v>599</v>
      </c>
      <c r="BB87" s="201" t="s">
        <v>599</v>
      </c>
      <c r="BC87" s="201" t="s">
        <v>599</v>
      </c>
      <c r="BD87" s="201" t="s">
        <v>599</v>
      </c>
      <c r="BE87" s="969" t="str">
        <f>'Energy NPV'!U12</f>
        <v>(€ ha-1)</v>
      </c>
      <c r="BF87" s="201" t="s">
        <v>599</v>
      </c>
      <c r="BG87" s="201" t="s">
        <v>599</v>
      </c>
      <c r="BH87" s="201" t="s">
        <v>599</v>
      </c>
      <c r="BI87" s="202" t="s">
        <v>599</v>
      </c>
      <c r="BJ87" s="201" t="s">
        <v>599</v>
      </c>
      <c r="BK87" s="201" t="s">
        <v>599</v>
      </c>
      <c r="BL87" s="201" t="s">
        <v>599</v>
      </c>
      <c r="BM87" s="201" t="s">
        <v>599</v>
      </c>
      <c r="BN87" s="202" t="s">
        <v>599</v>
      </c>
      <c r="BO87" s="201" t="s">
        <v>599</v>
      </c>
      <c r="BP87" s="201" t="s">
        <v>599</v>
      </c>
      <c r="BQ87" s="201" t="s">
        <v>599</v>
      </c>
      <c r="BR87" s="201" t="s">
        <v>599</v>
      </c>
      <c r="BS87" s="202" t="s">
        <v>599</v>
      </c>
      <c r="BT87" s="988"/>
      <c r="BV87" s="173"/>
      <c r="BW87" s="226" t="s">
        <v>341</v>
      </c>
      <c r="BX87" s="226" t="s">
        <v>601</v>
      </c>
      <c r="BY87" s="201" t="s">
        <v>599</v>
      </c>
      <c r="BZ87" s="201" t="s">
        <v>599</v>
      </c>
      <c r="CA87" s="201" t="s">
        <v>599</v>
      </c>
      <c r="CB87" s="201" t="s">
        <v>599</v>
      </c>
      <c r="CC87" s="969" t="str">
        <f>'Energy NPV'!U12</f>
        <v>(€ ha-1)</v>
      </c>
      <c r="CD87" s="201" t="s">
        <v>599</v>
      </c>
      <c r="CE87" s="201" t="s">
        <v>599</v>
      </c>
      <c r="CF87" s="201" t="s">
        <v>599</v>
      </c>
      <c r="CG87" s="202" t="s">
        <v>599</v>
      </c>
      <c r="CH87" s="201" t="s">
        <v>599</v>
      </c>
      <c r="CI87" s="201" t="s">
        <v>599</v>
      </c>
      <c r="CJ87" s="201" t="s">
        <v>599</v>
      </c>
      <c r="CK87" s="201" t="s">
        <v>599</v>
      </c>
      <c r="CL87" s="202" t="s">
        <v>599</v>
      </c>
      <c r="CM87" s="201" t="s">
        <v>599</v>
      </c>
      <c r="CN87" s="201" t="s">
        <v>599</v>
      </c>
      <c r="CO87" s="201" t="s">
        <v>599</v>
      </c>
      <c r="CP87" s="201" t="s">
        <v>599</v>
      </c>
      <c r="CQ87" s="202" t="s">
        <v>599</v>
      </c>
      <c r="CR87" s="988"/>
      <c r="CT87" s="173"/>
      <c r="CU87" s="226" t="s">
        <v>341</v>
      </c>
      <c r="CV87" s="226" t="s">
        <v>601</v>
      </c>
      <c r="CW87" s="201" t="s">
        <v>599</v>
      </c>
      <c r="CX87" s="201" t="s">
        <v>599</v>
      </c>
      <c r="CY87" s="201" t="s">
        <v>599</v>
      </c>
      <c r="CZ87" s="201" t="s">
        <v>599</v>
      </c>
      <c r="DA87" s="969" t="str">
        <f>'Energy NPV'!U12</f>
        <v>(€ ha-1)</v>
      </c>
      <c r="DB87" s="201" t="s">
        <v>599</v>
      </c>
      <c r="DC87" s="201" t="s">
        <v>599</v>
      </c>
      <c r="DD87" s="201" t="s">
        <v>599</v>
      </c>
      <c r="DE87" s="202" t="s">
        <v>599</v>
      </c>
      <c r="DF87" s="201" t="s">
        <v>599</v>
      </c>
      <c r="DG87" s="201" t="s">
        <v>599</v>
      </c>
      <c r="DH87" s="201" t="s">
        <v>599</v>
      </c>
      <c r="DI87" s="201" t="s">
        <v>599</v>
      </c>
      <c r="DJ87" s="202" t="s">
        <v>599</v>
      </c>
      <c r="DK87" s="201" t="s">
        <v>599</v>
      </c>
      <c r="DL87" s="201" t="s">
        <v>599</v>
      </c>
      <c r="DM87" s="201" t="s">
        <v>599</v>
      </c>
      <c r="DN87" s="201" t="s">
        <v>599</v>
      </c>
      <c r="DO87" s="202" t="s">
        <v>599</v>
      </c>
    </row>
    <row r="88" spans="2:119" x14ac:dyDescent="0.3">
      <c r="B88" s="204">
        <v>1</v>
      </c>
      <c r="C88" s="759">
        <f>'Energy NPV'!$D13*$E$84</f>
        <v>0</v>
      </c>
      <c r="D88" s="197">
        <f>'Energy margins'!$E$12</f>
        <v>72</v>
      </c>
      <c r="E88" s="197">
        <f>C88*D88</f>
        <v>0</v>
      </c>
      <c r="F88" s="197">
        <f>'Margins summary'!$Q$14</f>
        <v>175.95</v>
      </c>
      <c r="G88" s="197">
        <f>E88+F88</f>
        <v>175.95</v>
      </c>
      <c r="H88" s="197">
        <f>'Margins summary'!$P$20</f>
        <v>2498.2967840000001</v>
      </c>
      <c r="I88" s="918">
        <f>'Energy NPV'!U13</f>
        <v>0</v>
      </c>
      <c r="J88" s="197"/>
      <c r="K88" s="197">
        <f>H88+I88+J88</f>
        <v>2498.2967840000001</v>
      </c>
      <c r="L88" s="197">
        <f t="shared" ref="L88:L103" si="213">E88-K88</f>
        <v>-2498.2967840000001</v>
      </c>
      <c r="M88" s="197">
        <f t="shared" ref="M88:M103" si="214">G88-K88</f>
        <v>-2322.3467840000003</v>
      </c>
      <c r="N88" s="1018">
        <f>E88/((1+$B$4)^(B88-1))</f>
        <v>0</v>
      </c>
      <c r="O88" s="213">
        <f>F88/((1+$B$4)^(B88-1))</f>
        <v>175.95</v>
      </c>
      <c r="P88" s="213">
        <f>K88/((1+$B$4)^(B88-1))</f>
        <v>2498.2967840000001</v>
      </c>
      <c r="Q88" s="213">
        <f>L88/((1+$B$4)^(B88-1))</f>
        <v>-2498.2967840000001</v>
      </c>
      <c r="R88" s="929">
        <f>M88/((1+$B$4)^(B88-1))</f>
        <v>-2322.3467840000003</v>
      </c>
      <c r="S88" s="196">
        <f>N88</f>
        <v>0</v>
      </c>
      <c r="T88" s="197">
        <f>O88</f>
        <v>175.95</v>
      </c>
      <c r="U88" s="197">
        <f>P88</f>
        <v>2498.2967840000001</v>
      </c>
      <c r="V88" s="197">
        <f>Q88</f>
        <v>-2498.2967840000001</v>
      </c>
      <c r="W88" s="199">
        <f>R88</f>
        <v>-2322.3467840000003</v>
      </c>
      <c r="X88" s="197"/>
      <c r="Z88" s="204">
        <v>1</v>
      </c>
      <c r="AA88" s="759">
        <f>'Energy NPV'!$D13*$AB$84</f>
        <v>0</v>
      </c>
      <c r="AB88" s="197">
        <f>'Energy margins'!$E$12</f>
        <v>72</v>
      </c>
      <c r="AC88" s="197">
        <f>AA88*AB88</f>
        <v>0</v>
      </c>
      <c r="AD88" s="197">
        <f>'Margins summary'!$Q$14</f>
        <v>175.95</v>
      </c>
      <c r="AE88" s="197">
        <f>AC88+AD88</f>
        <v>175.95</v>
      </c>
      <c r="AF88" s="197">
        <f>'Margins summary'!$P$20</f>
        <v>2498.2967840000001</v>
      </c>
      <c r="AG88" s="918">
        <f>'Energy NPV'!U13</f>
        <v>0</v>
      </c>
      <c r="AH88" s="197"/>
      <c r="AI88" s="197">
        <f>AF88+AG88+AH88</f>
        <v>2498.2967840000001</v>
      </c>
      <c r="AJ88" s="197">
        <f t="shared" ref="AJ88:AJ103" si="215">AC88-AI88</f>
        <v>-2498.2967840000001</v>
      </c>
      <c r="AK88" s="197">
        <f t="shared" ref="AK88:AK103" si="216">AE88-AI88</f>
        <v>-2322.3467840000003</v>
      </c>
      <c r="AL88" s="1018">
        <f>AC88/((1+$B$4)^(Z88-1))</f>
        <v>0</v>
      </c>
      <c r="AM88" s="213">
        <f>AD88/((1+$B$4)^(Z88-1))</f>
        <v>175.95</v>
      </c>
      <c r="AN88" s="213">
        <f>AI88/((1+$B$4)^(Z88-1))</f>
        <v>2498.2967840000001</v>
      </c>
      <c r="AO88" s="213">
        <f>AJ88/((1+$B$4)^(Z88-1))</f>
        <v>-2498.2967840000001</v>
      </c>
      <c r="AP88" s="929">
        <f>AK88/((1+$B$4)^(Z88-1))</f>
        <v>-2322.3467840000003</v>
      </c>
      <c r="AQ88" s="196">
        <f>AL88</f>
        <v>0</v>
      </c>
      <c r="AR88" s="197">
        <f>AM88</f>
        <v>175.95</v>
      </c>
      <c r="AS88" s="197">
        <f>AN88</f>
        <v>2498.2967840000001</v>
      </c>
      <c r="AT88" s="197">
        <f>AO88</f>
        <v>-2498.2967840000001</v>
      </c>
      <c r="AU88" s="199">
        <f>AP88</f>
        <v>-2322.3467840000003</v>
      </c>
      <c r="AV88" s="197"/>
      <c r="AX88" s="204">
        <v>1</v>
      </c>
      <c r="AY88" s="759">
        <f>'Energy NPV'!$D13*$AZ$84</f>
        <v>0</v>
      </c>
      <c r="AZ88" s="197">
        <f>'Energy margins'!$E$12</f>
        <v>72</v>
      </c>
      <c r="BA88" s="197">
        <f>AY88*AZ88</f>
        <v>0</v>
      </c>
      <c r="BB88" s="197">
        <f>'Margins summary'!$Q$14</f>
        <v>175.95</v>
      </c>
      <c r="BC88" s="197">
        <f>BA88+BB88</f>
        <v>175.95</v>
      </c>
      <c r="BD88" s="197">
        <f>'Margins summary'!$P$20</f>
        <v>2498.2967840000001</v>
      </c>
      <c r="BE88" s="918">
        <f>'Energy NPV'!U13</f>
        <v>0</v>
      </c>
      <c r="BF88" s="197"/>
      <c r="BG88" s="197">
        <f>BD88+BE88+BF88</f>
        <v>2498.2967840000001</v>
      </c>
      <c r="BH88" s="197">
        <f t="shared" ref="BH88:BH103" si="217">BA88-BG88</f>
        <v>-2498.2967840000001</v>
      </c>
      <c r="BI88" s="197">
        <f t="shared" ref="BI88:BI103" si="218">BC88-BG88</f>
        <v>-2322.3467840000003</v>
      </c>
      <c r="BJ88" s="1018">
        <f>BA88/((1+$B$4)^(AX88-1))</f>
        <v>0</v>
      </c>
      <c r="BK88" s="213">
        <f>BB88/((1+$B$4)^(AX88-1))</f>
        <v>175.95</v>
      </c>
      <c r="BL88" s="213">
        <f>BG88/((1+$B$4)^(AX88-1))</f>
        <v>2498.2967840000001</v>
      </c>
      <c r="BM88" s="213">
        <f>BH88/((1+$B$4)^(AX88-1))</f>
        <v>-2498.2967840000001</v>
      </c>
      <c r="BN88" s="929">
        <f>BI88/((1+$B$4)^(AX88-1))</f>
        <v>-2322.3467840000003</v>
      </c>
      <c r="BO88" s="196">
        <f>BJ88</f>
        <v>0</v>
      </c>
      <c r="BP88" s="197">
        <f>BK88</f>
        <v>175.95</v>
      </c>
      <c r="BQ88" s="197">
        <f>BL88</f>
        <v>2498.2967840000001</v>
      </c>
      <c r="BR88" s="197">
        <f>BM88</f>
        <v>-2498.2967840000001</v>
      </c>
      <c r="BS88" s="199">
        <f>BN88</f>
        <v>-2322.3467840000003</v>
      </c>
      <c r="BT88" s="197"/>
      <c r="BV88" s="204">
        <v>1</v>
      </c>
      <c r="BW88" s="759">
        <f>'Energy NPV'!$D13*$BX$84</f>
        <v>0</v>
      </c>
      <c r="BX88" s="197">
        <f>'Energy margins'!$E$12</f>
        <v>72</v>
      </c>
      <c r="BY88" s="197">
        <f>BW88*BX88</f>
        <v>0</v>
      </c>
      <c r="BZ88" s="197">
        <f>'Margins summary'!$Q$14</f>
        <v>175.95</v>
      </c>
      <c r="CA88" s="197">
        <f>BY88+BZ88</f>
        <v>175.95</v>
      </c>
      <c r="CB88" s="197">
        <f>'Margins summary'!$P$20</f>
        <v>2498.2967840000001</v>
      </c>
      <c r="CC88" s="918">
        <f>'Energy NPV'!U13</f>
        <v>0</v>
      </c>
      <c r="CD88" s="197"/>
      <c r="CE88" s="197">
        <f>CB88+CC88+CD88</f>
        <v>2498.2967840000001</v>
      </c>
      <c r="CF88" s="197">
        <f t="shared" ref="CF88:CF103" si="219">BY88-CE88</f>
        <v>-2498.2967840000001</v>
      </c>
      <c r="CG88" s="197">
        <f t="shared" ref="CG88:CG103" si="220">CA88-CE88</f>
        <v>-2322.3467840000003</v>
      </c>
      <c r="CH88" s="1018">
        <f>BY88/((1+$B$4)^(BV88-1))</f>
        <v>0</v>
      </c>
      <c r="CI88" s="213">
        <f>BZ88/((1+$B$4)^(BV88-1))</f>
        <v>175.95</v>
      </c>
      <c r="CJ88" s="213">
        <f>CE88/((1+$B$4)^(BV88-1))</f>
        <v>2498.2967840000001</v>
      </c>
      <c r="CK88" s="213">
        <f>CF88/((1+$B$4)^(BV88-1))</f>
        <v>-2498.2967840000001</v>
      </c>
      <c r="CL88" s="929">
        <f>CG88/((1+$B$4)^(BV88-1))</f>
        <v>-2322.3467840000003</v>
      </c>
      <c r="CM88" s="196">
        <f>CH88</f>
        <v>0</v>
      </c>
      <c r="CN88" s="197">
        <f>CI88</f>
        <v>175.95</v>
      </c>
      <c r="CO88" s="197">
        <f>CJ88</f>
        <v>2498.2967840000001</v>
      </c>
      <c r="CP88" s="197">
        <f>CK88</f>
        <v>-2498.2967840000001</v>
      </c>
      <c r="CQ88" s="199">
        <f>CL88</f>
        <v>-2322.3467840000003</v>
      </c>
      <c r="CR88" s="197"/>
      <c r="CT88" s="204">
        <v>1</v>
      </c>
      <c r="CU88" s="759">
        <f>'Energy NPV'!$D13*$CV$84</f>
        <v>0</v>
      </c>
      <c r="CV88" s="197">
        <f>'Energy margins'!$E$12</f>
        <v>72</v>
      </c>
      <c r="CW88" s="197">
        <f>CU88*CV88</f>
        <v>0</v>
      </c>
      <c r="CX88" s="197">
        <f>'Margins summary'!$Q$14</f>
        <v>175.95</v>
      </c>
      <c r="CY88" s="197">
        <f>CW88+CX88</f>
        <v>175.95</v>
      </c>
      <c r="CZ88" s="197">
        <f>'Margins summary'!$P$20</f>
        <v>2498.2967840000001</v>
      </c>
      <c r="DA88" s="918">
        <f>'Energy NPV'!U13</f>
        <v>0</v>
      </c>
      <c r="DB88" s="197"/>
      <c r="DC88" s="197">
        <f>CZ88+DA88+DB88</f>
        <v>2498.2967840000001</v>
      </c>
      <c r="DD88" s="197">
        <f t="shared" ref="DD88:DD103" si="221">CW88-DC88</f>
        <v>-2498.2967840000001</v>
      </c>
      <c r="DE88" s="197">
        <f t="shared" ref="DE88:DE103" si="222">CY88-DC88</f>
        <v>-2322.3467840000003</v>
      </c>
      <c r="DF88" s="1018">
        <f>CW88/((1+$B$4)^(CT88-1))</f>
        <v>0</v>
      </c>
      <c r="DG88" s="213">
        <f>CX88/((1+$B$4)^(CT88-1))</f>
        <v>175.95</v>
      </c>
      <c r="DH88" s="213">
        <f>DC88/((1+$B$4)^(CT88-1))</f>
        <v>2498.2967840000001</v>
      </c>
      <c r="DI88" s="213">
        <f>DD88/((1+$B$4)^(CT88-1))</f>
        <v>-2498.2967840000001</v>
      </c>
      <c r="DJ88" s="929">
        <f>DE88/((1+$B$4)^(CT88-1))</f>
        <v>-2322.3467840000003</v>
      </c>
      <c r="DK88" s="196">
        <f>DF88</f>
        <v>0</v>
      </c>
      <c r="DL88" s="197">
        <f>DG88</f>
        <v>175.95</v>
      </c>
      <c r="DM88" s="197">
        <f>DH88</f>
        <v>2498.2967840000001</v>
      </c>
      <c r="DN88" s="197">
        <f>DI88</f>
        <v>-2498.2967840000001</v>
      </c>
      <c r="DO88" s="199">
        <f>DJ88</f>
        <v>-2322.3467840000003</v>
      </c>
    </row>
    <row r="89" spans="2:119" x14ac:dyDescent="0.3">
      <c r="B89" s="204">
        <v>2</v>
      </c>
      <c r="C89" s="759">
        <f>'Energy NPV'!$D14*$E$84</f>
        <v>0</v>
      </c>
      <c r="D89" s="197">
        <f>'Energy margins'!$E$12</f>
        <v>72</v>
      </c>
      <c r="E89" s="197">
        <f>C89*D89</f>
        <v>0</v>
      </c>
      <c r="F89" s="197">
        <f>'Margins summary'!$Q$14</f>
        <v>175.95</v>
      </c>
      <c r="G89" s="197">
        <f t="shared" ref="G89:G103" si="223">E89+F89</f>
        <v>175.95</v>
      </c>
      <c r="H89" s="197"/>
      <c r="I89" s="918">
        <f>'Energy NPV'!U14</f>
        <v>158.5616</v>
      </c>
      <c r="J89" s="197"/>
      <c r="K89" s="197">
        <f t="shared" ref="K89:K103" si="224">H89+I89+J89</f>
        <v>158.5616</v>
      </c>
      <c r="L89" s="197">
        <f t="shared" si="213"/>
        <v>-158.5616</v>
      </c>
      <c r="M89" s="197">
        <f t="shared" si="214"/>
        <v>17.38839999999999</v>
      </c>
      <c r="N89" s="196">
        <f t="shared" ref="N89:N103" si="225">E89/((1+$B$4)^(B89-1))</f>
        <v>0</v>
      </c>
      <c r="O89" s="197">
        <f t="shared" ref="O89:O103" si="226">F89/((1+$B$4)^(B89-1))</f>
        <v>169.18269230769229</v>
      </c>
      <c r="P89" s="197">
        <f t="shared" ref="P89:P103" si="227">K89/((1+$B$4)^(B89-1))</f>
        <v>152.46307692307693</v>
      </c>
      <c r="Q89" s="197">
        <f t="shared" ref="Q89:Q103" si="228">L89/((1+$B$4)^(B89-1))</f>
        <v>-152.46307692307693</v>
      </c>
      <c r="R89" s="199">
        <f t="shared" ref="R89:R103" si="229">M89/((1+$B$4)^(B89-1))</f>
        <v>16.719615384615373</v>
      </c>
      <c r="S89" s="196">
        <f>S88+N89</f>
        <v>0</v>
      </c>
      <c r="T89" s="197">
        <f t="shared" ref="T89:W103" si="230">T88+O89</f>
        <v>345.13269230769231</v>
      </c>
      <c r="U89" s="197">
        <f t="shared" si="230"/>
        <v>2650.7598609230772</v>
      </c>
      <c r="V89" s="197">
        <f t="shared" si="230"/>
        <v>-2650.7598609230772</v>
      </c>
      <c r="W89" s="199">
        <f t="shared" si="230"/>
        <v>-2305.627168615385</v>
      </c>
      <c r="X89" s="197"/>
      <c r="Z89" s="204">
        <v>2</v>
      </c>
      <c r="AA89" s="759">
        <f>'Energy NPV'!$D14*$AB$84</f>
        <v>0</v>
      </c>
      <c r="AB89" s="197">
        <f>'Energy margins'!$E$12</f>
        <v>72</v>
      </c>
      <c r="AC89" s="197">
        <f>AA89*AB89</f>
        <v>0</v>
      </c>
      <c r="AD89" s="197">
        <f>'Margins summary'!$Q$14</f>
        <v>175.95</v>
      </c>
      <c r="AE89" s="197">
        <f t="shared" ref="AE89:AE103" si="231">AC89+AD89</f>
        <v>175.95</v>
      </c>
      <c r="AF89" s="197"/>
      <c r="AG89" s="918">
        <f>'Energy NPV'!U14</f>
        <v>158.5616</v>
      </c>
      <c r="AH89" s="197"/>
      <c r="AI89" s="197">
        <f t="shared" ref="AI89:AI103" si="232">AF89+AG89+AH89</f>
        <v>158.5616</v>
      </c>
      <c r="AJ89" s="197">
        <f t="shared" si="215"/>
        <v>-158.5616</v>
      </c>
      <c r="AK89" s="197">
        <f t="shared" si="216"/>
        <v>17.38839999999999</v>
      </c>
      <c r="AL89" s="196">
        <f t="shared" ref="AL89:AL103" si="233">AC89/((1+$B$4)^(Z89-1))</f>
        <v>0</v>
      </c>
      <c r="AM89" s="197">
        <f t="shared" ref="AM89:AM103" si="234">AD89/((1+$B$4)^(Z89-1))</f>
        <v>169.18269230769229</v>
      </c>
      <c r="AN89" s="197">
        <f t="shared" ref="AN89:AN103" si="235">AI89/((1+$B$4)^(Z89-1))</f>
        <v>152.46307692307693</v>
      </c>
      <c r="AO89" s="197">
        <f t="shared" ref="AO89:AO103" si="236">AJ89/((1+$B$4)^(Z89-1))</f>
        <v>-152.46307692307693</v>
      </c>
      <c r="AP89" s="199">
        <f t="shared" ref="AP89:AP103" si="237">AK89/((1+$B$4)^(Z89-1))</f>
        <v>16.719615384615373</v>
      </c>
      <c r="AQ89" s="196">
        <f>AQ88+AL89</f>
        <v>0</v>
      </c>
      <c r="AR89" s="197">
        <f t="shared" ref="AR89:AU103" si="238">AR88+AM89</f>
        <v>345.13269230769231</v>
      </c>
      <c r="AS89" s="197">
        <f t="shared" si="238"/>
        <v>2650.7598609230772</v>
      </c>
      <c r="AT89" s="197">
        <f t="shared" si="238"/>
        <v>-2650.7598609230772</v>
      </c>
      <c r="AU89" s="199">
        <f t="shared" si="238"/>
        <v>-2305.627168615385</v>
      </c>
      <c r="AV89" s="197"/>
      <c r="AX89" s="204">
        <v>2</v>
      </c>
      <c r="AY89" s="759">
        <f>'Energy NPV'!$D14*$AZ$84</f>
        <v>0</v>
      </c>
      <c r="AZ89" s="197">
        <f>'Energy margins'!$E$12</f>
        <v>72</v>
      </c>
      <c r="BA89" s="197">
        <f>AY89*AZ89</f>
        <v>0</v>
      </c>
      <c r="BB89" s="197">
        <f>'Margins summary'!$Q$14</f>
        <v>175.95</v>
      </c>
      <c r="BC89" s="197">
        <f t="shared" ref="BC89:BC103" si="239">BA89+BB89</f>
        <v>175.95</v>
      </c>
      <c r="BD89" s="197"/>
      <c r="BE89" s="918">
        <f>'Energy NPV'!U14</f>
        <v>158.5616</v>
      </c>
      <c r="BF89" s="197"/>
      <c r="BG89" s="197">
        <f t="shared" ref="BG89:BG103" si="240">BD89+BE89+BF89</f>
        <v>158.5616</v>
      </c>
      <c r="BH89" s="197">
        <f t="shared" si="217"/>
        <v>-158.5616</v>
      </c>
      <c r="BI89" s="197">
        <f t="shared" si="218"/>
        <v>17.38839999999999</v>
      </c>
      <c r="BJ89" s="196">
        <f t="shared" ref="BJ89:BJ103" si="241">BA89/((1+$B$4)^(AX89-1))</f>
        <v>0</v>
      </c>
      <c r="BK89" s="197">
        <f t="shared" ref="BK89:BK103" si="242">BB89/((1+$B$4)^(AX89-1))</f>
        <v>169.18269230769229</v>
      </c>
      <c r="BL89" s="197">
        <f t="shared" ref="BL89:BL103" si="243">BG89/((1+$B$4)^(AX89-1))</f>
        <v>152.46307692307693</v>
      </c>
      <c r="BM89" s="197">
        <f t="shared" ref="BM89:BM103" si="244">BH89/((1+$B$4)^(AX89-1))</f>
        <v>-152.46307692307693</v>
      </c>
      <c r="BN89" s="199">
        <f t="shared" ref="BN89:BN103" si="245">BI89/((1+$B$4)^(AX89-1))</f>
        <v>16.719615384615373</v>
      </c>
      <c r="BO89" s="196">
        <f>BO88+BJ89</f>
        <v>0</v>
      </c>
      <c r="BP89" s="197">
        <f t="shared" ref="BP89:BS103" si="246">BP88+BK89</f>
        <v>345.13269230769231</v>
      </c>
      <c r="BQ89" s="197">
        <f t="shared" si="246"/>
        <v>2650.7598609230772</v>
      </c>
      <c r="BR89" s="197">
        <f t="shared" si="246"/>
        <v>-2650.7598609230772</v>
      </c>
      <c r="BS89" s="199">
        <f t="shared" si="246"/>
        <v>-2305.627168615385</v>
      </c>
      <c r="BT89" s="197"/>
      <c r="BV89" s="204">
        <v>2</v>
      </c>
      <c r="BW89" s="759">
        <f>'Energy NPV'!$D14*$BX$84</f>
        <v>0</v>
      </c>
      <c r="BX89" s="197">
        <f>'Energy margins'!$E$12</f>
        <v>72</v>
      </c>
      <c r="BY89" s="197">
        <f>BW89*BX89</f>
        <v>0</v>
      </c>
      <c r="BZ89" s="197">
        <f>'Margins summary'!$Q$14</f>
        <v>175.95</v>
      </c>
      <c r="CA89" s="197">
        <f t="shared" ref="CA89:CA103" si="247">BY89+BZ89</f>
        <v>175.95</v>
      </c>
      <c r="CB89" s="197"/>
      <c r="CC89" s="918">
        <f>'Energy NPV'!U14</f>
        <v>158.5616</v>
      </c>
      <c r="CD89" s="197"/>
      <c r="CE89" s="197">
        <f t="shared" ref="CE89:CE103" si="248">CB89+CC89+CD89</f>
        <v>158.5616</v>
      </c>
      <c r="CF89" s="197">
        <f t="shared" si="219"/>
        <v>-158.5616</v>
      </c>
      <c r="CG89" s="197">
        <f t="shared" si="220"/>
        <v>17.38839999999999</v>
      </c>
      <c r="CH89" s="196">
        <f t="shared" ref="CH89:CH103" si="249">BY89/((1+$B$4)^(BV89-1))</f>
        <v>0</v>
      </c>
      <c r="CI89" s="197">
        <f t="shared" ref="CI89:CI103" si="250">BZ89/((1+$B$4)^(BV89-1))</f>
        <v>169.18269230769229</v>
      </c>
      <c r="CJ89" s="197">
        <f t="shared" ref="CJ89:CJ103" si="251">CE89/((1+$B$4)^(BV89-1))</f>
        <v>152.46307692307693</v>
      </c>
      <c r="CK89" s="197">
        <f t="shared" ref="CK89:CK103" si="252">CF89/((1+$B$4)^(BV89-1))</f>
        <v>-152.46307692307693</v>
      </c>
      <c r="CL89" s="199">
        <f t="shared" ref="CL89:CL103" si="253">CG89/((1+$B$4)^(BV89-1))</f>
        <v>16.719615384615373</v>
      </c>
      <c r="CM89" s="196">
        <f>CM88+CH89</f>
        <v>0</v>
      </c>
      <c r="CN89" s="197">
        <f t="shared" ref="CN89:CQ103" si="254">CN88+CI89</f>
        <v>345.13269230769231</v>
      </c>
      <c r="CO89" s="197">
        <f t="shared" si="254"/>
        <v>2650.7598609230772</v>
      </c>
      <c r="CP89" s="197">
        <f t="shared" si="254"/>
        <v>-2650.7598609230772</v>
      </c>
      <c r="CQ89" s="199">
        <f t="shared" si="254"/>
        <v>-2305.627168615385</v>
      </c>
      <c r="CR89" s="197"/>
      <c r="CT89" s="204">
        <v>2</v>
      </c>
      <c r="CU89" s="759">
        <f>'Energy NPV'!$D14*$CV$84</f>
        <v>0</v>
      </c>
      <c r="CV89" s="197">
        <f>'Energy margins'!$E$12</f>
        <v>72</v>
      </c>
      <c r="CW89" s="197">
        <f>CU89*CV89</f>
        <v>0</v>
      </c>
      <c r="CX89" s="197">
        <f>'Margins summary'!$Q$14</f>
        <v>175.95</v>
      </c>
      <c r="CY89" s="197">
        <f t="shared" ref="CY89:CY103" si="255">CW89+CX89</f>
        <v>175.95</v>
      </c>
      <c r="CZ89" s="197"/>
      <c r="DA89" s="918">
        <f>'Energy NPV'!U14</f>
        <v>158.5616</v>
      </c>
      <c r="DB89" s="197"/>
      <c r="DC89" s="197">
        <f t="shared" ref="DC89:DC103" si="256">CZ89+DA89+DB89</f>
        <v>158.5616</v>
      </c>
      <c r="DD89" s="197">
        <f t="shared" si="221"/>
        <v>-158.5616</v>
      </c>
      <c r="DE89" s="197">
        <f t="shared" si="222"/>
        <v>17.38839999999999</v>
      </c>
      <c r="DF89" s="196">
        <f t="shared" ref="DF89:DF103" si="257">CW89/((1+$B$4)^(CT89-1))</f>
        <v>0</v>
      </c>
      <c r="DG89" s="197">
        <f t="shared" ref="DG89:DG103" si="258">CX89/((1+$B$4)^(CT89-1))</f>
        <v>169.18269230769229</v>
      </c>
      <c r="DH89" s="197">
        <f t="shared" ref="DH89:DH103" si="259">DC89/((1+$B$4)^(CT89-1))</f>
        <v>152.46307692307693</v>
      </c>
      <c r="DI89" s="197">
        <f t="shared" ref="DI89:DI103" si="260">DD89/((1+$B$4)^(CT89-1))</f>
        <v>-152.46307692307693</v>
      </c>
      <c r="DJ89" s="199">
        <f t="shared" ref="DJ89:DJ103" si="261">DE89/((1+$B$4)^(CT89-1))</f>
        <v>16.719615384615373</v>
      </c>
      <c r="DK89" s="196">
        <f>DK88+DF89</f>
        <v>0</v>
      </c>
      <c r="DL89" s="197">
        <f t="shared" ref="DL89:DO103" si="262">DL88+DG89</f>
        <v>345.13269230769231</v>
      </c>
      <c r="DM89" s="197">
        <f t="shared" si="262"/>
        <v>2650.7598609230772</v>
      </c>
      <c r="DN89" s="197">
        <f t="shared" si="262"/>
        <v>-2650.7598609230772</v>
      </c>
      <c r="DO89" s="199">
        <f t="shared" si="262"/>
        <v>-2305.627168615385</v>
      </c>
    </row>
    <row r="90" spans="2:119" x14ac:dyDescent="0.3">
      <c r="B90" s="204">
        <f t="shared" ref="B90:B103" si="263">B89+1</f>
        <v>3</v>
      </c>
      <c r="C90" s="759">
        <f>'Energy NPV'!$D15*$E$84</f>
        <v>0</v>
      </c>
      <c r="D90" s="197">
        <f>'Energy margins'!$E$12</f>
        <v>72</v>
      </c>
      <c r="E90" s="197">
        <f t="shared" ref="E90:E103" si="264">C90*D90</f>
        <v>0</v>
      </c>
      <c r="F90" s="197">
        <f>'Margins summary'!$Q$14</f>
        <v>175.95</v>
      </c>
      <c r="G90" s="197">
        <f t="shared" si="223"/>
        <v>175.95</v>
      </c>
      <c r="H90" s="197"/>
      <c r="I90" s="918">
        <f>'Energy NPV'!U15</f>
        <v>158.5616</v>
      </c>
      <c r="J90" s="197"/>
      <c r="K90" s="197">
        <f t="shared" si="224"/>
        <v>158.5616</v>
      </c>
      <c r="L90" s="197">
        <f t="shared" si="213"/>
        <v>-158.5616</v>
      </c>
      <c r="M90" s="197">
        <f t="shared" si="214"/>
        <v>17.38839999999999</v>
      </c>
      <c r="N90" s="196">
        <f t="shared" si="225"/>
        <v>0</v>
      </c>
      <c r="O90" s="197">
        <f t="shared" si="226"/>
        <v>162.67566568047334</v>
      </c>
      <c r="P90" s="197">
        <f t="shared" si="227"/>
        <v>146.59911242603548</v>
      </c>
      <c r="Q90" s="197">
        <f t="shared" si="228"/>
        <v>-146.59911242603548</v>
      </c>
      <c r="R90" s="199">
        <f t="shared" si="229"/>
        <v>16.076553254437858</v>
      </c>
      <c r="S90" s="196">
        <f t="shared" ref="S90:S103" si="265">S89+N90</f>
        <v>0</v>
      </c>
      <c r="T90" s="197">
        <f t="shared" si="230"/>
        <v>507.80835798816565</v>
      </c>
      <c r="U90" s="197">
        <f t="shared" si="230"/>
        <v>2797.3589733491126</v>
      </c>
      <c r="V90" s="197">
        <f t="shared" si="230"/>
        <v>-2797.3589733491126</v>
      </c>
      <c r="W90" s="199">
        <f t="shared" si="230"/>
        <v>-2289.5506153609472</v>
      </c>
      <c r="X90" s="197"/>
      <c r="Z90" s="204">
        <f t="shared" ref="Z90:Z103" si="266">Z89+1</f>
        <v>3</v>
      </c>
      <c r="AA90" s="759">
        <f>'Energy NPV'!$D15*$AB$84</f>
        <v>0</v>
      </c>
      <c r="AB90" s="197">
        <f>'Energy margins'!$E$12</f>
        <v>72</v>
      </c>
      <c r="AC90" s="197">
        <f t="shared" ref="AC90:AC103" si="267">AA90*AB90</f>
        <v>0</v>
      </c>
      <c r="AD90" s="197">
        <f>'Margins summary'!$Q$14</f>
        <v>175.95</v>
      </c>
      <c r="AE90" s="197">
        <f t="shared" si="231"/>
        <v>175.95</v>
      </c>
      <c r="AF90" s="197"/>
      <c r="AG90" s="918">
        <f>'Energy NPV'!U15</f>
        <v>158.5616</v>
      </c>
      <c r="AH90" s="197"/>
      <c r="AI90" s="197">
        <f t="shared" si="232"/>
        <v>158.5616</v>
      </c>
      <c r="AJ90" s="197">
        <f t="shared" si="215"/>
        <v>-158.5616</v>
      </c>
      <c r="AK90" s="197">
        <f t="shared" si="216"/>
        <v>17.38839999999999</v>
      </c>
      <c r="AL90" s="196">
        <f t="shared" si="233"/>
        <v>0</v>
      </c>
      <c r="AM90" s="197">
        <f t="shared" si="234"/>
        <v>162.67566568047334</v>
      </c>
      <c r="AN90" s="197">
        <f t="shared" si="235"/>
        <v>146.59911242603548</v>
      </c>
      <c r="AO90" s="197">
        <f t="shared" si="236"/>
        <v>-146.59911242603548</v>
      </c>
      <c r="AP90" s="199">
        <f t="shared" si="237"/>
        <v>16.076553254437858</v>
      </c>
      <c r="AQ90" s="196">
        <f t="shared" ref="AQ90:AQ102" si="268">AQ89+AL90</f>
        <v>0</v>
      </c>
      <c r="AR90" s="197">
        <f t="shared" si="238"/>
        <v>507.80835798816565</v>
      </c>
      <c r="AS90" s="197">
        <f t="shared" si="238"/>
        <v>2797.3589733491126</v>
      </c>
      <c r="AT90" s="197">
        <f t="shared" si="238"/>
        <v>-2797.3589733491126</v>
      </c>
      <c r="AU90" s="199">
        <f t="shared" si="238"/>
        <v>-2289.5506153609472</v>
      </c>
      <c r="AV90" s="197"/>
      <c r="AX90" s="204">
        <f t="shared" ref="AX90:AX103" si="269">AX89+1</f>
        <v>3</v>
      </c>
      <c r="AY90" s="759">
        <f>'Energy NPV'!$D15*$AZ$84</f>
        <v>0</v>
      </c>
      <c r="AZ90" s="197">
        <f>'Energy margins'!$E$12</f>
        <v>72</v>
      </c>
      <c r="BA90" s="197">
        <f t="shared" ref="BA90:BA103" si="270">AY90*AZ90</f>
        <v>0</v>
      </c>
      <c r="BB90" s="197">
        <f>'Margins summary'!$Q$14</f>
        <v>175.95</v>
      </c>
      <c r="BC90" s="197">
        <f t="shared" si="239"/>
        <v>175.95</v>
      </c>
      <c r="BD90" s="197"/>
      <c r="BE90" s="918">
        <f>'Energy NPV'!U15</f>
        <v>158.5616</v>
      </c>
      <c r="BF90" s="197"/>
      <c r="BG90" s="197">
        <f t="shared" si="240"/>
        <v>158.5616</v>
      </c>
      <c r="BH90" s="197">
        <f t="shared" si="217"/>
        <v>-158.5616</v>
      </c>
      <c r="BI90" s="197">
        <f t="shared" si="218"/>
        <v>17.38839999999999</v>
      </c>
      <c r="BJ90" s="196">
        <f t="shared" si="241"/>
        <v>0</v>
      </c>
      <c r="BK90" s="197">
        <f t="shared" si="242"/>
        <v>162.67566568047334</v>
      </c>
      <c r="BL90" s="197">
        <f t="shared" si="243"/>
        <v>146.59911242603548</v>
      </c>
      <c r="BM90" s="197">
        <f t="shared" si="244"/>
        <v>-146.59911242603548</v>
      </c>
      <c r="BN90" s="199">
        <f t="shared" si="245"/>
        <v>16.076553254437858</v>
      </c>
      <c r="BO90" s="196">
        <f t="shared" ref="BO90:BO103" si="271">BO89+BJ90</f>
        <v>0</v>
      </c>
      <c r="BP90" s="197">
        <f t="shared" si="246"/>
        <v>507.80835798816565</v>
      </c>
      <c r="BQ90" s="197">
        <f t="shared" si="246"/>
        <v>2797.3589733491126</v>
      </c>
      <c r="BR90" s="197">
        <f t="shared" si="246"/>
        <v>-2797.3589733491126</v>
      </c>
      <c r="BS90" s="199">
        <f t="shared" si="246"/>
        <v>-2289.5506153609472</v>
      </c>
      <c r="BT90" s="197"/>
      <c r="BV90" s="204">
        <f t="shared" ref="BV90:BV103" si="272">BV89+1</f>
        <v>3</v>
      </c>
      <c r="BW90" s="759">
        <f>'Energy NPV'!$D15*$BX$84</f>
        <v>0</v>
      </c>
      <c r="BX90" s="197">
        <f>'Energy margins'!$E$12</f>
        <v>72</v>
      </c>
      <c r="BY90" s="197">
        <f t="shared" ref="BY90:BY103" si="273">BW90*BX90</f>
        <v>0</v>
      </c>
      <c r="BZ90" s="197">
        <f>'Margins summary'!$Q$14</f>
        <v>175.95</v>
      </c>
      <c r="CA90" s="197">
        <f t="shared" si="247"/>
        <v>175.95</v>
      </c>
      <c r="CB90" s="197"/>
      <c r="CC90" s="918">
        <f>'Energy NPV'!U15</f>
        <v>158.5616</v>
      </c>
      <c r="CD90" s="197"/>
      <c r="CE90" s="197">
        <f t="shared" si="248"/>
        <v>158.5616</v>
      </c>
      <c r="CF90" s="197">
        <f t="shared" si="219"/>
        <v>-158.5616</v>
      </c>
      <c r="CG90" s="197">
        <f t="shared" si="220"/>
        <v>17.38839999999999</v>
      </c>
      <c r="CH90" s="196">
        <f t="shared" si="249"/>
        <v>0</v>
      </c>
      <c r="CI90" s="197">
        <f t="shared" si="250"/>
        <v>162.67566568047334</v>
      </c>
      <c r="CJ90" s="197">
        <f t="shared" si="251"/>
        <v>146.59911242603548</v>
      </c>
      <c r="CK90" s="197">
        <f t="shared" si="252"/>
        <v>-146.59911242603548</v>
      </c>
      <c r="CL90" s="199">
        <f t="shared" si="253"/>
        <v>16.076553254437858</v>
      </c>
      <c r="CM90" s="196">
        <f t="shared" ref="CM90:CM103" si="274">CM89+CH90</f>
        <v>0</v>
      </c>
      <c r="CN90" s="197">
        <f t="shared" si="254"/>
        <v>507.80835798816565</v>
      </c>
      <c r="CO90" s="197">
        <f t="shared" si="254"/>
        <v>2797.3589733491126</v>
      </c>
      <c r="CP90" s="197">
        <f t="shared" si="254"/>
        <v>-2797.3589733491126</v>
      </c>
      <c r="CQ90" s="199">
        <f t="shared" si="254"/>
        <v>-2289.5506153609472</v>
      </c>
      <c r="CR90" s="197"/>
      <c r="CT90" s="204">
        <f t="shared" ref="CT90:CT103" si="275">CT89+1</f>
        <v>3</v>
      </c>
      <c r="CU90" s="759">
        <f>'Energy NPV'!$D15*$CV$84</f>
        <v>0</v>
      </c>
      <c r="CV90" s="197">
        <f>'Energy margins'!$E$12</f>
        <v>72</v>
      </c>
      <c r="CW90" s="197">
        <f t="shared" ref="CW90:CW103" si="276">CU90*CV90</f>
        <v>0</v>
      </c>
      <c r="CX90" s="197">
        <f>'Margins summary'!$Q$14</f>
        <v>175.95</v>
      </c>
      <c r="CY90" s="197">
        <f t="shared" si="255"/>
        <v>175.95</v>
      </c>
      <c r="CZ90" s="197"/>
      <c r="DA90" s="918">
        <f>'Energy NPV'!U15</f>
        <v>158.5616</v>
      </c>
      <c r="DB90" s="197"/>
      <c r="DC90" s="197">
        <f t="shared" si="256"/>
        <v>158.5616</v>
      </c>
      <c r="DD90" s="197">
        <f t="shared" si="221"/>
        <v>-158.5616</v>
      </c>
      <c r="DE90" s="197">
        <f t="shared" si="222"/>
        <v>17.38839999999999</v>
      </c>
      <c r="DF90" s="196">
        <f t="shared" si="257"/>
        <v>0</v>
      </c>
      <c r="DG90" s="197">
        <f t="shared" si="258"/>
        <v>162.67566568047334</v>
      </c>
      <c r="DH90" s="197">
        <f t="shared" si="259"/>
        <v>146.59911242603548</v>
      </c>
      <c r="DI90" s="197">
        <f t="shared" si="260"/>
        <v>-146.59911242603548</v>
      </c>
      <c r="DJ90" s="199">
        <f t="shared" si="261"/>
        <v>16.076553254437858</v>
      </c>
      <c r="DK90" s="196">
        <f t="shared" ref="DK90:DK103" si="277">DK89+DF90</f>
        <v>0</v>
      </c>
      <c r="DL90" s="197">
        <f t="shared" si="262"/>
        <v>507.80835798816565</v>
      </c>
      <c r="DM90" s="197">
        <f t="shared" si="262"/>
        <v>2797.3589733491126</v>
      </c>
      <c r="DN90" s="197">
        <f t="shared" si="262"/>
        <v>-2797.3589733491126</v>
      </c>
      <c r="DO90" s="199">
        <f t="shared" si="262"/>
        <v>-2289.5506153609472</v>
      </c>
    </row>
    <row r="91" spans="2:119" x14ac:dyDescent="0.3">
      <c r="B91" s="204">
        <f t="shared" si="263"/>
        <v>4</v>
      </c>
      <c r="C91" s="759">
        <f>'Energy NPV'!$D16*$E$84</f>
        <v>30</v>
      </c>
      <c r="D91" s="197">
        <f>'Energy margins'!$E$12</f>
        <v>72</v>
      </c>
      <c r="E91" s="197">
        <f t="shared" si="264"/>
        <v>2160</v>
      </c>
      <c r="F91" s="197">
        <f>'Margins summary'!$Q$14</f>
        <v>175.95</v>
      </c>
      <c r="G91" s="197">
        <f t="shared" si="223"/>
        <v>2335.9499999999998</v>
      </c>
      <c r="H91" s="197"/>
      <c r="I91" s="918">
        <f>'Energy NPV'!U16</f>
        <v>704.85838399999989</v>
      </c>
      <c r="J91" s="197"/>
      <c r="K91" s="197">
        <f t="shared" si="224"/>
        <v>704.85838399999989</v>
      </c>
      <c r="L91" s="197">
        <f t="shared" si="213"/>
        <v>1455.1416160000001</v>
      </c>
      <c r="M91" s="197">
        <f t="shared" si="214"/>
        <v>1631.0916159999999</v>
      </c>
      <c r="N91" s="196">
        <f t="shared" si="225"/>
        <v>1920.2321347291761</v>
      </c>
      <c r="O91" s="197">
        <f t="shared" si="226"/>
        <v>156.41890930814745</v>
      </c>
      <c r="P91" s="197">
        <f t="shared" si="227"/>
        <v>626.61653675466528</v>
      </c>
      <c r="Q91" s="197">
        <f t="shared" si="228"/>
        <v>1293.6155979745106</v>
      </c>
      <c r="R91" s="199">
        <f t="shared" si="229"/>
        <v>1450.0345072826581</v>
      </c>
      <c r="S91" s="196">
        <f t="shared" si="265"/>
        <v>1920.2321347291761</v>
      </c>
      <c r="T91" s="197">
        <f t="shared" si="230"/>
        <v>664.22726729631313</v>
      </c>
      <c r="U91" s="197">
        <f t="shared" si="230"/>
        <v>3423.9755101037781</v>
      </c>
      <c r="V91" s="197">
        <f t="shared" si="230"/>
        <v>-1503.743375374602</v>
      </c>
      <c r="W91" s="199">
        <f t="shared" si="230"/>
        <v>-839.51610807828911</v>
      </c>
      <c r="X91" s="197"/>
      <c r="Z91" s="204">
        <f t="shared" si="266"/>
        <v>4</v>
      </c>
      <c r="AA91" s="759">
        <f>'Energy NPV'!$D16*$AB$84</f>
        <v>45</v>
      </c>
      <c r="AB91" s="197">
        <f>'Energy margins'!$E$12</f>
        <v>72</v>
      </c>
      <c r="AC91" s="197">
        <f t="shared" si="267"/>
        <v>3240</v>
      </c>
      <c r="AD91" s="197">
        <f>'Margins summary'!$Q$14</f>
        <v>175.95</v>
      </c>
      <c r="AE91" s="197">
        <f t="shared" si="231"/>
        <v>3415.95</v>
      </c>
      <c r="AF91" s="197"/>
      <c r="AG91" s="918">
        <f>'Energy NPV'!U16</f>
        <v>704.85838399999989</v>
      </c>
      <c r="AH91" s="197"/>
      <c r="AI91" s="197">
        <f t="shared" si="232"/>
        <v>704.85838399999989</v>
      </c>
      <c r="AJ91" s="197">
        <f t="shared" si="215"/>
        <v>2535.1416159999999</v>
      </c>
      <c r="AK91" s="197">
        <f t="shared" si="216"/>
        <v>2711.0916159999997</v>
      </c>
      <c r="AL91" s="196">
        <f t="shared" si="233"/>
        <v>2880.348202093764</v>
      </c>
      <c r="AM91" s="197">
        <f t="shared" si="234"/>
        <v>156.41890930814745</v>
      </c>
      <c r="AN91" s="197">
        <f t="shared" si="235"/>
        <v>626.61653675466528</v>
      </c>
      <c r="AO91" s="197">
        <f t="shared" si="236"/>
        <v>2253.7316653390985</v>
      </c>
      <c r="AP91" s="199">
        <f t="shared" si="237"/>
        <v>2410.1505746472458</v>
      </c>
      <c r="AQ91" s="196">
        <f t="shared" si="268"/>
        <v>2880.348202093764</v>
      </c>
      <c r="AR91" s="197">
        <f t="shared" si="238"/>
        <v>664.22726729631313</v>
      </c>
      <c r="AS91" s="197">
        <f t="shared" si="238"/>
        <v>3423.9755101037781</v>
      </c>
      <c r="AT91" s="197">
        <f t="shared" si="238"/>
        <v>-543.62730801001408</v>
      </c>
      <c r="AU91" s="199">
        <f t="shared" si="238"/>
        <v>120.5999592862986</v>
      </c>
      <c r="AV91" s="197"/>
      <c r="AX91" s="204">
        <f t="shared" si="269"/>
        <v>4</v>
      </c>
      <c r="AY91" s="759">
        <f>'Energy NPV'!$D16*$AZ$84</f>
        <v>15</v>
      </c>
      <c r="AZ91" s="197">
        <f>'Energy margins'!$E$12</f>
        <v>72</v>
      </c>
      <c r="BA91" s="197">
        <f t="shared" si="270"/>
        <v>1080</v>
      </c>
      <c r="BB91" s="197">
        <f>'Margins summary'!$Q$14</f>
        <v>175.95</v>
      </c>
      <c r="BC91" s="197">
        <f t="shared" si="239"/>
        <v>1255.95</v>
      </c>
      <c r="BD91" s="197"/>
      <c r="BE91" s="918">
        <f>'Energy NPV'!U16</f>
        <v>704.85838399999989</v>
      </c>
      <c r="BF91" s="197"/>
      <c r="BG91" s="197">
        <f t="shared" si="240"/>
        <v>704.85838399999989</v>
      </c>
      <c r="BH91" s="197">
        <f t="shared" si="217"/>
        <v>375.14161600000011</v>
      </c>
      <c r="BI91" s="197">
        <f t="shared" si="218"/>
        <v>551.09161600000016</v>
      </c>
      <c r="BJ91" s="196">
        <f t="shared" si="241"/>
        <v>960.11606736458805</v>
      </c>
      <c r="BK91" s="197">
        <f t="shared" si="242"/>
        <v>156.41890930814745</v>
      </c>
      <c r="BL91" s="197">
        <f t="shared" si="243"/>
        <v>626.61653675466528</v>
      </c>
      <c r="BM91" s="197">
        <f t="shared" si="244"/>
        <v>333.49953060992272</v>
      </c>
      <c r="BN91" s="199">
        <f t="shared" si="245"/>
        <v>489.91843991807019</v>
      </c>
      <c r="BO91" s="196">
        <f t="shared" si="271"/>
        <v>960.11606736458805</v>
      </c>
      <c r="BP91" s="197">
        <f t="shared" si="246"/>
        <v>664.22726729631313</v>
      </c>
      <c r="BQ91" s="197">
        <f t="shared" si="246"/>
        <v>3423.9755101037781</v>
      </c>
      <c r="BR91" s="197">
        <f t="shared" si="246"/>
        <v>-2463.8594427391899</v>
      </c>
      <c r="BS91" s="199">
        <f t="shared" si="246"/>
        <v>-1799.632175442877</v>
      </c>
      <c r="BT91" s="197"/>
      <c r="BV91" s="204">
        <f t="shared" si="272"/>
        <v>4</v>
      </c>
      <c r="BW91" s="759">
        <f>'Energy NPV'!$D16*$BX$84</f>
        <v>60</v>
      </c>
      <c r="BX91" s="197">
        <f>'Energy margins'!$E$12</f>
        <v>72</v>
      </c>
      <c r="BY91" s="197">
        <f t="shared" si="273"/>
        <v>4320</v>
      </c>
      <c r="BZ91" s="197">
        <f>'Margins summary'!$Q$14</f>
        <v>175.95</v>
      </c>
      <c r="CA91" s="197">
        <f t="shared" si="247"/>
        <v>4495.95</v>
      </c>
      <c r="CB91" s="197"/>
      <c r="CC91" s="918">
        <f>'Energy NPV'!U16</f>
        <v>704.85838399999989</v>
      </c>
      <c r="CD91" s="197"/>
      <c r="CE91" s="197">
        <f t="shared" si="248"/>
        <v>704.85838399999989</v>
      </c>
      <c r="CF91" s="197">
        <f t="shared" si="219"/>
        <v>3615.1416159999999</v>
      </c>
      <c r="CG91" s="197">
        <f t="shared" si="220"/>
        <v>3791.0916159999997</v>
      </c>
      <c r="CH91" s="196">
        <f t="shared" si="249"/>
        <v>3840.4642694583522</v>
      </c>
      <c r="CI91" s="197">
        <f t="shared" si="250"/>
        <v>156.41890930814745</v>
      </c>
      <c r="CJ91" s="197">
        <f t="shared" si="251"/>
        <v>626.61653675466528</v>
      </c>
      <c r="CK91" s="197">
        <f t="shared" si="252"/>
        <v>3213.8477327036867</v>
      </c>
      <c r="CL91" s="199">
        <f t="shared" si="253"/>
        <v>3370.2666420118339</v>
      </c>
      <c r="CM91" s="196">
        <f t="shared" si="274"/>
        <v>3840.4642694583522</v>
      </c>
      <c r="CN91" s="197">
        <f t="shared" si="254"/>
        <v>664.22726729631313</v>
      </c>
      <c r="CO91" s="197">
        <f t="shared" si="254"/>
        <v>3423.9755101037781</v>
      </c>
      <c r="CP91" s="197">
        <f t="shared" si="254"/>
        <v>416.48875935457409</v>
      </c>
      <c r="CQ91" s="199">
        <f t="shared" si="254"/>
        <v>1080.7160266508868</v>
      </c>
      <c r="CR91" s="197"/>
      <c r="CT91" s="204">
        <f t="shared" si="275"/>
        <v>4</v>
      </c>
      <c r="CU91" s="759">
        <f>'Energy NPV'!$D16*$CV$84</f>
        <v>0</v>
      </c>
      <c r="CV91" s="197">
        <f>'Energy margins'!$E$12</f>
        <v>72</v>
      </c>
      <c r="CW91" s="197">
        <f t="shared" si="276"/>
        <v>0</v>
      </c>
      <c r="CX91" s="197">
        <f>'Margins summary'!$Q$14</f>
        <v>175.95</v>
      </c>
      <c r="CY91" s="197">
        <f t="shared" si="255"/>
        <v>175.95</v>
      </c>
      <c r="CZ91" s="197"/>
      <c r="DA91" s="918">
        <f>'Energy NPV'!U16</f>
        <v>704.85838399999989</v>
      </c>
      <c r="DB91" s="197"/>
      <c r="DC91" s="197">
        <f t="shared" si="256"/>
        <v>704.85838399999989</v>
      </c>
      <c r="DD91" s="197">
        <f t="shared" si="221"/>
        <v>-704.85838399999989</v>
      </c>
      <c r="DE91" s="197">
        <f t="shared" si="222"/>
        <v>-528.90838399999984</v>
      </c>
      <c r="DF91" s="196">
        <f t="shared" si="257"/>
        <v>0</v>
      </c>
      <c r="DG91" s="197">
        <f t="shared" si="258"/>
        <v>156.41890930814745</v>
      </c>
      <c r="DH91" s="197">
        <f t="shared" si="259"/>
        <v>626.61653675466528</v>
      </c>
      <c r="DI91" s="197">
        <f t="shared" si="260"/>
        <v>-626.61653675466528</v>
      </c>
      <c r="DJ91" s="199">
        <f t="shared" si="261"/>
        <v>-470.1976274465178</v>
      </c>
      <c r="DK91" s="196">
        <f t="shared" si="277"/>
        <v>0</v>
      </c>
      <c r="DL91" s="197">
        <f t="shared" si="262"/>
        <v>664.22726729631313</v>
      </c>
      <c r="DM91" s="197">
        <f t="shared" si="262"/>
        <v>3423.9755101037781</v>
      </c>
      <c r="DN91" s="197">
        <f t="shared" si="262"/>
        <v>-3423.9755101037781</v>
      </c>
      <c r="DO91" s="199">
        <f t="shared" si="262"/>
        <v>-2759.748242807465</v>
      </c>
    </row>
    <row r="92" spans="2:119" x14ac:dyDescent="0.3">
      <c r="B92" s="204">
        <f t="shared" si="263"/>
        <v>5</v>
      </c>
      <c r="C92" s="759">
        <f>'Energy NPV'!$D17*$E$84</f>
        <v>0</v>
      </c>
      <c r="D92" s="197">
        <f>'Energy margins'!$E$12</f>
        <v>72</v>
      </c>
      <c r="E92" s="197">
        <f t="shared" si="264"/>
        <v>0</v>
      </c>
      <c r="F92" s="197">
        <f>'Margins summary'!$Q$14</f>
        <v>175.95</v>
      </c>
      <c r="G92" s="197">
        <f t="shared" si="223"/>
        <v>175.95</v>
      </c>
      <c r="H92" s="197"/>
      <c r="I92" s="918">
        <f>'Energy NPV'!U17</f>
        <v>45.561599999999999</v>
      </c>
      <c r="J92" s="197"/>
      <c r="K92" s="197">
        <f t="shared" si="224"/>
        <v>45.561599999999999</v>
      </c>
      <c r="L92" s="197">
        <f t="shared" si="213"/>
        <v>-45.561599999999999</v>
      </c>
      <c r="M92" s="197">
        <f t="shared" si="214"/>
        <v>130.38839999999999</v>
      </c>
      <c r="N92" s="196">
        <f t="shared" si="225"/>
        <v>0</v>
      </c>
      <c r="O92" s="197">
        <f t="shared" si="226"/>
        <v>150.40279741168024</v>
      </c>
      <c r="P92" s="197">
        <f t="shared" si="227"/>
        <v>38.946246630019949</v>
      </c>
      <c r="Q92" s="197">
        <f t="shared" si="228"/>
        <v>-38.946246630019949</v>
      </c>
      <c r="R92" s="199">
        <f t="shared" si="229"/>
        <v>111.45655078166028</v>
      </c>
      <c r="S92" s="196">
        <f t="shared" si="265"/>
        <v>1920.2321347291761</v>
      </c>
      <c r="T92" s="197">
        <f t="shared" si="230"/>
        <v>814.63006470799337</v>
      </c>
      <c r="U92" s="197">
        <f t="shared" si="230"/>
        <v>3462.9217567337982</v>
      </c>
      <c r="V92" s="197">
        <f t="shared" si="230"/>
        <v>-1542.6896220046219</v>
      </c>
      <c r="W92" s="199">
        <f t="shared" si="230"/>
        <v>-728.05955729662878</v>
      </c>
      <c r="X92" s="197"/>
      <c r="Z92" s="204">
        <f t="shared" si="266"/>
        <v>5</v>
      </c>
      <c r="AA92" s="759">
        <f>'Energy NPV'!$D17*$AB$84</f>
        <v>0</v>
      </c>
      <c r="AB92" s="197">
        <f>'Energy margins'!$E$12</f>
        <v>72</v>
      </c>
      <c r="AC92" s="197">
        <f t="shared" si="267"/>
        <v>0</v>
      </c>
      <c r="AD92" s="197">
        <f>'Margins summary'!$Q$14</f>
        <v>175.95</v>
      </c>
      <c r="AE92" s="197">
        <f t="shared" si="231"/>
        <v>175.95</v>
      </c>
      <c r="AF92" s="197"/>
      <c r="AG92" s="918">
        <f>'Energy NPV'!U17</f>
        <v>45.561599999999999</v>
      </c>
      <c r="AH92" s="197"/>
      <c r="AI92" s="197">
        <f t="shared" si="232"/>
        <v>45.561599999999999</v>
      </c>
      <c r="AJ92" s="197">
        <f t="shared" si="215"/>
        <v>-45.561599999999999</v>
      </c>
      <c r="AK92" s="197">
        <f t="shared" si="216"/>
        <v>130.38839999999999</v>
      </c>
      <c r="AL92" s="196">
        <f t="shared" si="233"/>
        <v>0</v>
      </c>
      <c r="AM92" s="197">
        <f t="shared" si="234"/>
        <v>150.40279741168024</v>
      </c>
      <c r="AN92" s="197">
        <f t="shared" si="235"/>
        <v>38.946246630019949</v>
      </c>
      <c r="AO92" s="197">
        <f t="shared" si="236"/>
        <v>-38.946246630019949</v>
      </c>
      <c r="AP92" s="199">
        <f t="shared" si="237"/>
        <v>111.45655078166028</v>
      </c>
      <c r="AQ92" s="196">
        <f t="shared" si="268"/>
        <v>2880.348202093764</v>
      </c>
      <c r="AR92" s="197">
        <f t="shared" si="238"/>
        <v>814.63006470799337</v>
      </c>
      <c r="AS92" s="197">
        <f t="shared" si="238"/>
        <v>3462.9217567337982</v>
      </c>
      <c r="AT92" s="197">
        <f t="shared" si="238"/>
        <v>-582.57355464003399</v>
      </c>
      <c r="AU92" s="199">
        <f t="shared" si="238"/>
        <v>232.05651006795887</v>
      </c>
      <c r="AV92" s="197"/>
      <c r="AX92" s="204">
        <f t="shared" si="269"/>
        <v>5</v>
      </c>
      <c r="AY92" s="759">
        <f>'Energy NPV'!$D17*$AZ$84</f>
        <v>0</v>
      </c>
      <c r="AZ92" s="197">
        <f>'Energy margins'!$E$12</f>
        <v>72</v>
      </c>
      <c r="BA92" s="197">
        <f t="shared" si="270"/>
        <v>0</v>
      </c>
      <c r="BB92" s="197">
        <f>'Margins summary'!$Q$14</f>
        <v>175.95</v>
      </c>
      <c r="BC92" s="197">
        <f t="shared" si="239"/>
        <v>175.95</v>
      </c>
      <c r="BD92" s="197"/>
      <c r="BE92" s="918">
        <f>'Energy NPV'!U17</f>
        <v>45.561599999999999</v>
      </c>
      <c r="BF92" s="197"/>
      <c r="BG92" s="197">
        <f t="shared" si="240"/>
        <v>45.561599999999999</v>
      </c>
      <c r="BH92" s="197">
        <f t="shared" si="217"/>
        <v>-45.561599999999999</v>
      </c>
      <c r="BI92" s="197">
        <f t="shared" si="218"/>
        <v>130.38839999999999</v>
      </c>
      <c r="BJ92" s="196">
        <f t="shared" si="241"/>
        <v>0</v>
      </c>
      <c r="BK92" s="197">
        <f t="shared" si="242"/>
        <v>150.40279741168024</v>
      </c>
      <c r="BL92" s="197">
        <f t="shared" si="243"/>
        <v>38.946246630019949</v>
      </c>
      <c r="BM92" s="197">
        <f t="shared" si="244"/>
        <v>-38.946246630019949</v>
      </c>
      <c r="BN92" s="199">
        <f t="shared" si="245"/>
        <v>111.45655078166028</v>
      </c>
      <c r="BO92" s="196">
        <f t="shared" si="271"/>
        <v>960.11606736458805</v>
      </c>
      <c r="BP92" s="197">
        <f t="shared" si="246"/>
        <v>814.63006470799337</v>
      </c>
      <c r="BQ92" s="197">
        <f t="shared" si="246"/>
        <v>3462.9217567337982</v>
      </c>
      <c r="BR92" s="197">
        <f t="shared" si="246"/>
        <v>-2502.8056893692101</v>
      </c>
      <c r="BS92" s="199">
        <f t="shared" si="246"/>
        <v>-1688.1756246612167</v>
      </c>
      <c r="BT92" s="197"/>
      <c r="BV92" s="204">
        <f t="shared" si="272"/>
        <v>5</v>
      </c>
      <c r="BW92" s="759">
        <f>'Energy NPV'!$D17*$BX$84</f>
        <v>0</v>
      </c>
      <c r="BX92" s="197">
        <f>'Energy margins'!$E$12</f>
        <v>72</v>
      </c>
      <c r="BY92" s="197">
        <f t="shared" si="273"/>
        <v>0</v>
      </c>
      <c r="BZ92" s="197">
        <f>'Margins summary'!$Q$14</f>
        <v>175.95</v>
      </c>
      <c r="CA92" s="197">
        <f t="shared" si="247"/>
        <v>175.95</v>
      </c>
      <c r="CB92" s="197"/>
      <c r="CC92" s="918">
        <f>'Energy NPV'!U17</f>
        <v>45.561599999999999</v>
      </c>
      <c r="CD92" s="197"/>
      <c r="CE92" s="197">
        <f t="shared" si="248"/>
        <v>45.561599999999999</v>
      </c>
      <c r="CF92" s="197">
        <f t="shared" si="219"/>
        <v>-45.561599999999999</v>
      </c>
      <c r="CG92" s="197">
        <f t="shared" si="220"/>
        <v>130.38839999999999</v>
      </c>
      <c r="CH92" s="196">
        <f t="shared" si="249"/>
        <v>0</v>
      </c>
      <c r="CI92" s="197">
        <f t="shared" si="250"/>
        <v>150.40279741168024</v>
      </c>
      <c r="CJ92" s="197">
        <f t="shared" si="251"/>
        <v>38.946246630019949</v>
      </c>
      <c r="CK92" s="197">
        <f t="shared" si="252"/>
        <v>-38.946246630019949</v>
      </c>
      <c r="CL92" s="199">
        <f t="shared" si="253"/>
        <v>111.45655078166028</v>
      </c>
      <c r="CM92" s="196">
        <f t="shared" si="274"/>
        <v>3840.4642694583522</v>
      </c>
      <c r="CN92" s="197">
        <f t="shared" si="254"/>
        <v>814.63006470799337</v>
      </c>
      <c r="CO92" s="197">
        <f t="shared" si="254"/>
        <v>3462.9217567337982</v>
      </c>
      <c r="CP92" s="197">
        <f t="shared" si="254"/>
        <v>377.54251272455411</v>
      </c>
      <c r="CQ92" s="199">
        <f t="shared" si="254"/>
        <v>1192.1725774325471</v>
      </c>
      <c r="CR92" s="197"/>
      <c r="CT92" s="204">
        <f t="shared" si="275"/>
        <v>5</v>
      </c>
      <c r="CU92" s="759">
        <f>'Energy NPV'!$D17*$CV$84</f>
        <v>0</v>
      </c>
      <c r="CV92" s="197">
        <f>'Energy margins'!$E$12</f>
        <v>72</v>
      </c>
      <c r="CW92" s="197">
        <f t="shared" si="276"/>
        <v>0</v>
      </c>
      <c r="CX92" s="197">
        <f>'Margins summary'!$Q$14</f>
        <v>175.95</v>
      </c>
      <c r="CY92" s="197">
        <f t="shared" si="255"/>
        <v>175.95</v>
      </c>
      <c r="CZ92" s="197"/>
      <c r="DA92" s="918">
        <f>'Energy NPV'!U17</f>
        <v>45.561599999999999</v>
      </c>
      <c r="DB92" s="197"/>
      <c r="DC92" s="197">
        <f t="shared" si="256"/>
        <v>45.561599999999999</v>
      </c>
      <c r="DD92" s="197">
        <f t="shared" si="221"/>
        <v>-45.561599999999999</v>
      </c>
      <c r="DE92" s="197">
        <f t="shared" si="222"/>
        <v>130.38839999999999</v>
      </c>
      <c r="DF92" s="196">
        <f t="shared" si="257"/>
        <v>0</v>
      </c>
      <c r="DG92" s="197">
        <f t="shared" si="258"/>
        <v>150.40279741168024</v>
      </c>
      <c r="DH92" s="197">
        <f t="shared" si="259"/>
        <v>38.946246630019949</v>
      </c>
      <c r="DI92" s="197">
        <f t="shared" si="260"/>
        <v>-38.946246630019949</v>
      </c>
      <c r="DJ92" s="199">
        <f t="shared" si="261"/>
        <v>111.45655078166028</v>
      </c>
      <c r="DK92" s="196">
        <f t="shared" si="277"/>
        <v>0</v>
      </c>
      <c r="DL92" s="197">
        <f t="shared" si="262"/>
        <v>814.63006470799337</v>
      </c>
      <c r="DM92" s="197">
        <f t="shared" si="262"/>
        <v>3462.9217567337982</v>
      </c>
      <c r="DN92" s="197">
        <f t="shared" si="262"/>
        <v>-3462.9217567337982</v>
      </c>
      <c r="DO92" s="199">
        <f t="shared" si="262"/>
        <v>-2648.2916920258049</v>
      </c>
    </row>
    <row r="93" spans="2:119" x14ac:dyDescent="0.3">
      <c r="B93" s="204">
        <f t="shared" si="263"/>
        <v>6</v>
      </c>
      <c r="C93" s="759">
        <f>'Energy NPV'!$D18*$E$84</f>
        <v>0</v>
      </c>
      <c r="D93" s="197">
        <f>'Energy margins'!$E$12</f>
        <v>72</v>
      </c>
      <c r="E93" s="197">
        <f t="shared" si="264"/>
        <v>0</v>
      </c>
      <c r="F93" s="197">
        <f>'Margins summary'!$Q$14</f>
        <v>175.95</v>
      </c>
      <c r="G93" s="197">
        <f t="shared" si="223"/>
        <v>175.95</v>
      </c>
      <c r="H93" s="197"/>
      <c r="I93" s="918">
        <f>'Energy NPV'!U18</f>
        <v>45.561599999999999</v>
      </c>
      <c r="J93" s="197"/>
      <c r="K93" s="197">
        <f t="shared" si="224"/>
        <v>45.561599999999999</v>
      </c>
      <c r="L93" s="197">
        <f t="shared" si="213"/>
        <v>-45.561599999999999</v>
      </c>
      <c r="M93" s="197">
        <f t="shared" si="214"/>
        <v>130.38839999999999</v>
      </c>
      <c r="N93" s="196">
        <f t="shared" si="225"/>
        <v>0</v>
      </c>
      <c r="O93" s="197">
        <f t="shared" si="226"/>
        <v>144.61807443430789</v>
      </c>
      <c r="P93" s="197">
        <f t="shared" si="227"/>
        <v>37.448314067326869</v>
      </c>
      <c r="Q93" s="197">
        <f t="shared" si="228"/>
        <v>-37.448314067326869</v>
      </c>
      <c r="R93" s="199">
        <f t="shared" si="229"/>
        <v>107.16976036698102</v>
      </c>
      <c r="S93" s="196">
        <f t="shared" si="265"/>
        <v>1920.2321347291761</v>
      </c>
      <c r="T93" s="197">
        <f t="shared" si="230"/>
        <v>959.24813914230128</v>
      </c>
      <c r="U93" s="197">
        <f t="shared" si="230"/>
        <v>3500.3700708011252</v>
      </c>
      <c r="V93" s="197">
        <f t="shared" si="230"/>
        <v>-1580.1379360719488</v>
      </c>
      <c r="W93" s="199">
        <f t="shared" si="230"/>
        <v>-620.88979692964779</v>
      </c>
      <c r="X93" s="197"/>
      <c r="Z93" s="204">
        <f t="shared" si="266"/>
        <v>6</v>
      </c>
      <c r="AA93" s="759">
        <f>'Energy NPV'!$D18*$AB$84</f>
        <v>0</v>
      </c>
      <c r="AB93" s="197">
        <f>'Energy margins'!$E$12</f>
        <v>72</v>
      </c>
      <c r="AC93" s="197">
        <f t="shared" si="267"/>
        <v>0</v>
      </c>
      <c r="AD93" s="197">
        <f>'Margins summary'!$Q$14</f>
        <v>175.95</v>
      </c>
      <c r="AE93" s="197">
        <f t="shared" si="231"/>
        <v>175.95</v>
      </c>
      <c r="AF93" s="197"/>
      <c r="AG93" s="918">
        <f>'Energy NPV'!U18</f>
        <v>45.561599999999999</v>
      </c>
      <c r="AH93" s="197"/>
      <c r="AI93" s="197">
        <f t="shared" si="232"/>
        <v>45.561599999999999</v>
      </c>
      <c r="AJ93" s="197">
        <f t="shared" si="215"/>
        <v>-45.561599999999999</v>
      </c>
      <c r="AK93" s="197">
        <f t="shared" si="216"/>
        <v>130.38839999999999</v>
      </c>
      <c r="AL93" s="196">
        <f t="shared" si="233"/>
        <v>0</v>
      </c>
      <c r="AM93" s="197">
        <f t="shared" si="234"/>
        <v>144.61807443430789</v>
      </c>
      <c r="AN93" s="197">
        <f t="shared" si="235"/>
        <v>37.448314067326869</v>
      </c>
      <c r="AO93" s="197">
        <f t="shared" si="236"/>
        <v>-37.448314067326869</v>
      </c>
      <c r="AP93" s="199">
        <f t="shared" si="237"/>
        <v>107.16976036698102</v>
      </c>
      <c r="AQ93" s="196">
        <f t="shared" si="268"/>
        <v>2880.348202093764</v>
      </c>
      <c r="AR93" s="197">
        <f t="shared" si="238"/>
        <v>959.24813914230128</v>
      </c>
      <c r="AS93" s="197">
        <f t="shared" si="238"/>
        <v>3500.3700708011252</v>
      </c>
      <c r="AT93" s="197">
        <f t="shared" si="238"/>
        <v>-620.02186870736091</v>
      </c>
      <c r="AU93" s="199">
        <f t="shared" si="238"/>
        <v>339.22627043493992</v>
      </c>
      <c r="AV93" s="197"/>
      <c r="AX93" s="204">
        <f t="shared" si="269"/>
        <v>6</v>
      </c>
      <c r="AY93" s="759">
        <f>'Energy NPV'!$D18*$AZ$84</f>
        <v>0</v>
      </c>
      <c r="AZ93" s="197">
        <f>'Energy margins'!$E$12</f>
        <v>72</v>
      </c>
      <c r="BA93" s="197">
        <f t="shared" si="270"/>
        <v>0</v>
      </c>
      <c r="BB93" s="197">
        <f>'Margins summary'!$Q$14</f>
        <v>175.95</v>
      </c>
      <c r="BC93" s="197">
        <f t="shared" si="239"/>
        <v>175.95</v>
      </c>
      <c r="BD93" s="197"/>
      <c r="BE93" s="918">
        <f>'Energy NPV'!U18</f>
        <v>45.561599999999999</v>
      </c>
      <c r="BF93" s="197"/>
      <c r="BG93" s="197">
        <f t="shared" si="240"/>
        <v>45.561599999999999</v>
      </c>
      <c r="BH93" s="197">
        <f t="shared" si="217"/>
        <v>-45.561599999999999</v>
      </c>
      <c r="BI93" s="197">
        <f t="shared" si="218"/>
        <v>130.38839999999999</v>
      </c>
      <c r="BJ93" s="196">
        <f t="shared" si="241"/>
        <v>0</v>
      </c>
      <c r="BK93" s="197">
        <f t="shared" si="242"/>
        <v>144.61807443430789</v>
      </c>
      <c r="BL93" s="197">
        <f t="shared" si="243"/>
        <v>37.448314067326869</v>
      </c>
      <c r="BM93" s="197">
        <f t="shared" si="244"/>
        <v>-37.448314067326869</v>
      </c>
      <c r="BN93" s="199">
        <f t="shared" si="245"/>
        <v>107.16976036698102</v>
      </c>
      <c r="BO93" s="196">
        <f t="shared" si="271"/>
        <v>960.11606736458805</v>
      </c>
      <c r="BP93" s="197">
        <f t="shared" si="246"/>
        <v>959.24813914230128</v>
      </c>
      <c r="BQ93" s="197">
        <f t="shared" si="246"/>
        <v>3500.3700708011252</v>
      </c>
      <c r="BR93" s="197">
        <f t="shared" si="246"/>
        <v>-2540.254003436537</v>
      </c>
      <c r="BS93" s="199">
        <f t="shared" si="246"/>
        <v>-1581.0058642942356</v>
      </c>
      <c r="BT93" s="197"/>
      <c r="BV93" s="204">
        <f t="shared" si="272"/>
        <v>6</v>
      </c>
      <c r="BW93" s="759">
        <f>'Energy NPV'!$D18*$BX$84</f>
        <v>0</v>
      </c>
      <c r="BX93" s="197">
        <f>'Energy margins'!$E$12</f>
        <v>72</v>
      </c>
      <c r="BY93" s="197">
        <f t="shared" si="273"/>
        <v>0</v>
      </c>
      <c r="BZ93" s="197">
        <f>'Margins summary'!$Q$14</f>
        <v>175.95</v>
      </c>
      <c r="CA93" s="197">
        <f t="shared" si="247"/>
        <v>175.95</v>
      </c>
      <c r="CB93" s="197"/>
      <c r="CC93" s="918">
        <f>'Energy NPV'!U18</f>
        <v>45.561599999999999</v>
      </c>
      <c r="CD93" s="197"/>
      <c r="CE93" s="197">
        <f t="shared" si="248"/>
        <v>45.561599999999999</v>
      </c>
      <c r="CF93" s="197">
        <f t="shared" si="219"/>
        <v>-45.561599999999999</v>
      </c>
      <c r="CG93" s="197">
        <f t="shared" si="220"/>
        <v>130.38839999999999</v>
      </c>
      <c r="CH93" s="196">
        <f t="shared" si="249"/>
        <v>0</v>
      </c>
      <c r="CI93" s="197">
        <f t="shared" si="250"/>
        <v>144.61807443430789</v>
      </c>
      <c r="CJ93" s="197">
        <f t="shared" si="251"/>
        <v>37.448314067326869</v>
      </c>
      <c r="CK93" s="197">
        <f t="shared" si="252"/>
        <v>-37.448314067326869</v>
      </c>
      <c r="CL93" s="199">
        <f t="shared" si="253"/>
        <v>107.16976036698102</v>
      </c>
      <c r="CM93" s="196">
        <f t="shared" si="274"/>
        <v>3840.4642694583522</v>
      </c>
      <c r="CN93" s="197">
        <f t="shared" si="254"/>
        <v>959.24813914230128</v>
      </c>
      <c r="CO93" s="197">
        <f t="shared" si="254"/>
        <v>3500.3700708011252</v>
      </c>
      <c r="CP93" s="197">
        <f t="shared" si="254"/>
        <v>340.09419865722725</v>
      </c>
      <c r="CQ93" s="199">
        <f t="shared" si="254"/>
        <v>1299.3423377995282</v>
      </c>
      <c r="CR93" s="197"/>
      <c r="CT93" s="204">
        <f t="shared" si="275"/>
        <v>6</v>
      </c>
      <c r="CU93" s="759">
        <f>'Energy NPV'!$D18*$CV$84</f>
        <v>0</v>
      </c>
      <c r="CV93" s="197">
        <f>'Energy margins'!$E$12</f>
        <v>72</v>
      </c>
      <c r="CW93" s="197">
        <f t="shared" si="276"/>
        <v>0</v>
      </c>
      <c r="CX93" s="197">
        <f>'Margins summary'!$Q$14</f>
        <v>175.95</v>
      </c>
      <c r="CY93" s="197">
        <f t="shared" si="255"/>
        <v>175.95</v>
      </c>
      <c r="CZ93" s="197"/>
      <c r="DA93" s="918">
        <f>'Energy NPV'!U18</f>
        <v>45.561599999999999</v>
      </c>
      <c r="DB93" s="197"/>
      <c r="DC93" s="197">
        <f t="shared" si="256"/>
        <v>45.561599999999999</v>
      </c>
      <c r="DD93" s="197">
        <f t="shared" si="221"/>
        <v>-45.561599999999999</v>
      </c>
      <c r="DE93" s="197">
        <f t="shared" si="222"/>
        <v>130.38839999999999</v>
      </c>
      <c r="DF93" s="196">
        <f t="shared" si="257"/>
        <v>0</v>
      </c>
      <c r="DG93" s="197">
        <f t="shared" si="258"/>
        <v>144.61807443430789</v>
      </c>
      <c r="DH93" s="197">
        <f t="shared" si="259"/>
        <v>37.448314067326869</v>
      </c>
      <c r="DI93" s="197">
        <f t="shared" si="260"/>
        <v>-37.448314067326869</v>
      </c>
      <c r="DJ93" s="199">
        <f t="shared" si="261"/>
        <v>107.16976036698102</v>
      </c>
      <c r="DK93" s="196">
        <f t="shared" si="277"/>
        <v>0</v>
      </c>
      <c r="DL93" s="197">
        <f t="shared" si="262"/>
        <v>959.24813914230128</v>
      </c>
      <c r="DM93" s="197">
        <f t="shared" si="262"/>
        <v>3500.3700708011252</v>
      </c>
      <c r="DN93" s="197">
        <f t="shared" si="262"/>
        <v>-3500.3700708011252</v>
      </c>
      <c r="DO93" s="199">
        <f t="shared" si="262"/>
        <v>-2541.121931658824</v>
      </c>
    </row>
    <row r="94" spans="2:119" x14ac:dyDescent="0.3">
      <c r="B94" s="204">
        <f t="shared" si="263"/>
        <v>7</v>
      </c>
      <c r="C94" s="759">
        <f>'Energy NPV'!$D19*$E$84</f>
        <v>30</v>
      </c>
      <c r="D94" s="197">
        <f>'Energy margins'!$E$12</f>
        <v>72</v>
      </c>
      <c r="E94" s="197">
        <f t="shared" si="264"/>
        <v>2160</v>
      </c>
      <c r="F94" s="197">
        <f>'Margins summary'!$Q$14</f>
        <v>175.95</v>
      </c>
      <c r="G94" s="197">
        <f t="shared" si="223"/>
        <v>2335.9499999999998</v>
      </c>
      <c r="H94" s="197"/>
      <c r="I94" s="918">
        <f>'Energy NPV'!U19</f>
        <v>704.85838399999989</v>
      </c>
      <c r="J94" s="197"/>
      <c r="K94" s="197">
        <f t="shared" si="224"/>
        <v>704.85838399999989</v>
      </c>
      <c r="L94" s="197">
        <f t="shared" si="213"/>
        <v>1455.1416160000001</v>
      </c>
      <c r="M94" s="197">
        <f t="shared" si="214"/>
        <v>1631.0916159999999</v>
      </c>
      <c r="N94" s="196">
        <f t="shared" si="225"/>
        <v>1707.0793755771147</v>
      </c>
      <c r="O94" s="197">
        <f t="shared" si="226"/>
        <v>139.05584080221914</v>
      </c>
      <c r="P94" s="197">
        <f t="shared" si="227"/>
        <v>557.05981945787687</v>
      </c>
      <c r="Q94" s="197">
        <f t="shared" si="228"/>
        <v>1150.0195561192379</v>
      </c>
      <c r="R94" s="199">
        <f t="shared" si="229"/>
        <v>1289.0753969214568</v>
      </c>
      <c r="S94" s="196">
        <f t="shared" si="265"/>
        <v>3627.311510306291</v>
      </c>
      <c r="T94" s="197">
        <f t="shared" si="230"/>
        <v>1098.3039799445205</v>
      </c>
      <c r="U94" s="197">
        <f t="shared" si="230"/>
        <v>4057.4298902590021</v>
      </c>
      <c r="V94" s="197">
        <f t="shared" si="230"/>
        <v>-430.11837995271094</v>
      </c>
      <c r="W94" s="199">
        <f t="shared" si="230"/>
        <v>668.185599991809</v>
      </c>
      <c r="X94" s="197"/>
      <c r="Z94" s="204">
        <f t="shared" si="266"/>
        <v>7</v>
      </c>
      <c r="AA94" s="759">
        <f>'Energy NPV'!$D19*$AB$84</f>
        <v>45</v>
      </c>
      <c r="AB94" s="197">
        <f>'Energy margins'!$E$12</f>
        <v>72</v>
      </c>
      <c r="AC94" s="197">
        <f t="shared" si="267"/>
        <v>3240</v>
      </c>
      <c r="AD94" s="197">
        <f>'Margins summary'!$Q$14</f>
        <v>175.95</v>
      </c>
      <c r="AE94" s="197">
        <f t="shared" si="231"/>
        <v>3415.95</v>
      </c>
      <c r="AF94" s="197"/>
      <c r="AG94" s="918">
        <f>'Energy NPV'!U19</f>
        <v>704.85838399999989</v>
      </c>
      <c r="AH94" s="197"/>
      <c r="AI94" s="197">
        <f t="shared" si="232"/>
        <v>704.85838399999989</v>
      </c>
      <c r="AJ94" s="197">
        <f t="shared" si="215"/>
        <v>2535.1416159999999</v>
      </c>
      <c r="AK94" s="197">
        <f t="shared" si="216"/>
        <v>2711.0916159999997</v>
      </c>
      <c r="AL94" s="196">
        <f t="shared" si="233"/>
        <v>2560.619063365672</v>
      </c>
      <c r="AM94" s="197">
        <f t="shared" si="234"/>
        <v>139.05584080221914</v>
      </c>
      <c r="AN94" s="197">
        <f t="shared" si="235"/>
        <v>557.05981945787687</v>
      </c>
      <c r="AO94" s="197">
        <f t="shared" si="236"/>
        <v>2003.559243907795</v>
      </c>
      <c r="AP94" s="199">
        <f t="shared" si="237"/>
        <v>2142.6150847100139</v>
      </c>
      <c r="AQ94" s="196">
        <f t="shared" si="268"/>
        <v>5440.967265459436</v>
      </c>
      <c r="AR94" s="197">
        <f t="shared" si="238"/>
        <v>1098.3039799445205</v>
      </c>
      <c r="AS94" s="197">
        <f t="shared" si="238"/>
        <v>4057.4298902590021</v>
      </c>
      <c r="AT94" s="197">
        <f t="shared" si="238"/>
        <v>1383.5373752004341</v>
      </c>
      <c r="AU94" s="199">
        <f t="shared" si="238"/>
        <v>2481.8413551449539</v>
      </c>
      <c r="AV94" s="197"/>
      <c r="AX94" s="204">
        <f t="shared" si="269"/>
        <v>7</v>
      </c>
      <c r="AY94" s="759">
        <f>'Energy NPV'!$D19*$AZ$84</f>
        <v>15</v>
      </c>
      <c r="AZ94" s="197">
        <f>'Energy margins'!$E$12</f>
        <v>72</v>
      </c>
      <c r="BA94" s="197">
        <f t="shared" si="270"/>
        <v>1080</v>
      </c>
      <c r="BB94" s="197">
        <f>'Margins summary'!$Q$14</f>
        <v>175.95</v>
      </c>
      <c r="BC94" s="197">
        <f t="shared" si="239"/>
        <v>1255.95</v>
      </c>
      <c r="BD94" s="197"/>
      <c r="BE94" s="918">
        <f>'Energy NPV'!U19</f>
        <v>704.85838399999989</v>
      </c>
      <c r="BF94" s="197"/>
      <c r="BG94" s="197">
        <f t="shared" si="240"/>
        <v>704.85838399999989</v>
      </c>
      <c r="BH94" s="197">
        <f t="shared" si="217"/>
        <v>375.14161600000011</v>
      </c>
      <c r="BI94" s="197">
        <f t="shared" si="218"/>
        <v>551.09161600000016</v>
      </c>
      <c r="BJ94" s="196">
        <f t="shared" si="241"/>
        <v>853.53968778855733</v>
      </c>
      <c r="BK94" s="197">
        <f t="shared" si="242"/>
        <v>139.05584080221914</v>
      </c>
      <c r="BL94" s="197">
        <f t="shared" si="243"/>
        <v>557.05981945787687</v>
      </c>
      <c r="BM94" s="197">
        <f t="shared" si="244"/>
        <v>296.47986833068052</v>
      </c>
      <c r="BN94" s="199">
        <f t="shared" si="245"/>
        <v>435.53570913289968</v>
      </c>
      <c r="BO94" s="196">
        <f t="shared" si="271"/>
        <v>1813.6557551531455</v>
      </c>
      <c r="BP94" s="197">
        <f t="shared" si="246"/>
        <v>1098.3039799445205</v>
      </c>
      <c r="BQ94" s="197">
        <f t="shared" si="246"/>
        <v>4057.4298902590021</v>
      </c>
      <c r="BR94" s="197">
        <f t="shared" si="246"/>
        <v>-2243.7741351058567</v>
      </c>
      <c r="BS94" s="199">
        <f t="shared" si="246"/>
        <v>-1145.4701551613359</v>
      </c>
      <c r="BT94" s="197"/>
      <c r="BV94" s="204">
        <f t="shared" si="272"/>
        <v>7</v>
      </c>
      <c r="BW94" s="759">
        <f>'Energy NPV'!$D19*$BX$84</f>
        <v>60</v>
      </c>
      <c r="BX94" s="197">
        <f>'Energy margins'!$E$12</f>
        <v>72</v>
      </c>
      <c r="BY94" s="197">
        <f t="shared" si="273"/>
        <v>4320</v>
      </c>
      <c r="BZ94" s="197">
        <f>'Margins summary'!$Q$14</f>
        <v>175.95</v>
      </c>
      <c r="CA94" s="197">
        <f t="shared" si="247"/>
        <v>4495.95</v>
      </c>
      <c r="CB94" s="197"/>
      <c r="CC94" s="918">
        <f>'Energy NPV'!U19</f>
        <v>704.85838399999989</v>
      </c>
      <c r="CD94" s="197"/>
      <c r="CE94" s="197">
        <f t="shared" si="248"/>
        <v>704.85838399999989</v>
      </c>
      <c r="CF94" s="197">
        <f t="shared" si="219"/>
        <v>3615.1416159999999</v>
      </c>
      <c r="CG94" s="197">
        <f t="shared" si="220"/>
        <v>3791.0916159999997</v>
      </c>
      <c r="CH94" s="196">
        <f t="shared" si="249"/>
        <v>3414.1587511542293</v>
      </c>
      <c r="CI94" s="197">
        <f t="shared" si="250"/>
        <v>139.05584080221914</v>
      </c>
      <c r="CJ94" s="197">
        <f t="shared" si="251"/>
        <v>557.05981945787687</v>
      </c>
      <c r="CK94" s="197">
        <f t="shared" si="252"/>
        <v>2857.0989316963523</v>
      </c>
      <c r="CL94" s="199">
        <f t="shared" si="253"/>
        <v>2996.1547724985717</v>
      </c>
      <c r="CM94" s="196">
        <f t="shared" si="274"/>
        <v>7254.623020612582</v>
      </c>
      <c r="CN94" s="197">
        <f t="shared" si="254"/>
        <v>1098.3039799445205</v>
      </c>
      <c r="CO94" s="197">
        <f t="shared" si="254"/>
        <v>4057.4298902590021</v>
      </c>
      <c r="CP94" s="197">
        <f t="shared" si="254"/>
        <v>3197.1931303535794</v>
      </c>
      <c r="CQ94" s="199">
        <f t="shared" si="254"/>
        <v>4295.4971102980999</v>
      </c>
      <c r="CR94" s="197"/>
      <c r="CT94" s="204">
        <f t="shared" si="275"/>
        <v>7</v>
      </c>
      <c r="CU94" s="759">
        <f>'Energy NPV'!$D19*$CV$84</f>
        <v>0</v>
      </c>
      <c r="CV94" s="197">
        <f>'Energy margins'!$E$12</f>
        <v>72</v>
      </c>
      <c r="CW94" s="197">
        <f t="shared" si="276"/>
        <v>0</v>
      </c>
      <c r="CX94" s="197">
        <f>'Margins summary'!$Q$14</f>
        <v>175.95</v>
      </c>
      <c r="CY94" s="197">
        <f t="shared" si="255"/>
        <v>175.95</v>
      </c>
      <c r="CZ94" s="197"/>
      <c r="DA94" s="918">
        <f>'Energy NPV'!U19</f>
        <v>704.85838399999989</v>
      </c>
      <c r="DB94" s="197"/>
      <c r="DC94" s="197">
        <f t="shared" si="256"/>
        <v>704.85838399999989</v>
      </c>
      <c r="DD94" s="197">
        <f t="shared" si="221"/>
        <v>-704.85838399999989</v>
      </c>
      <c r="DE94" s="197">
        <f t="shared" si="222"/>
        <v>-528.90838399999984</v>
      </c>
      <c r="DF94" s="196">
        <f t="shared" si="257"/>
        <v>0</v>
      </c>
      <c r="DG94" s="197">
        <f t="shared" si="258"/>
        <v>139.05584080221914</v>
      </c>
      <c r="DH94" s="197">
        <f t="shared" si="259"/>
        <v>557.05981945787687</v>
      </c>
      <c r="DI94" s="197">
        <f t="shared" si="260"/>
        <v>-557.05981945787687</v>
      </c>
      <c r="DJ94" s="199">
        <f t="shared" si="261"/>
        <v>-418.00397865565765</v>
      </c>
      <c r="DK94" s="196">
        <f t="shared" si="277"/>
        <v>0</v>
      </c>
      <c r="DL94" s="197">
        <f t="shared" si="262"/>
        <v>1098.3039799445205</v>
      </c>
      <c r="DM94" s="197">
        <f t="shared" si="262"/>
        <v>4057.4298902590021</v>
      </c>
      <c r="DN94" s="197">
        <f t="shared" si="262"/>
        <v>-4057.4298902590021</v>
      </c>
      <c r="DO94" s="199">
        <f t="shared" si="262"/>
        <v>-2959.1259103144816</v>
      </c>
    </row>
    <row r="95" spans="2:119" x14ac:dyDescent="0.3">
      <c r="B95" s="204">
        <f t="shared" si="263"/>
        <v>8</v>
      </c>
      <c r="C95" s="759">
        <f>'Energy NPV'!$D20*$E$84</f>
        <v>0</v>
      </c>
      <c r="D95" s="197">
        <f>'Energy margins'!$E$12</f>
        <v>72</v>
      </c>
      <c r="E95" s="197">
        <f t="shared" si="264"/>
        <v>0</v>
      </c>
      <c r="F95" s="197">
        <f>'Margins summary'!$Q$14</f>
        <v>175.95</v>
      </c>
      <c r="G95" s="197">
        <f t="shared" si="223"/>
        <v>175.95</v>
      </c>
      <c r="H95" s="197"/>
      <c r="I95" s="918">
        <f>'Energy NPV'!U20</f>
        <v>45.561599999999999</v>
      </c>
      <c r="J95" s="197"/>
      <c r="K95" s="197">
        <f t="shared" si="224"/>
        <v>45.561599999999999</v>
      </c>
      <c r="L95" s="197">
        <f t="shared" si="213"/>
        <v>-45.561599999999999</v>
      </c>
      <c r="M95" s="197">
        <f t="shared" si="214"/>
        <v>130.38839999999999</v>
      </c>
      <c r="N95" s="196">
        <f t="shared" si="225"/>
        <v>0</v>
      </c>
      <c r="O95" s="197">
        <f t="shared" si="226"/>
        <v>133.70753923290303</v>
      </c>
      <c r="P95" s="197">
        <f t="shared" si="227"/>
        <v>34.623071437987122</v>
      </c>
      <c r="Q95" s="197">
        <f t="shared" si="228"/>
        <v>-34.623071437987122</v>
      </c>
      <c r="R95" s="199">
        <f t="shared" si="229"/>
        <v>99.084467794915895</v>
      </c>
      <c r="S95" s="196">
        <f t="shared" si="265"/>
        <v>3627.311510306291</v>
      </c>
      <c r="T95" s="197">
        <f t="shared" si="230"/>
        <v>1232.0115191774235</v>
      </c>
      <c r="U95" s="197">
        <f t="shared" si="230"/>
        <v>4092.0529616969893</v>
      </c>
      <c r="V95" s="197">
        <f t="shared" si="230"/>
        <v>-464.74145139069805</v>
      </c>
      <c r="W95" s="199">
        <f t="shared" si="230"/>
        <v>767.27006778672489</v>
      </c>
      <c r="X95" s="197"/>
      <c r="Z95" s="204">
        <f t="shared" si="266"/>
        <v>8</v>
      </c>
      <c r="AA95" s="759">
        <f>'Energy NPV'!$D20*$AB$84</f>
        <v>0</v>
      </c>
      <c r="AB95" s="197">
        <f>'Energy margins'!$E$12</f>
        <v>72</v>
      </c>
      <c r="AC95" s="197">
        <f t="shared" si="267"/>
        <v>0</v>
      </c>
      <c r="AD95" s="197">
        <f>'Margins summary'!$Q$14</f>
        <v>175.95</v>
      </c>
      <c r="AE95" s="197">
        <f t="shared" si="231"/>
        <v>175.95</v>
      </c>
      <c r="AF95" s="197"/>
      <c r="AG95" s="918">
        <f>'Energy NPV'!U20</f>
        <v>45.561599999999999</v>
      </c>
      <c r="AH95" s="197"/>
      <c r="AI95" s="197">
        <f t="shared" si="232"/>
        <v>45.561599999999999</v>
      </c>
      <c r="AJ95" s="197">
        <f t="shared" si="215"/>
        <v>-45.561599999999999</v>
      </c>
      <c r="AK95" s="197">
        <f t="shared" si="216"/>
        <v>130.38839999999999</v>
      </c>
      <c r="AL95" s="196">
        <f t="shared" si="233"/>
        <v>0</v>
      </c>
      <c r="AM95" s="197">
        <f t="shared" si="234"/>
        <v>133.70753923290303</v>
      </c>
      <c r="AN95" s="197">
        <f t="shared" si="235"/>
        <v>34.623071437987122</v>
      </c>
      <c r="AO95" s="197">
        <f t="shared" si="236"/>
        <v>-34.623071437987122</v>
      </c>
      <c r="AP95" s="199">
        <f t="shared" si="237"/>
        <v>99.084467794915895</v>
      </c>
      <c r="AQ95" s="196">
        <f t="shared" si="268"/>
        <v>5440.967265459436</v>
      </c>
      <c r="AR95" s="197">
        <f t="shared" si="238"/>
        <v>1232.0115191774235</v>
      </c>
      <c r="AS95" s="197">
        <f t="shared" si="238"/>
        <v>4092.0529616969893</v>
      </c>
      <c r="AT95" s="197">
        <f t="shared" si="238"/>
        <v>1348.9143037624469</v>
      </c>
      <c r="AU95" s="199">
        <f t="shared" si="238"/>
        <v>2580.9258229398697</v>
      </c>
      <c r="AV95" s="197"/>
      <c r="AX95" s="204">
        <f t="shared" si="269"/>
        <v>8</v>
      </c>
      <c r="AY95" s="759">
        <f>'Energy NPV'!$D20*$AZ$84</f>
        <v>0</v>
      </c>
      <c r="AZ95" s="197">
        <f>'Energy margins'!$E$12</f>
        <v>72</v>
      </c>
      <c r="BA95" s="197">
        <f t="shared" si="270"/>
        <v>0</v>
      </c>
      <c r="BB95" s="197">
        <f>'Margins summary'!$Q$14</f>
        <v>175.95</v>
      </c>
      <c r="BC95" s="197">
        <f t="shared" si="239"/>
        <v>175.95</v>
      </c>
      <c r="BD95" s="197"/>
      <c r="BE95" s="918">
        <f>'Energy NPV'!U20</f>
        <v>45.561599999999999</v>
      </c>
      <c r="BF95" s="197"/>
      <c r="BG95" s="197">
        <f t="shared" si="240"/>
        <v>45.561599999999999</v>
      </c>
      <c r="BH95" s="197">
        <f t="shared" si="217"/>
        <v>-45.561599999999999</v>
      </c>
      <c r="BI95" s="197">
        <f t="shared" si="218"/>
        <v>130.38839999999999</v>
      </c>
      <c r="BJ95" s="196">
        <f t="shared" si="241"/>
        <v>0</v>
      </c>
      <c r="BK95" s="197">
        <f t="shared" si="242"/>
        <v>133.70753923290303</v>
      </c>
      <c r="BL95" s="197">
        <f t="shared" si="243"/>
        <v>34.623071437987122</v>
      </c>
      <c r="BM95" s="197">
        <f t="shared" si="244"/>
        <v>-34.623071437987122</v>
      </c>
      <c r="BN95" s="199">
        <f t="shared" si="245"/>
        <v>99.084467794915895</v>
      </c>
      <c r="BO95" s="196">
        <f t="shared" si="271"/>
        <v>1813.6557551531455</v>
      </c>
      <c r="BP95" s="197">
        <f t="shared" si="246"/>
        <v>1232.0115191774235</v>
      </c>
      <c r="BQ95" s="197">
        <f t="shared" si="246"/>
        <v>4092.0529616969893</v>
      </c>
      <c r="BR95" s="197">
        <f t="shared" si="246"/>
        <v>-2278.3972065438438</v>
      </c>
      <c r="BS95" s="199">
        <f t="shared" si="246"/>
        <v>-1046.3856873664199</v>
      </c>
      <c r="BT95" s="197"/>
      <c r="BV95" s="204">
        <f t="shared" si="272"/>
        <v>8</v>
      </c>
      <c r="BW95" s="759">
        <f>'Energy NPV'!$D20*$BX$84</f>
        <v>0</v>
      </c>
      <c r="BX95" s="197">
        <f>'Energy margins'!$E$12</f>
        <v>72</v>
      </c>
      <c r="BY95" s="197">
        <f t="shared" si="273"/>
        <v>0</v>
      </c>
      <c r="BZ95" s="197">
        <f>'Margins summary'!$Q$14</f>
        <v>175.95</v>
      </c>
      <c r="CA95" s="197">
        <f t="shared" si="247"/>
        <v>175.95</v>
      </c>
      <c r="CB95" s="197"/>
      <c r="CC95" s="918">
        <f>'Energy NPV'!U20</f>
        <v>45.561599999999999</v>
      </c>
      <c r="CD95" s="197"/>
      <c r="CE95" s="197">
        <f t="shared" si="248"/>
        <v>45.561599999999999</v>
      </c>
      <c r="CF95" s="197">
        <f t="shared" si="219"/>
        <v>-45.561599999999999</v>
      </c>
      <c r="CG95" s="197">
        <f t="shared" si="220"/>
        <v>130.38839999999999</v>
      </c>
      <c r="CH95" s="196">
        <f t="shared" si="249"/>
        <v>0</v>
      </c>
      <c r="CI95" s="197">
        <f t="shared" si="250"/>
        <v>133.70753923290303</v>
      </c>
      <c r="CJ95" s="197">
        <f t="shared" si="251"/>
        <v>34.623071437987122</v>
      </c>
      <c r="CK95" s="197">
        <f t="shared" si="252"/>
        <v>-34.623071437987122</v>
      </c>
      <c r="CL95" s="199">
        <f t="shared" si="253"/>
        <v>99.084467794915895</v>
      </c>
      <c r="CM95" s="196">
        <f t="shared" si="274"/>
        <v>7254.623020612582</v>
      </c>
      <c r="CN95" s="197">
        <f t="shared" si="254"/>
        <v>1232.0115191774235</v>
      </c>
      <c r="CO95" s="197">
        <f t="shared" si="254"/>
        <v>4092.0529616969893</v>
      </c>
      <c r="CP95" s="197">
        <f t="shared" si="254"/>
        <v>3162.5700589155922</v>
      </c>
      <c r="CQ95" s="199">
        <f t="shared" si="254"/>
        <v>4394.5815780930161</v>
      </c>
      <c r="CR95" s="197"/>
      <c r="CT95" s="204">
        <f t="shared" si="275"/>
        <v>8</v>
      </c>
      <c r="CU95" s="759">
        <f>'Energy NPV'!$D20*$CV$84</f>
        <v>0</v>
      </c>
      <c r="CV95" s="197">
        <f>'Energy margins'!$E$12</f>
        <v>72</v>
      </c>
      <c r="CW95" s="197">
        <f t="shared" si="276"/>
        <v>0</v>
      </c>
      <c r="CX95" s="197">
        <f>'Margins summary'!$Q$14</f>
        <v>175.95</v>
      </c>
      <c r="CY95" s="197">
        <f t="shared" si="255"/>
        <v>175.95</v>
      </c>
      <c r="CZ95" s="197"/>
      <c r="DA95" s="918">
        <f>'Energy NPV'!U20</f>
        <v>45.561599999999999</v>
      </c>
      <c r="DB95" s="197"/>
      <c r="DC95" s="197">
        <f t="shared" si="256"/>
        <v>45.561599999999999</v>
      </c>
      <c r="DD95" s="197">
        <f t="shared" si="221"/>
        <v>-45.561599999999999</v>
      </c>
      <c r="DE95" s="197">
        <f t="shared" si="222"/>
        <v>130.38839999999999</v>
      </c>
      <c r="DF95" s="196">
        <f t="shared" si="257"/>
        <v>0</v>
      </c>
      <c r="DG95" s="197">
        <f t="shared" si="258"/>
        <v>133.70753923290303</v>
      </c>
      <c r="DH95" s="197">
        <f t="shared" si="259"/>
        <v>34.623071437987122</v>
      </c>
      <c r="DI95" s="197">
        <f t="shared" si="260"/>
        <v>-34.623071437987122</v>
      </c>
      <c r="DJ95" s="199">
        <f t="shared" si="261"/>
        <v>99.084467794915895</v>
      </c>
      <c r="DK95" s="196">
        <f t="shared" si="277"/>
        <v>0</v>
      </c>
      <c r="DL95" s="197">
        <f t="shared" si="262"/>
        <v>1232.0115191774235</v>
      </c>
      <c r="DM95" s="197">
        <f t="shared" si="262"/>
        <v>4092.0529616969893</v>
      </c>
      <c r="DN95" s="197">
        <f t="shared" si="262"/>
        <v>-4092.0529616969893</v>
      </c>
      <c r="DO95" s="199">
        <f t="shared" si="262"/>
        <v>-2860.0414425195659</v>
      </c>
    </row>
    <row r="96" spans="2:119" x14ac:dyDescent="0.3">
      <c r="B96" s="204">
        <f t="shared" si="263"/>
        <v>9</v>
      </c>
      <c r="C96" s="759">
        <f>'Energy NPV'!$D21*$E$84</f>
        <v>0</v>
      </c>
      <c r="D96" s="197">
        <f>'Energy margins'!$E$12</f>
        <v>72</v>
      </c>
      <c r="E96" s="197">
        <f t="shared" si="264"/>
        <v>0</v>
      </c>
      <c r="F96" s="197">
        <f>'Margins summary'!$Q$14</f>
        <v>175.95</v>
      </c>
      <c r="G96" s="197">
        <f t="shared" si="223"/>
        <v>175.95</v>
      </c>
      <c r="H96" s="197"/>
      <c r="I96" s="918">
        <f>'Energy NPV'!U21</f>
        <v>45.561599999999999</v>
      </c>
      <c r="J96" s="197"/>
      <c r="K96" s="197">
        <f t="shared" si="224"/>
        <v>45.561599999999999</v>
      </c>
      <c r="L96" s="197">
        <f t="shared" si="213"/>
        <v>-45.561599999999999</v>
      </c>
      <c r="M96" s="197">
        <f t="shared" si="214"/>
        <v>130.38839999999999</v>
      </c>
      <c r="N96" s="196">
        <f t="shared" si="225"/>
        <v>0</v>
      </c>
      <c r="O96" s="197">
        <f t="shared" si="226"/>
        <v>128.56494157009902</v>
      </c>
      <c r="P96" s="197">
        <f t="shared" si="227"/>
        <v>33.29141484421838</v>
      </c>
      <c r="Q96" s="197">
        <f t="shared" si="228"/>
        <v>-33.29141484421838</v>
      </c>
      <c r="R96" s="199">
        <f t="shared" si="229"/>
        <v>95.273526725880657</v>
      </c>
      <c r="S96" s="196">
        <f t="shared" si="265"/>
        <v>3627.311510306291</v>
      </c>
      <c r="T96" s="197">
        <f t="shared" si="230"/>
        <v>1360.5764607475226</v>
      </c>
      <c r="U96" s="197">
        <f t="shared" si="230"/>
        <v>4125.3443765412076</v>
      </c>
      <c r="V96" s="197">
        <f t="shared" si="230"/>
        <v>-498.03286623491641</v>
      </c>
      <c r="W96" s="199">
        <f t="shared" si="230"/>
        <v>862.54359451260552</v>
      </c>
      <c r="X96" s="197"/>
      <c r="Z96" s="204">
        <f t="shared" si="266"/>
        <v>9</v>
      </c>
      <c r="AA96" s="759">
        <f>'Energy NPV'!$D21*$AB$84</f>
        <v>0</v>
      </c>
      <c r="AB96" s="197">
        <f>'Energy margins'!$E$12</f>
        <v>72</v>
      </c>
      <c r="AC96" s="197">
        <f t="shared" si="267"/>
        <v>0</v>
      </c>
      <c r="AD96" s="197">
        <f>'Margins summary'!$Q$14</f>
        <v>175.95</v>
      </c>
      <c r="AE96" s="197">
        <f t="shared" si="231"/>
        <v>175.95</v>
      </c>
      <c r="AF96" s="197"/>
      <c r="AG96" s="918">
        <f>'Energy NPV'!U21</f>
        <v>45.561599999999999</v>
      </c>
      <c r="AH96" s="197"/>
      <c r="AI96" s="197">
        <f t="shared" si="232"/>
        <v>45.561599999999999</v>
      </c>
      <c r="AJ96" s="197">
        <f t="shared" si="215"/>
        <v>-45.561599999999999</v>
      </c>
      <c r="AK96" s="197">
        <f t="shared" si="216"/>
        <v>130.38839999999999</v>
      </c>
      <c r="AL96" s="196">
        <f t="shared" si="233"/>
        <v>0</v>
      </c>
      <c r="AM96" s="197">
        <f t="shared" si="234"/>
        <v>128.56494157009902</v>
      </c>
      <c r="AN96" s="197">
        <f t="shared" si="235"/>
        <v>33.29141484421838</v>
      </c>
      <c r="AO96" s="197">
        <f t="shared" si="236"/>
        <v>-33.29141484421838</v>
      </c>
      <c r="AP96" s="199">
        <f t="shared" si="237"/>
        <v>95.273526725880657</v>
      </c>
      <c r="AQ96" s="196">
        <f t="shared" si="268"/>
        <v>5440.967265459436</v>
      </c>
      <c r="AR96" s="197">
        <f t="shared" si="238"/>
        <v>1360.5764607475226</v>
      </c>
      <c r="AS96" s="197">
        <f t="shared" si="238"/>
        <v>4125.3443765412076</v>
      </c>
      <c r="AT96" s="197">
        <f t="shared" si="238"/>
        <v>1315.6228889182285</v>
      </c>
      <c r="AU96" s="199">
        <f t="shared" si="238"/>
        <v>2676.1993496657506</v>
      </c>
      <c r="AV96" s="197"/>
      <c r="AX96" s="204">
        <f t="shared" si="269"/>
        <v>9</v>
      </c>
      <c r="AY96" s="759">
        <f>'Energy NPV'!$D21*$AZ$84</f>
        <v>0</v>
      </c>
      <c r="AZ96" s="197">
        <f>'Energy margins'!$E$12</f>
        <v>72</v>
      </c>
      <c r="BA96" s="197">
        <f t="shared" si="270"/>
        <v>0</v>
      </c>
      <c r="BB96" s="197">
        <f>'Margins summary'!$Q$14</f>
        <v>175.95</v>
      </c>
      <c r="BC96" s="197">
        <f t="shared" si="239"/>
        <v>175.95</v>
      </c>
      <c r="BD96" s="197"/>
      <c r="BE96" s="918">
        <f>'Energy NPV'!U21</f>
        <v>45.561599999999999</v>
      </c>
      <c r="BF96" s="197"/>
      <c r="BG96" s="197">
        <f t="shared" si="240"/>
        <v>45.561599999999999</v>
      </c>
      <c r="BH96" s="197">
        <f t="shared" si="217"/>
        <v>-45.561599999999999</v>
      </c>
      <c r="BI96" s="197">
        <f t="shared" si="218"/>
        <v>130.38839999999999</v>
      </c>
      <c r="BJ96" s="196">
        <f t="shared" si="241"/>
        <v>0</v>
      </c>
      <c r="BK96" s="197">
        <f t="shared" si="242"/>
        <v>128.56494157009902</v>
      </c>
      <c r="BL96" s="197">
        <f t="shared" si="243"/>
        <v>33.29141484421838</v>
      </c>
      <c r="BM96" s="197">
        <f t="shared" si="244"/>
        <v>-33.29141484421838</v>
      </c>
      <c r="BN96" s="199">
        <f t="shared" si="245"/>
        <v>95.273526725880657</v>
      </c>
      <c r="BO96" s="196">
        <f t="shared" si="271"/>
        <v>1813.6557551531455</v>
      </c>
      <c r="BP96" s="197">
        <f t="shared" si="246"/>
        <v>1360.5764607475226</v>
      </c>
      <c r="BQ96" s="197">
        <f t="shared" si="246"/>
        <v>4125.3443765412076</v>
      </c>
      <c r="BR96" s="197">
        <f t="shared" si="246"/>
        <v>-2311.6886213880621</v>
      </c>
      <c r="BS96" s="199">
        <f t="shared" si="246"/>
        <v>-951.11216064053929</v>
      </c>
      <c r="BT96" s="197"/>
      <c r="BV96" s="204">
        <f t="shared" si="272"/>
        <v>9</v>
      </c>
      <c r="BW96" s="759">
        <f>'Energy NPV'!$D21*$BX$84</f>
        <v>0</v>
      </c>
      <c r="BX96" s="197">
        <f>'Energy margins'!$E$12</f>
        <v>72</v>
      </c>
      <c r="BY96" s="197">
        <f t="shared" si="273"/>
        <v>0</v>
      </c>
      <c r="BZ96" s="197">
        <f>'Margins summary'!$Q$14</f>
        <v>175.95</v>
      </c>
      <c r="CA96" s="197">
        <f t="shared" si="247"/>
        <v>175.95</v>
      </c>
      <c r="CB96" s="197"/>
      <c r="CC96" s="918">
        <f>'Energy NPV'!U21</f>
        <v>45.561599999999999</v>
      </c>
      <c r="CD96" s="197"/>
      <c r="CE96" s="197">
        <f t="shared" si="248"/>
        <v>45.561599999999999</v>
      </c>
      <c r="CF96" s="197">
        <f t="shared" si="219"/>
        <v>-45.561599999999999</v>
      </c>
      <c r="CG96" s="197">
        <f t="shared" si="220"/>
        <v>130.38839999999999</v>
      </c>
      <c r="CH96" s="196">
        <f t="shared" si="249"/>
        <v>0</v>
      </c>
      <c r="CI96" s="197">
        <f t="shared" si="250"/>
        <v>128.56494157009902</v>
      </c>
      <c r="CJ96" s="197">
        <f t="shared" si="251"/>
        <v>33.29141484421838</v>
      </c>
      <c r="CK96" s="197">
        <f t="shared" si="252"/>
        <v>-33.29141484421838</v>
      </c>
      <c r="CL96" s="199">
        <f t="shared" si="253"/>
        <v>95.273526725880657</v>
      </c>
      <c r="CM96" s="196">
        <f t="shared" si="274"/>
        <v>7254.623020612582</v>
      </c>
      <c r="CN96" s="197">
        <f t="shared" si="254"/>
        <v>1360.5764607475226</v>
      </c>
      <c r="CO96" s="197">
        <f t="shared" si="254"/>
        <v>4125.3443765412076</v>
      </c>
      <c r="CP96" s="197">
        <f t="shared" si="254"/>
        <v>3129.2786440713739</v>
      </c>
      <c r="CQ96" s="199">
        <f t="shared" si="254"/>
        <v>4489.8551048188965</v>
      </c>
      <c r="CR96" s="197"/>
      <c r="CT96" s="204">
        <f t="shared" si="275"/>
        <v>9</v>
      </c>
      <c r="CU96" s="759">
        <f>'Energy NPV'!$D21*$CV$84</f>
        <v>0</v>
      </c>
      <c r="CV96" s="197">
        <f>'Energy margins'!$E$12</f>
        <v>72</v>
      </c>
      <c r="CW96" s="197">
        <f t="shared" si="276"/>
        <v>0</v>
      </c>
      <c r="CX96" s="197">
        <f>'Margins summary'!$Q$14</f>
        <v>175.95</v>
      </c>
      <c r="CY96" s="197">
        <f t="shared" si="255"/>
        <v>175.95</v>
      </c>
      <c r="CZ96" s="197"/>
      <c r="DA96" s="918">
        <f>'Energy NPV'!U21</f>
        <v>45.561599999999999</v>
      </c>
      <c r="DB96" s="197"/>
      <c r="DC96" s="197">
        <f t="shared" si="256"/>
        <v>45.561599999999999</v>
      </c>
      <c r="DD96" s="197">
        <f t="shared" si="221"/>
        <v>-45.561599999999999</v>
      </c>
      <c r="DE96" s="197">
        <f t="shared" si="222"/>
        <v>130.38839999999999</v>
      </c>
      <c r="DF96" s="196">
        <f t="shared" si="257"/>
        <v>0</v>
      </c>
      <c r="DG96" s="197">
        <f t="shared" si="258"/>
        <v>128.56494157009902</v>
      </c>
      <c r="DH96" s="197">
        <f t="shared" si="259"/>
        <v>33.29141484421838</v>
      </c>
      <c r="DI96" s="197">
        <f t="shared" si="260"/>
        <v>-33.29141484421838</v>
      </c>
      <c r="DJ96" s="199">
        <f t="shared" si="261"/>
        <v>95.273526725880657</v>
      </c>
      <c r="DK96" s="196">
        <f t="shared" si="277"/>
        <v>0</v>
      </c>
      <c r="DL96" s="197">
        <f t="shared" si="262"/>
        <v>1360.5764607475226</v>
      </c>
      <c r="DM96" s="197">
        <f t="shared" si="262"/>
        <v>4125.3443765412076</v>
      </c>
      <c r="DN96" s="197">
        <f t="shared" si="262"/>
        <v>-4125.3443765412076</v>
      </c>
      <c r="DO96" s="199">
        <f t="shared" si="262"/>
        <v>-2764.767915793685</v>
      </c>
    </row>
    <row r="97" spans="2:119" x14ac:dyDescent="0.3">
      <c r="B97" s="204">
        <f t="shared" si="263"/>
        <v>10</v>
      </c>
      <c r="C97" s="759">
        <f>'Energy NPV'!$D22*$E$84</f>
        <v>30</v>
      </c>
      <c r="D97" s="197">
        <f>'Energy margins'!$E$12</f>
        <v>72</v>
      </c>
      <c r="E97" s="197">
        <f t="shared" si="264"/>
        <v>2160</v>
      </c>
      <c r="F97" s="197">
        <f>'Margins summary'!$Q$14</f>
        <v>175.95</v>
      </c>
      <c r="G97" s="197">
        <f t="shared" si="223"/>
        <v>2335.9499999999998</v>
      </c>
      <c r="H97" s="197"/>
      <c r="I97" s="918">
        <f>'Energy NPV'!U22</f>
        <v>704.85838399999989</v>
      </c>
      <c r="J97" s="197"/>
      <c r="K97" s="197">
        <f t="shared" si="224"/>
        <v>704.85838399999989</v>
      </c>
      <c r="L97" s="197">
        <f t="shared" si="213"/>
        <v>1455.1416160000001</v>
      </c>
      <c r="M97" s="197">
        <f t="shared" si="214"/>
        <v>1631.0916159999999</v>
      </c>
      <c r="N97" s="196">
        <f t="shared" si="225"/>
        <v>1517.5873488502739</v>
      </c>
      <c r="O97" s="197">
        <f t="shared" si="226"/>
        <v>123.62013612509521</v>
      </c>
      <c r="P97" s="197">
        <f t="shared" si="227"/>
        <v>495.22415105992968</v>
      </c>
      <c r="Q97" s="197">
        <f t="shared" si="228"/>
        <v>1022.3631977903442</v>
      </c>
      <c r="R97" s="199">
        <f t="shared" si="229"/>
        <v>1145.9833339154393</v>
      </c>
      <c r="S97" s="196">
        <f t="shared" si="265"/>
        <v>5144.8988591565649</v>
      </c>
      <c r="T97" s="197">
        <f t="shared" si="230"/>
        <v>1484.1965968726179</v>
      </c>
      <c r="U97" s="197">
        <f t="shared" si="230"/>
        <v>4620.5685276011372</v>
      </c>
      <c r="V97" s="197">
        <f t="shared" si="230"/>
        <v>524.33033155542785</v>
      </c>
      <c r="W97" s="199">
        <f t="shared" si="230"/>
        <v>2008.5269284280448</v>
      </c>
      <c r="X97" s="197"/>
      <c r="Z97" s="204">
        <f t="shared" si="266"/>
        <v>10</v>
      </c>
      <c r="AA97" s="759">
        <f>'Energy NPV'!$D22*$AB$84</f>
        <v>45</v>
      </c>
      <c r="AB97" s="197">
        <f>'Energy margins'!$E$12</f>
        <v>72</v>
      </c>
      <c r="AC97" s="197">
        <f t="shared" si="267"/>
        <v>3240</v>
      </c>
      <c r="AD97" s="197">
        <f>'Margins summary'!$Q$14</f>
        <v>175.95</v>
      </c>
      <c r="AE97" s="197">
        <f t="shared" si="231"/>
        <v>3415.95</v>
      </c>
      <c r="AF97" s="197"/>
      <c r="AG97" s="918">
        <f>'Energy NPV'!U22</f>
        <v>704.85838399999989</v>
      </c>
      <c r="AH97" s="197"/>
      <c r="AI97" s="197">
        <f t="shared" si="232"/>
        <v>704.85838399999989</v>
      </c>
      <c r="AJ97" s="197">
        <f t="shared" si="215"/>
        <v>2535.1416159999999</v>
      </c>
      <c r="AK97" s="197">
        <f t="shared" si="216"/>
        <v>2711.0916159999997</v>
      </c>
      <c r="AL97" s="196">
        <f t="shared" si="233"/>
        <v>2276.3810232754108</v>
      </c>
      <c r="AM97" s="197">
        <f t="shared" si="234"/>
        <v>123.62013612509521</v>
      </c>
      <c r="AN97" s="197">
        <f t="shared" si="235"/>
        <v>495.22415105992968</v>
      </c>
      <c r="AO97" s="197">
        <f t="shared" si="236"/>
        <v>1781.1568722154809</v>
      </c>
      <c r="AP97" s="199">
        <f t="shared" si="237"/>
        <v>1904.777008340576</v>
      </c>
      <c r="AQ97" s="196">
        <f t="shared" si="268"/>
        <v>7717.3482887348473</v>
      </c>
      <c r="AR97" s="197">
        <f t="shared" si="238"/>
        <v>1484.1965968726179</v>
      </c>
      <c r="AS97" s="197">
        <f t="shared" si="238"/>
        <v>4620.5685276011372</v>
      </c>
      <c r="AT97" s="197">
        <f t="shared" si="238"/>
        <v>3096.7797611337091</v>
      </c>
      <c r="AU97" s="199">
        <f t="shared" si="238"/>
        <v>4580.9763580063263</v>
      </c>
      <c r="AV97" s="197"/>
      <c r="AX97" s="204">
        <f t="shared" si="269"/>
        <v>10</v>
      </c>
      <c r="AY97" s="759">
        <f>'Energy NPV'!$D22*$AZ$84</f>
        <v>15</v>
      </c>
      <c r="AZ97" s="197">
        <f>'Energy margins'!$E$12</f>
        <v>72</v>
      </c>
      <c r="BA97" s="197">
        <f t="shared" si="270"/>
        <v>1080</v>
      </c>
      <c r="BB97" s="197">
        <f>'Margins summary'!$Q$14</f>
        <v>175.95</v>
      </c>
      <c r="BC97" s="197">
        <f t="shared" si="239"/>
        <v>1255.95</v>
      </c>
      <c r="BD97" s="197"/>
      <c r="BE97" s="918">
        <f>'Energy NPV'!U22</f>
        <v>704.85838399999989</v>
      </c>
      <c r="BF97" s="197"/>
      <c r="BG97" s="197">
        <f t="shared" si="240"/>
        <v>704.85838399999989</v>
      </c>
      <c r="BH97" s="197">
        <f t="shared" si="217"/>
        <v>375.14161600000011</v>
      </c>
      <c r="BI97" s="197">
        <f t="shared" si="218"/>
        <v>551.09161600000016</v>
      </c>
      <c r="BJ97" s="196">
        <f t="shared" si="241"/>
        <v>758.79367442513694</v>
      </c>
      <c r="BK97" s="197">
        <f t="shared" si="242"/>
        <v>123.62013612509521</v>
      </c>
      <c r="BL97" s="197">
        <f t="shared" si="243"/>
        <v>495.22415105992968</v>
      </c>
      <c r="BM97" s="197">
        <f t="shared" si="244"/>
        <v>263.56952336520726</v>
      </c>
      <c r="BN97" s="199">
        <f t="shared" si="245"/>
        <v>387.18965949030252</v>
      </c>
      <c r="BO97" s="196">
        <f t="shared" si="271"/>
        <v>2572.4494295782824</v>
      </c>
      <c r="BP97" s="197">
        <f t="shared" si="246"/>
        <v>1484.1965968726179</v>
      </c>
      <c r="BQ97" s="197">
        <f t="shared" si="246"/>
        <v>4620.5685276011372</v>
      </c>
      <c r="BR97" s="197">
        <f t="shared" si="246"/>
        <v>-2048.1190980228548</v>
      </c>
      <c r="BS97" s="199">
        <f t="shared" si="246"/>
        <v>-563.92250115023671</v>
      </c>
      <c r="BT97" s="197"/>
      <c r="BV97" s="204">
        <f t="shared" si="272"/>
        <v>10</v>
      </c>
      <c r="BW97" s="759">
        <f>'Energy NPV'!$D22*$BX$84</f>
        <v>60</v>
      </c>
      <c r="BX97" s="197">
        <f>'Energy margins'!$E$12</f>
        <v>72</v>
      </c>
      <c r="BY97" s="197">
        <f t="shared" si="273"/>
        <v>4320</v>
      </c>
      <c r="BZ97" s="197">
        <f>'Margins summary'!$Q$14</f>
        <v>175.95</v>
      </c>
      <c r="CA97" s="197">
        <f t="shared" si="247"/>
        <v>4495.95</v>
      </c>
      <c r="CB97" s="197"/>
      <c r="CC97" s="918">
        <f>'Energy NPV'!U22</f>
        <v>704.85838399999989</v>
      </c>
      <c r="CD97" s="197"/>
      <c r="CE97" s="197">
        <f t="shared" si="248"/>
        <v>704.85838399999989</v>
      </c>
      <c r="CF97" s="197">
        <f t="shared" si="219"/>
        <v>3615.1416159999999</v>
      </c>
      <c r="CG97" s="197">
        <f t="shared" si="220"/>
        <v>3791.0916159999997</v>
      </c>
      <c r="CH97" s="196">
        <f t="shared" si="249"/>
        <v>3035.1746977005478</v>
      </c>
      <c r="CI97" s="197">
        <f t="shared" si="250"/>
        <v>123.62013612509521</v>
      </c>
      <c r="CJ97" s="197">
        <f t="shared" si="251"/>
        <v>495.22415105992968</v>
      </c>
      <c r="CK97" s="197">
        <f t="shared" si="252"/>
        <v>2539.9505466406181</v>
      </c>
      <c r="CL97" s="199">
        <f t="shared" si="253"/>
        <v>2663.5706827657132</v>
      </c>
      <c r="CM97" s="196">
        <f t="shared" si="274"/>
        <v>10289.79771831313</v>
      </c>
      <c r="CN97" s="197">
        <f t="shared" si="254"/>
        <v>1484.1965968726179</v>
      </c>
      <c r="CO97" s="197">
        <f t="shared" si="254"/>
        <v>4620.5685276011372</v>
      </c>
      <c r="CP97" s="197">
        <f t="shared" si="254"/>
        <v>5669.2291907119925</v>
      </c>
      <c r="CQ97" s="199">
        <f t="shared" si="254"/>
        <v>7153.4257875846097</v>
      </c>
      <c r="CR97" s="197"/>
      <c r="CT97" s="204">
        <f t="shared" si="275"/>
        <v>10</v>
      </c>
      <c r="CU97" s="759">
        <f>'Energy NPV'!$D22*$CV$84</f>
        <v>0</v>
      </c>
      <c r="CV97" s="197">
        <f>'Energy margins'!$E$12</f>
        <v>72</v>
      </c>
      <c r="CW97" s="197">
        <f t="shared" si="276"/>
        <v>0</v>
      </c>
      <c r="CX97" s="197">
        <f>'Margins summary'!$Q$14</f>
        <v>175.95</v>
      </c>
      <c r="CY97" s="197">
        <f t="shared" si="255"/>
        <v>175.95</v>
      </c>
      <c r="CZ97" s="197"/>
      <c r="DA97" s="918">
        <f>'Energy NPV'!U22</f>
        <v>704.85838399999989</v>
      </c>
      <c r="DB97" s="197"/>
      <c r="DC97" s="197">
        <f t="shared" si="256"/>
        <v>704.85838399999989</v>
      </c>
      <c r="DD97" s="197">
        <f t="shared" si="221"/>
        <v>-704.85838399999989</v>
      </c>
      <c r="DE97" s="197">
        <f t="shared" si="222"/>
        <v>-528.90838399999984</v>
      </c>
      <c r="DF97" s="196">
        <f t="shared" si="257"/>
        <v>0</v>
      </c>
      <c r="DG97" s="197">
        <f t="shared" si="258"/>
        <v>123.62013612509521</v>
      </c>
      <c r="DH97" s="197">
        <f t="shared" si="259"/>
        <v>495.22415105992968</v>
      </c>
      <c r="DI97" s="197">
        <f t="shared" si="260"/>
        <v>-495.22415105992968</v>
      </c>
      <c r="DJ97" s="199">
        <f t="shared" si="261"/>
        <v>-371.60401493483442</v>
      </c>
      <c r="DK97" s="196">
        <f t="shared" si="277"/>
        <v>0</v>
      </c>
      <c r="DL97" s="197">
        <f t="shared" si="262"/>
        <v>1484.1965968726179</v>
      </c>
      <c r="DM97" s="197">
        <f t="shared" si="262"/>
        <v>4620.5685276011372</v>
      </c>
      <c r="DN97" s="197">
        <f t="shared" si="262"/>
        <v>-4620.5685276011372</v>
      </c>
      <c r="DO97" s="199">
        <f t="shared" si="262"/>
        <v>-3136.3719307285196</v>
      </c>
    </row>
    <row r="98" spans="2:119" x14ac:dyDescent="0.3">
      <c r="B98" s="204">
        <f t="shared" si="263"/>
        <v>11</v>
      </c>
      <c r="C98" s="759">
        <f>'Energy NPV'!$D23*$E$84</f>
        <v>0</v>
      </c>
      <c r="D98" s="197">
        <f>'Energy margins'!$E$12</f>
        <v>72</v>
      </c>
      <c r="E98" s="197">
        <f t="shared" si="264"/>
        <v>0</v>
      </c>
      <c r="F98" s="197">
        <f>'Margins summary'!$Q$14</f>
        <v>175.95</v>
      </c>
      <c r="G98" s="197">
        <f t="shared" si="223"/>
        <v>175.95</v>
      </c>
      <c r="H98" s="197"/>
      <c r="I98" s="918">
        <f>'Energy NPV'!U23</f>
        <v>0</v>
      </c>
      <c r="J98" s="197"/>
      <c r="K98" s="197">
        <f t="shared" si="224"/>
        <v>0</v>
      </c>
      <c r="L98" s="197">
        <f t="shared" si="213"/>
        <v>0</v>
      </c>
      <c r="M98" s="197">
        <f t="shared" si="214"/>
        <v>175.95</v>
      </c>
      <c r="N98" s="196">
        <f t="shared" si="225"/>
        <v>0</v>
      </c>
      <c r="O98" s="197">
        <f t="shared" si="226"/>
        <v>118.86551550489925</v>
      </c>
      <c r="P98" s="197">
        <f t="shared" si="227"/>
        <v>0</v>
      </c>
      <c r="Q98" s="197">
        <f t="shared" si="228"/>
        <v>0</v>
      </c>
      <c r="R98" s="199">
        <f t="shared" si="229"/>
        <v>118.86551550489925</v>
      </c>
      <c r="S98" s="196">
        <f t="shared" si="265"/>
        <v>5144.8988591565649</v>
      </c>
      <c r="T98" s="197">
        <f t="shared" si="230"/>
        <v>1603.0621123775172</v>
      </c>
      <c r="U98" s="197">
        <f t="shared" si="230"/>
        <v>4620.5685276011372</v>
      </c>
      <c r="V98" s="197">
        <f t="shared" si="230"/>
        <v>524.33033155542785</v>
      </c>
      <c r="W98" s="199">
        <f t="shared" si="230"/>
        <v>2127.3924439329439</v>
      </c>
      <c r="X98" s="197"/>
      <c r="Z98" s="204">
        <f t="shared" si="266"/>
        <v>11</v>
      </c>
      <c r="AA98" s="759">
        <f>'Energy NPV'!$D23*$AB$84</f>
        <v>0</v>
      </c>
      <c r="AB98" s="197">
        <f>'Energy margins'!$E$12</f>
        <v>72</v>
      </c>
      <c r="AC98" s="197">
        <f t="shared" si="267"/>
        <v>0</v>
      </c>
      <c r="AD98" s="197">
        <f>'Margins summary'!$Q$14</f>
        <v>175.95</v>
      </c>
      <c r="AE98" s="197">
        <f t="shared" si="231"/>
        <v>175.95</v>
      </c>
      <c r="AF98" s="197"/>
      <c r="AG98" s="918">
        <f>'Energy NPV'!U23</f>
        <v>0</v>
      </c>
      <c r="AH98" s="197"/>
      <c r="AI98" s="197">
        <f t="shared" si="232"/>
        <v>0</v>
      </c>
      <c r="AJ98" s="197">
        <f t="shared" si="215"/>
        <v>0</v>
      </c>
      <c r="AK98" s="197">
        <f t="shared" si="216"/>
        <v>175.95</v>
      </c>
      <c r="AL98" s="196">
        <f t="shared" si="233"/>
        <v>0</v>
      </c>
      <c r="AM98" s="197">
        <f t="shared" si="234"/>
        <v>118.86551550489925</v>
      </c>
      <c r="AN98" s="197">
        <f t="shared" si="235"/>
        <v>0</v>
      </c>
      <c r="AO98" s="197">
        <f t="shared" si="236"/>
        <v>0</v>
      </c>
      <c r="AP98" s="199">
        <f t="shared" si="237"/>
        <v>118.86551550489925</v>
      </c>
      <c r="AQ98" s="196">
        <f t="shared" si="268"/>
        <v>7717.3482887348473</v>
      </c>
      <c r="AR98" s="197">
        <f t="shared" si="238"/>
        <v>1603.0621123775172</v>
      </c>
      <c r="AS98" s="197">
        <f t="shared" si="238"/>
        <v>4620.5685276011372</v>
      </c>
      <c r="AT98" s="197">
        <f t="shared" si="238"/>
        <v>3096.7797611337091</v>
      </c>
      <c r="AU98" s="199">
        <f t="shared" si="238"/>
        <v>4699.8418735112255</v>
      </c>
      <c r="AV98" s="197"/>
      <c r="AX98" s="204">
        <f t="shared" si="269"/>
        <v>11</v>
      </c>
      <c r="AY98" s="759">
        <f>'Energy NPV'!$D23*$AZ$84</f>
        <v>0</v>
      </c>
      <c r="AZ98" s="197">
        <f>'Energy margins'!$E$12</f>
        <v>72</v>
      </c>
      <c r="BA98" s="197">
        <f t="shared" si="270"/>
        <v>0</v>
      </c>
      <c r="BB98" s="197">
        <f>'Margins summary'!$Q$14</f>
        <v>175.95</v>
      </c>
      <c r="BC98" s="197">
        <f t="shared" si="239"/>
        <v>175.95</v>
      </c>
      <c r="BD98" s="197"/>
      <c r="BE98" s="918">
        <f>'Energy NPV'!U23</f>
        <v>0</v>
      </c>
      <c r="BF98" s="197"/>
      <c r="BG98" s="197">
        <f t="shared" si="240"/>
        <v>0</v>
      </c>
      <c r="BH98" s="197">
        <f t="shared" si="217"/>
        <v>0</v>
      </c>
      <c r="BI98" s="197">
        <f t="shared" si="218"/>
        <v>175.95</v>
      </c>
      <c r="BJ98" s="196">
        <f t="shared" si="241"/>
        <v>0</v>
      </c>
      <c r="BK98" s="197">
        <f t="shared" si="242"/>
        <v>118.86551550489925</v>
      </c>
      <c r="BL98" s="197">
        <f t="shared" si="243"/>
        <v>0</v>
      </c>
      <c r="BM98" s="197">
        <f t="shared" si="244"/>
        <v>0</v>
      </c>
      <c r="BN98" s="199">
        <f t="shared" si="245"/>
        <v>118.86551550489925</v>
      </c>
      <c r="BO98" s="196">
        <f t="shared" si="271"/>
        <v>2572.4494295782824</v>
      </c>
      <c r="BP98" s="197">
        <f t="shared" si="246"/>
        <v>1603.0621123775172</v>
      </c>
      <c r="BQ98" s="197">
        <f t="shared" si="246"/>
        <v>4620.5685276011372</v>
      </c>
      <c r="BR98" s="197">
        <f t="shared" si="246"/>
        <v>-2048.1190980228548</v>
      </c>
      <c r="BS98" s="199">
        <f t="shared" si="246"/>
        <v>-445.05698564533748</v>
      </c>
      <c r="BT98" s="197"/>
      <c r="BV98" s="204">
        <f t="shared" si="272"/>
        <v>11</v>
      </c>
      <c r="BW98" s="759">
        <f>'Energy NPV'!$D23*$BX$84</f>
        <v>0</v>
      </c>
      <c r="BX98" s="197">
        <f>'Energy margins'!$E$12</f>
        <v>72</v>
      </c>
      <c r="BY98" s="197">
        <f t="shared" si="273"/>
        <v>0</v>
      </c>
      <c r="BZ98" s="197">
        <f>'Margins summary'!$Q$14</f>
        <v>175.95</v>
      </c>
      <c r="CA98" s="197">
        <f t="shared" si="247"/>
        <v>175.95</v>
      </c>
      <c r="CB98" s="197"/>
      <c r="CC98" s="918">
        <f>'Energy NPV'!U23</f>
        <v>0</v>
      </c>
      <c r="CD98" s="197"/>
      <c r="CE98" s="197">
        <f t="shared" si="248"/>
        <v>0</v>
      </c>
      <c r="CF98" s="197">
        <f t="shared" si="219"/>
        <v>0</v>
      </c>
      <c r="CG98" s="197">
        <f t="shared" si="220"/>
        <v>175.95</v>
      </c>
      <c r="CH98" s="196">
        <f t="shared" si="249"/>
        <v>0</v>
      </c>
      <c r="CI98" s="197">
        <f t="shared" si="250"/>
        <v>118.86551550489925</v>
      </c>
      <c r="CJ98" s="197">
        <f t="shared" si="251"/>
        <v>0</v>
      </c>
      <c r="CK98" s="197">
        <f t="shared" si="252"/>
        <v>0</v>
      </c>
      <c r="CL98" s="199">
        <f t="shared" si="253"/>
        <v>118.86551550489925</v>
      </c>
      <c r="CM98" s="196">
        <f t="shared" si="274"/>
        <v>10289.79771831313</v>
      </c>
      <c r="CN98" s="197">
        <f t="shared" si="254"/>
        <v>1603.0621123775172</v>
      </c>
      <c r="CO98" s="197">
        <f t="shared" si="254"/>
        <v>4620.5685276011372</v>
      </c>
      <c r="CP98" s="197">
        <f t="shared" si="254"/>
        <v>5669.2291907119925</v>
      </c>
      <c r="CQ98" s="199">
        <f t="shared" si="254"/>
        <v>7272.2913030895088</v>
      </c>
      <c r="CR98" s="197"/>
      <c r="CT98" s="204">
        <f t="shared" si="275"/>
        <v>11</v>
      </c>
      <c r="CU98" s="759">
        <f>'Energy NPV'!$D23*$CV$84</f>
        <v>0</v>
      </c>
      <c r="CV98" s="197">
        <f>'Energy margins'!$E$12</f>
        <v>72</v>
      </c>
      <c r="CW98" s="197">
        <f t="shared" si="276"/>
        <v>0</v>
      </c>
      <c r="CX98" s="197">
        <f>'Margins summary'!$Q$14</f>
        <v>175.95</v>
      </c>
      <c r="CY98" s="197">
        <f t="shared" si="255"/>
        <v>175.95</v>
      </c>
      <c r="CZ98" s="197"/>
      <c r="DA98" s="918">
        <f>'Energy NPV'!U23</f>
        <v>0</v>
      </c>
      <c r="DB98" s="197"/>
      <c r="DC98" s="197">
        <f t="shared" si="256"/>
        <v>0</v>
      </c>
      <c r="DD98" s="197">
        <f t="shared" si="221"/>
        <v>0</v>
      </c>
      <c r="DE98" s="197">
        <f t="shared" si="222"/>
        <v>175.95</v>
      </c>
      <c r="DF98" s="196">
        <f t="shared" si="257"/>
        <v>0</v>
      </c>
      <c r="DG98" s="197">
        <f t="shared" si="258"/>
        <v>118.86551550489925</v>
      </c>
      <c r="DH98" s="197">
        <f t="shared" si="259"/>
        <v>0</v>
      </c>
      <c r="DI98" s="197">
        <f t="shared" si="260"/>
        <v>0</v>
      </c>
      <c r="DJ98" s="199">
        <f t="shared" si="261"/>
        <v>118.86551550489925</v>
      </c>
      <c r="DK98" s="196">
        <f t="shared" si="277"/>
        <v>0</v>
      </c>
      <c r="DL98" s="197">
        <f t="shared" si="262"/>
        <v>1603.0621123775172</v>
      </c>
      <c r="DM98" s="197">
        <f t="shared" si="262"/>
        <v>4620.5685276011372</v>
      </c>
      <c r="DN98" s="197">
        <f t="shared" si="262"/>
        <v>-4620.5685276011372</v>
      </c>
      <c r="DO98" s="199">
        <f t="shared" si="262"/>
        <v>-3017.5064152236205</v>
      </c>
    </row>
    <row r="99" spans="2:119" x14ac:dyDescent="0.3">
      <c r="B99" s="204">
        <f t="shared" si="263"/>
        <v>12</v>
      </c>
      <c r="C99" s="759">
        <f>'Energy NPV'!$D24*$E$84</f>
        <v>0</v>
      </c>
      <c r="D99" s="197">
        <f>'Energy margins'!$E$12</f>
        <v>72</v>
      </c>
      <c r="E99" s="197">
        <f t="shared" si="264"/>
        <v>0</v>
      </c>
      <c r="F99" s="197">
        <f>'Margins summary'!$Q$14</f>
        <v>175.95</v>
      </c>
      <c r="G99" s="197">
        <f t="shared" si="223"/>
        <v>175.95</v>
      </c>
      <c r="H99" s="197"/>
      <c r="I99" s="918">
        <f>'Energy NPV'!U24</f>
        <v>0</v>
      </c>
      <c r="J99" s="197"/>
      <c r="K99" s="197">
        <f t="shared" si="224"/>
        <v>0</v>
      </c>
      <c r="L99" s="197">
        <f t="shared" si="213"/>
        <v>0</v>
      </c>
      <c r="M99" s="197">
        <f t="shared" si="214"/>
        <v>175.95</v>
      </c>
      <c r="N99" s="196">
        <f t="shared" si="225"/>
        <v>0</v>
      </c>
      <c r="O99" s="197">
        <f t="shared" si="226"/>
        <v>114.29376490855698</v>
      </c>
      <c r="P99" s="197">
        <f t="shared" si="227"/>
        <v>0</v>
      </c>
      <c r="Q99" s="197">
        <f t="shared" si="228"/>
        <v>0</v>
      </c>
      <c r="R99" s="199">
        <f t="shared" si="229"/>
        <v>114.29376490855698</v>
      </c>
      <c r="S99" s="196">
        <f t="shared" si="265"/>
        <v>5144.8988591565649</v>
      </c>
      <c r="T99" s="197">
        <f t="shared" si="230"/>
        <v>1717.3558772860742</v>
      </c>
      <c r="U99" s="197">
        <f t="shared" si="230"/>
        <v>4620.5685276011372</v>
      </c>
      <c r="V99" s="197">
        <f t="shared" si="230"/>
        <v>524.33033155542785</v>
      </c>
      <c r="W99" s="199">
        <f t="shared" si="230"/>
        <v>2241.686208841501</v>
      </c>
      <c r="X99" s="197"/>
      <c r="Z99" s="204">
        <f t="shared" si="266"/>
        <v>12</v>
      </c>
      <c r="AA99" s="759">
        <f>'Energy NPV'!$D24*$AB$84</f>
        <v>0</v>
      </c>
      <c r="AB99" s="197">
        <f>'Energy margins'!$E$12</f>
        <v>72</v>
      </c>
      <c r="AC99" s="197">
        <f t="shared" si="267"/>
        <v>0</v>
      </c>
      <c r="AD99" s="197">
        <f>'Margins summary'!$Q$14</f>
        <v>175.95</v>
      </c>
      <c r="AE99" s="197">
        <f t="shared" si="231"/>
        <v>175.95</v>
      </c>
      <c r="AF99" s="197"/>
      <c r="AG99" s="918">
        <f>'Energy NPV'!U24</f>
        <v>0</v>
      </c>
      <c r="AH99" s="197"/>
      <c r="AI99" s="197">
        <f t="shared" si="232"/>
        <v>0</v>
      </c>
      <c r="AJ99" s="197">
        <f t="shared" si="215"/>
        <v>0</v>
      </c>
      <c r="AK99" s="197">
        <f t="shared" si="216"/>
        <v>175.95</v>
      </c>
      <c r="AL99" s="196">
        <f t="shared" si="233"/>
        <v>0</v>
      </c>
      <c r="AM99" s="197">
        <f t="shared" si="234"/>
        <v>114.29376490855698</v>
      </c>
      <c r="AN99" s="197">
        <f t="shared" si="235"/>
        <v>0</v>
      </c>
      <c r="AO99" s="197">
        <f t="shared" si="236"/>
        <v>0</v>
      </c>
      <c r="AP99" s="199">
        <f t="shared" si="237"/>
        <v>114.29376490855698</v>
      </c>
      <c r="AQ99" s="196">
        <f t="shared" si="268"/>
        <v>7717.3482887348473</v>
      </c>
      <c r="AR99" s="197">
        <f t="shared" si="238"/>
        <v>1717.3558772860742</v>
      </c>
      <c r="AS99" s="197">
        <f t="shared" si="238"/>
        <v>4620.5685276011372</v>
      </c>
      <c r="AT99" s="197">
        <f t="shared" si="238"/>
        <v>3096.7797611337091</v>
      </c>
      <c r="AU99" s="199">
        <f t="shared" si="238"/>
        <v>4814.1356384197825</v>
      </c>
      <c r="AV99" s="197"/>
      <c r="AX99" s="204">
        <f t="shared" si="269"/>
        <v>12</v>
      </c>
      <c r="AY99" s="759">
        <f>'Energy NPV'!$D24*$AZ$84</f>
        <v>0</v>
      </c>
      <c r="AZ99" s="197">
        <f>'Energy margins'!$E$12</f>
        <v>72</v>
      </c>
      <c r="BA99" s="197">
        <f t="shared" si="270"/>
        <v>0</v>
      </c>
      <c r="BB99" s="197">
        <f>'Margins summary'!$Q$14</f>
        <v>175.95</v>
      </c>
      <c r="BC99" s="197">
        <f t="shared" si="239"/>
        <v>175.95</v>
      </c>
      <c r="BD99" s="197"/>
      <c r="BE99" s="918">
        <f>'Energy NPV'!U24</f>
        <v>0</v>
      </c>
      <c r="BF99" s="197"/>
      <c r="BG99" s="197">
        <f t="shared" si="240"/>
        <v>0</v>
      </c>
      <c r="BH99" s="197">
        <f t="shared" si="217"/>
        <v>0</v>
      </c>
      <c r="BI99" s="197">
        <f t="shared" si="218"/>
        <v>175.95</v>
      </c>
      <c r="BJ99" s="196">
        <f t="shared" si="241"/>
        <v>0</v>
      </c>
      <c r="BK99" s="197">
        <f t="shared" si="242"/>
        <v>114.29376490855698</v>
      </c>
      <c r="BL99" s="197">
        <f t="shared" si="243"/>
        <v>0</v>
      </c>
      <c r="BM99" s="197">
        <f t="shared" si="244"/>
        <v>0</v>
      </c>
      <c r="BN99" s="199">
        <f t="shared" si="245"/>
        <v>114.29376490855698</v>
      </c>
      <c r="BO99" s="196">
        <f t="shared" si="271"/>
        <v>2572.4494295782824</v>
      </c>
      <c r="BP99" s="197">
        <f t="shared" si="246"/>
        <v>1717.3558772860742</v>
      </c>
      <c r="BQ99" s="197">
        <f t="shared" si="246"/>
        <v>4620.5685276011372</v>
      </c>
      <c r="BR99" s="197">
        <f t="shared" si="246"/>
        <v>-2048.1190980228548</v>
      </c>
      <c r="BS99" s="199">
        <f t="shared" si="246"/>
        <v>-330.76322073678051</v>
      </c>
      <c r="BT99" s="197"/>
      <c r="BV99" s="204">
        <f t="shared" si="272"/>
        <v>12</v>
      </c>
      <c r="BW99" s="759">
        <f>'Energy NPV'!$D24*$BX$84</f>
        <v>0</v>
      </c>
      <c r="BX99" s="197">
        <f>'Energy margins'!$E$12</f>
        <v>72</v>
      </c>
      <c r="BY99" s="197">
        <f t="shared" si="273"/>
        <v>0</v>
      </c>
      <c r="BZ99" s="197">
        <f>'Margins summary'!$Q$14</f>
        <v>175.95</v>
      </c>
      <c r="CA99" s="197">
        <f t="shared" si="247"/>
        <v>175.95</v>
      </c>
      <c r="CB99" s="197"/>
      <c r="CC99" s="918">
        <f>'Energy NPV'!U24</f>
        <v>0</v>
      </c>
      <c r="CD99" s="197"/>
      <c r="CE99" s="197">
        <f t="shared" si="248"/>
        <v>0</v>
      </c>
      <c r="CF99" s="197">
        <f t="shared" si="219"/>
        <v>0</v>
      </c>
      <c r="CG99" s="197">
        <f t="shared" si="220"/>
        <v>175.95</v>
      </c>
      <c r="CH99" s="196">
        <f t="shared" si="249"/>
        <v>0</v>
      </c>
      <c r="CI99" s="197">
        <f t="shared" si="250"/>
        <v>114.29376490855698</v>
      </c>
      <c r="CJ99" s="197">
        <f t="shared" si="251"/>
        <v>0</v>
      </c>
      <c r="CK99" s="197">
        <f t="shared" si="252"/>
        <v>0</v>
      </c>
      <c r="CL99" s="199">
        <f t="shared" si="253"/>
        <v>114.29376490855698</v>
      </c>
      <c r="CM99" s="196">
        <f t="shared" si="274"/>
        <v>10289.79771831313</v>
      </c>
      <c r="CN99" s="197">
        <f t="shared" si="254"/>
        <v>1717.3558772860742</v>
      </c>
      <c r="CO99" s="197">
        <f t="shared" si="254"/>
        <v>4620.5685276011372</v>
      </c>
      <c r="CP99" s="197">
        <f t="shared" si="254"/>
        <v>5669.2291907119925</v>
      </c>
      <c r="CQ99" s="199">
        <f t="shared" si="254"/>
        <v>7386.5850679980658</v>
      </c>
      <c r="CR99" s="197"/>
      <c r="CT99" s="204">
        <f t="shared" si="275"/>
        <v>12</v>
      </c>
      <c r="CU99" s="759">
        <f>'Energy NPV'!$D24*$CV$84</f>
        <v>0</v>
      </c>
      <c r="CV99" s="197">
        <f>'Energy margins'!$E$12</f>
        <v>72</v>
      </c>
      <c r="CW99" s="197">
        <f t="shared" si="276"/>
        <v>0</v>
      </c>
      <c r="CX99" s="197">
        <f>'Margins summary'!$Q$14</f>
        <v>175.95</v>
      </c>
      <c r="CY99" s="197">
        <f t="shared" si="255"/>
        <v>175.95</v>
      </c>
      <c r="CZ99" s="197"/>
      <c r="DA99" s="918">
        <f>'Energy NPV'!U24</f>
        <v>0</v>
      </c>
      <c r="DB99" s="197"/>
      <c r="DC99" s="197">
        <f t="shared" si="256"/>
        <v>0</v>
      </c>
      <c r="DD99" s="197">
        <f t="shared" si="221"/>
        <v>0</v>
      </c>
      <c r="DE99" s="197">
        <f t="shared" si="222"/>
        <v>175.95</v>
      </c>
      <c r="DF99" s="196">
        <f t="shared" si="257"/>
        <v>0</v>
      </c>
      <c r="DG99" s="197">
        <f t="shared" si="258"/>
        <v>114.29376490855698</v>
      </c>
      <c r="DH99" s="197">
        <f t="shared" si="259"/>
        <v>0</v>
      </c>
      <c r="DI99" s="197">
        <f t="shared" si="260"/>
        <v>0</v>
      </c>
      <c r="DJ99" s="199">
        <f t="shared" si="261"/>
        <v>114.29376490855698</v>
      </c>
      <c r="DK99" s="196">
        <f t="shared" si="277"/>
        <v>0</v>
      </c>
      <c r="DL99" s="197">
        <f t="shared" si="262"/>
        <v>1717.3558772860742</v>
      </c>
      <c r="DM99" s="197">
        <f t="shared" si="262"/>
        <v>4620.5685276011372</v>
      </c>
      <c r="DN99" s="197">
        <f t="shared" si="262"/>
        <v>-4620.5685276011372</v>
      </c>
      <c r="DO99" s="199">
        <f t="shared" si="262"/>
        <v>-2903.2126503150635</v>
      </c>
    </row>
    <row r="100" spans="2:119" x14ac:dyDescent="0.3">
      <c r="B100" s="204">
        <f t="shared" si="263"/>
        <v>13</v>
      </c>
      <c r="C100" s="759">
        <f>'Energy NPV'!$D25*$E$84</f>
        <v>30</v>
      </c>
      <c r="D100" s="197">
        <f>'Energy margins'!$E$12</f>
        <v>72</v>
      </c>
      <c r="E100" s="197">
        <f t="shared" si="264"/>
        <v>2160</v>
      </c>
      <c r="F100" s="197">
        <f>'Margins summary'!$Q$14</f>
        <v>175.95</v>
      </c>
      <c r="G100" s="197">
        <f t="shared" si="223"/>
        <v>2335.9499999999998</v>
      </c>
      <c r="H100" s="197"/>
      <c r="I100" s="918">
        <f>'Energy NPV'!U25</f>
        <v>659.29678399999989</v>
      </c>
      <c r="J100" s="197"/>
      <c r="K100" s="197">
        <f t="shared" si="224"/>
        <v>659.29678399999989</v>
      </c>
      <c r="L100" s="197">
        <f t="shared" si="213"/>
        <v>1500.7032160000001</v>
      </c>
      <c r="M100" s="197">
        <f t="shared" si="214"/>
        <v>1676.6532159999999</v>
      </c>
      <c r="N100" s="196">
        <f t="shared" si="225"/>
        <v>1349.1296270929406</v>
      </c>
      <c r="O100" s="197">
        <f t="shared" si="226"/>
        <v>109.89785087361246</v>
      </c>
      <c r="P100" s="197">
        <f t="shared" si="227"/>
        <v>411.79482608402543</v>
      </c>
      <c r="Q100" s="197">
        <f t="shared" si="228"/>
        <v>937.33480100891529</v>
      </c>
      <c r="R100" s="199">
        <f t="shared" si="229"/>
        <v>1047.2326518825275</v>
      </c>
      <c r="S100" s="196">
        <f t="shared" si="265"/>
        <v>6494.0284862495055</v>
      </c>
      <c r="T100" s="197">
        <f t="shared" si="230"/>
        <v>1827.2537281596867</v>
      </c>
      <c r="U100" s="197">
        <f t="shared" si="230"/>
        <v>5032.363353685163</v>
      </c>
      <c r="V100" s="197">
        <f t="shared" si="230"/>
        <v>1461.6651325643431</v>
      </c>
      <c r="W100" s="199">
        <f t="shared" si="230"/>
        <v>3288.9188607240285</v>
      </c>
      <c r="X100" s="197"/>
      <c r="Z100" s="204">
        <f t="shared" si="266"/>
        <v>13</v>
      </c>
      <c r="AA100" s="759">
        <f>'Energy NPV'!$D25*$AB$84</f>
        <v>45</v>
      </c>
      <c r="AB100" s="197">
        <f>'Energy margins'!$E$12</f>
        <v>72</v>
      </c>
      <c r="AC100" s="197">
        <f t="shared" si="267"/>
        <v>3240</v>
      </c>
      <c r="AD100" s="197">
        <f>'Margins summary'!$Q$14</f>
        <v>175.95</v>
      </c>
      <c r="AE100" s="197">
        <f t="shared" si="231"/>
        <v>3415.95</v>
      </c>
      <c r="AF100" s="197"/>
      <c r="AG100" s="918">
        <f>'Energy NPV'!U25</f>
        <v>659.29678399999989</v>
      </c>
      <c r="AH100" s="197"/>
      <c r="AI100" s="197">
        <f t="shared" si="232"/>
        <v>659.29678399999989</v>
      </c>
      <c r="AJ100" s="197">
        <f t="shared" si="215"/>
        <v>2580.7032159999999</v>
      </c>
      <c r="AK100" s="197">
        <f t="shared" si="216"/>
        <v>2756.6532159999997</v>
      </c>
      <c r="AL100" s="196">
        <f t="shared" si="233"/>
        <v>2023.6944406394111</v>
      </c>
      <c r="AM100" s="197">
        <f t="shared" si="234"/>
        <v>109.89785087361246</v>
      </c>
      <c r="AN100" s="197">
        <f t="shared" si="235"/>
        <v>411.79482608402543</v>
      </c>
      <c r="AO100" s="197">
        <f t="shared" si="236"/>
        <v>1611.8996145553854</v>
      </c>
      <c r="AP100" s="199">
        <f t="shared" si="237"/>
        <v>1721.7974654289978</v>
      </c>
      <c r="AQ100" s="196">
        <f t="shared" si="268"/>
        <v>9741.0427293742578</v>
      </c>
      <c r="AR100" s="197">
        <f t="shared" si="238"/>
        <v>1827.2537281596867</v>
      </c>
      <c r="AS100" s="197">
        <f t="shared" si="238"/>
        <v>5032.363353685163</v>
      </c>
      <c r="AT100" s="197">
        <f t="shared" si="238"/>
        <v>4708.6793756890947</v>
      </c>
      <c r="AU100" s="199">
        <f t="shared" si="238"/>
        <v>6535.9331038487799</v>
      </c>
      <c r="AV100" s="197"/>
      <c r="AX100" s="204">
        <f t="shared" si="269"/>
        <v>13</v>
      </c>
      <c r="AY100" s="759">
        <f>'Energy NPV'!$D25*$AZ$84</f>
        <v>15</v>
      </c>
      <c r="AZ100" s="197">
        <f>'Energy margins'!$E$12</f>
        <v>72</v>
      </c>
      <c r="BA100" s="197">
        <f t="shared" si="270"/>
        <v>1080</v>
      </c>
      <c r="BB100" s="197">
        <f>'Margins summary'!$Q$14</f>
        <v>175.95</v>
      </c>
      <c r="BC100" s="197">
        <f t="shared" si="239"/>
        <v>1255.95</v>
      </c>
      <c r="BD100" s="197"/>
      <c r="BE100" s="918">
        <f>'Energy NPV'!U25</f>
        <v>659.29678399999989</v>
      </c>
      <c r="BF100" s="197"/>
      <c r="BG100" s="197">
        <f t="shared" si="240"/>
        <v>659.29678399999989</v>
      </c>
      <c r="BH100" s="197">
        <f t="shared" si="217"/>
        <v>420.70321600000011</v>
      </c>
      <c r="BI100" s="197">
        <f t="shared" si="218"/>
        <v>596.65321600000016</v>
      </c>
      <c r="BJ100" s="196">
        <f t="shared" si="241"/>
        <v>674.5648135464703</v>
      </c>
      <c r="BK100" s="197">
        <f t="shared" si="242"/>
        <v>109.89785087361246</v>
      </c>
      <c r="BL100" s="197">
        <f t="shared" si="243"/>
        <v>411.79482608402543</v>
      </c>
      <c r="BM100" s="197">
        <f t="shared" si="244"/>
        <v>262.76998746244493</v>
      </c>
      <c r="BN100" s="199">
        <f t="shared" si="245"/>
        <v>372.6678383360574</v>
      </c>
      <c r="BO100" s="196">
        <f t="shared" si="271"/>
        <v>3247.0142431247527</v>
      </c>
      <c r="BP100" s="197">
        <f t="shared" si="246"/>
        <v>1827.2537281596867</v>
      </c>
      <c r="BQ100" s="197">
        <f t="shared" si="246"/>
        <v>5032.363353685163</v>
      </c>
      <c r="BR100" s="197">
        <f t="shared" si="246"/>
        <v>-1785.3491105604098</v>
      </c>
      <c r="BS100" s="199">
        <f t="shared" si="246"/>
        <v>41.904617599276889</v>
      </c>
      <c r="BT100" s="197"/>
      <c r="BV100" s="204">
        <f t="shared" si="272"/>
        <v>13</v>
      </c>
      <c r="BW100" s="759">
        <f>'Energy NPV'!$D25*$BX$84</f>
        <v>60</v>
      </c>
      <c r="BX100" s="197">
        <f>'Energy margins'!$E$12</f>
        <v>72</v>
      </c>
      <c r="BY100" s="197">
        <f t="shared" si="273"/>
        <v>4320</v>
      </c>
      <c r="BZ100" s="197">
        <f>'Margins summary'!$Q$14</f>
        <v>175.95</v>
      </c>
      <c r="CA100" s="197">
        <f t="shared" si="247"/>
        <v>4495.95</v>
      </c>
      <c r="CB100" s="197"/>
      <c r="CC100" s="918">
        <f>'Energy NPV'!U25</f>
        <v>659.29678399999989</v>
      </c>
      <c r="CD100" s="197"/>
      <c r="CE100" s="197">
        <f t="shared" si="248"/>
        <v>659.29678399999989</v>
      </c>
      <c r="CF100" s="197">
        <f t="shared" si="219"/>
        <v>3660.7032159999999</v>
      </c>
      <c r="CG100" s="197">
        <f t="shared" si="220"/>
        <v>3836.6532159999997</v>
      </c>
      <c r="CH100" s="196">
        <f t="shared" si="249"/>
        <v>2698.2592541858812</v>
      </c>
      <c r="CI100" s="197">
        <f t="shared" si="250"/>
        <v>109.89785087361246</v>
      </c>
      <c r="CJ100" s="197">
        <f t="shared" si="251"/>
        <v>411.79482608402543</v>
      </c>
      <c r="CK100" s="197">
        <f t="shared" si="252"/>
        <v>2286.4644281018559</v>
      </c>
      <c r="CL100" s="199">
        <f t="shared" si="253"/>
        <v>2396.3622789754681</v>
      </c>
      <c r="CM100" s="196">
        <f t="shared" si="274"/>
        <v>12988.056972499011</v>
      </c>
      <c r="CN100" s="197">
        <f t="shared" si="254"/>
        <v>1827.2537281596867</v>
      </c>
      <c r="CO100" s="197">
        <f t="shared" si="254"/>
        <v>5032.363353685163</v>
      </c>
      <c r="CP100" s="197">
        <f t="shared" si="254"/>
        <v>7955.6936188138479</v>
      </c>
      <c r="CQ100" s="199">
        <f t="shared" si="254"/>
        <v>9782.9473469735349</v>
      </c>
      <c r="CR100" s="197"/>
      <c r="CT100" s="204">
        <f t="shared" si="275"/>
        <v>13</v>
      </c>
      <c r="CU100" s="759">
        <f>'Energy NPV'!$D25*$CV$84</f>
        <v>0</v>
      </c>
      <c r="CV100" s="197">
        <f>'Energy margins'!$E$12</f>
        <v>72</v>
      </c>
      <c r="CW100" s="197">
        <f t="shared" si="276"/>
        <v>0</v>
      </c>
      <c r="CX100" s="197">
        <f>'Margins summary'!$Q$14</f>
        <v>175.95</v>
      </c>
      <c r="CY100" s="197">
        <f t="shared" si="255"/>
        <v>175.95</v>
      </c>
      <c r="CZ100" s="197"/>
      <c r="DA100" s="918">
        <f>'Energy NPV'!U25</f>
        <v>659.29678399999989</v>
      </c>
      <c r="DB100" s="197"/>
      <c r="DC100" s="197">
        <f t="shared" si="256"/>
        <v>659.29678399999989</v>
      </c>
      <c r="DD100" s="197">
        <f t="shared" si="221"/>
        <v>-659.29678399999989</v>
      </c>
      <c r="DE100" s="197">
        <f t="shared" si="222"/>
        <v>-483.3467839999999</v>
      </c>
      <c r="DF100" s="196">
        <f t="shared" si="257"/>
        <v>0</v>
      </c>
      <c r="DG100" s="197">
        <f t="shared" si="258"/>
        <v>109.89785087361246</v>
      </c>
      <c r="DH100" s="197">
        <f t="shared" si="259"/>
        <v>411.79482608402543</v>
      </c>
      <c r="DI100" s="197">
        <f t="shared" si="260"/>
        <v>-411.79482608402543</v>
      </c>
      <c r="DJ100" s="199">
        <f t="shared" si="261"/>
        <v>-301.89697521041296</v>
      </c>
      <c r="DK100" s="196">
        <f t="shared" si="277"/>
        <v>0</v>
      </c>
      <c r="DL100" s="197">
        <f t="shared" si="262"/>
        <v>1827.2537281596867</v>
      </c>
      <c r="DM100" s="197">
        <f t="shared" si="262"/>
        <v>5032.363353685163</v>
      </c>
      <c r="DN100" s="197">
        <f t="shared" si="262"/>
        <v>-5032.363353685163</v>
      </c>
      <c r="DO100" s="199">
        <f t="shared" si="262"/>
        <v>-3205.1096255254765</v>
      </c>
    </row>
    <row r="101" spans="2:119" x14ac:dyDescent="0.3">
      <c r="B101" s="204">
        <f t="shared" si="263"/>
        <v>14</v>
      </c>
      <c r="C101" s="759">
        <f>'Energy NPV'!$D26*$E$84</f>
        <v>0</v>
      </c>
      <c r="D101" s="197">
        <f>'Energy margins'!$E$12</f>
        <v>72</v>
      </c>
      <c r="E101" s="197">
        <f t="shared" si="264"/>
        <v>0</v>
      </c>
      <c r="F101" s="197">
        <f>'Margins summary'!$Q$14</f>
        <v>175.95</v>
      </c>
      <c r="G101" s="197">
        <f t="shared" si="223"/>
        <v>175.95</v>
      </c>
      <c r="H101" s="197"/>
      <c r="I101" s="918">
        <f>'Energy NPV'!U26</f>
        <v>0</v>
      </c>
      <c r="J101" s="197"/>
      <c r="K101" s="197">
        <f t="shared" si="224"/>
        <v>0</v>
      </c>
      <c r="L101" s="197">
        <f t="shared" si="213"/>
        <v>0</v>
      </c>
      <c r="M101" s="197">
        <f t="shared" si="214"/>
        <v>175.95</v>
      </c>
      <c r="N101" s="196">
        <f t="shared" si="225"/>
        <v>0</v>
      </c>
      <c r="O101" s="197">
        <f t="shared" si="226"/>
        <v>105.67101045539658</v>
      </c>
      <c r="P101" s="197">
        <f t="shared" si="227"/>
        <v>0</v>
      </c>
      <c r="Q101" s="197">
        <f t="shared" si="228"/>
        <v>0</v>
      </c>
      <c r="R101" s="199">
        <f t="shared" si="229"/>
        <v>105.67101045539658</v>
      </c>
      <c r="S101" s="196">
        <f t="shared" si="265"/>
        <v>6494.0284862495055</v>
      </c>
      <c r="T101" s="197">
        <f t="shared" si="230"/>
        <v>1932.9247386150832</v>
      </c>
      <c r="U101" s="197">
        <f t="shared" si="230"/>
        <v>5032.363353685163</v>
      </c>
      <c r="V101" s="197">
        <f t="shared" si="230"/>
        <v>1461.6651325643431</v>
      </c>
      <c r="W101" s="199">
        <f t="shared" si="230"/>
        <v>3394.5898711794252</v>
      </c>
      <c r="X101" s="197"/>
      <c r="Z101" s="204">
        <f t="shared" si="266"/>
        <v>14</v>
      </c>
      <c r="AA101" s="759">
        <f>'Energy NPV'!$D26*$AB$84</f>
        <v>0</v>
      </c>
      <c r="AB101" s="197">
        <f>'Energy margins'!$E$12</f>
        <v>72</v>
      </c>
      <c r="AC101" s="197">
        <f t="shared" si="267"/>
        <v>0</v>
      </c>
      <c r="AD101" s="197">
        <f>'Margins summary'!$Q$14</f>
        <v>175.95</v>
      </c>
      <c r="AE101" s="197">
        <f t="shared" si="231"/>
        <v>175.95</v>
      </c>
      <c r="AF101" s="197"/>
      <c r="AG101" s="918">
        <f>'Energy NPV'!U26</f>
        <v>0</v>
      </c>
      <c r="AH101" s="197"/>
      <c r="AI101" s="197">
        <f t="shared" si="232"/>
        <v>0</v>
      </c>
      <c r="AJ101" s="197">
        <f t="shared" si="215"/>
        <v>0</v>
      </c>
      <c r="AK101" s="197">
        <f t="shared" si="216"/>
        <v>175.95</v>
      </c>
      <c r="AL101" s="196">
        <f t="shared" si="233"/>
        <v>0</v>
      </c>
      <c r="AM101" s="197">
        <f t="shared" si="234"/>
        <v>105.67101045539658</v>
      </c>
      <c r="AN101" s="197">
        <f t="shared" si="235"/>
        <v>0</v>
      </c>
      <c r="AO101" s="197">
        <f t="shared" si="236"/>
        <v>0</v>
      </c>
      <c r="AP101" s="199">
        <f t="shared" si="237"/>
        <v>105.67101045539658</v>
      </c>
      <c r="AQ101" s="196">
        <f t="shared" si="268"/>
        <v>9741.0427293742578</v>
      </c>
      <c r="AR101" s="197">
        <f t="shared" si="238"/>
        <v>1932.9247386150832</v>
      </c>
      <c r="AS101" s="197">
        <f t="shared" si="238"/>
        <v>5032.363353685163</v>
      </c>
      <c r="AT101" s="197">
        <f t="shared" si="238"/>
        <v>4708.6793756890947</v>
      </c>
      <c r="AU101" s="199">
        <f t="shared" si="238"/>
        <v>6641.6041143041766</v>
      </c>
      <c r="AV101" s="197"/>
      <c r="AX101" s="204">
        <f t="shared" si="269"/>
        <v>14</v>
      </c>
      <c r="AY101" s="759">
        <f>'Energy NPV'!$D26*$AZ$84</f>
        <v>0</v>
      </c>
      <c r="AZ101" s="197">
        <f>'Energy margins'!$E$12</f>
        <v>72</v>
      </c>
      <c r="BA101" s="197">
        <f t="shared" si="270"/>
        <v>0</v>
      </c>
      <c r="BB101" s="197">
        <f>'Margins summary'!$Q$14</f>
        <v>175.95</v>
      </c>
      <c r="BC101" s="197">
        <f t="shared" si="239"/>
        <v>175.95</v>
      </c>
      <c r="BD101" s="197"/>
      <c r="BE101" s="918">
        <f>'Energy NPV'!U26</f>
        <v>0</v>
      </c>
      <c r="BF101" s="197"/>
      <c r="BG101" s="197">
        <f t="shared" si="240"/>
        <v>0</v>
      </c>
      <c r="BH101" s="197">
        <f t="shared" si="217"/>
        <v>0</v>
      </c>
      <c r="BI101" s="197">
        <f t="shared" si="218"/>
        <v>175.95</v>
      </c>
      <c r="BJ101" s="196">
        <f t="shared" si="241"/>
        <v>0</v>
      </c>
      <c r="BK101" s="197">
        <f t="shared" si="242"/>
        <v>105.67101045539658</v>
      </c>
      <c r="BL101" s="197">
        <f t="shared" si="243"/>
        <v>0</v>
      </c>
      <c r="BM101" s="197">
        <f t="shared" si="244"/>
        <v>0</v>
      </c>
      <c r="BN101" s="199">
        <f t="shared" si="245"/>
        <v>105.67101045539658</v>
      </c>
      <c r="BO101" s="196">
        <f t="shared" si="271"/>
        <v>3247.0142431247527</v>
      </c>
      <c r="BP101" s="197">
        <f t="shared" si="246"/>
        <v>1932.9247386150832</v>
      </c>
      <c r="BQ101" s="197">
        <f t="shared" si="246"/>
        <v>5032.363353685163</v>
      </c>
      <c r="BR101" s="197">
        <f t="shared" si="246"/>
        <v>-1785.3491105604098</v>
      </c>
      <c r="BS101" s="199">
        <f t="shared" si="246"/>
        <v>147.57562805467347</v>
      </c>
      <c r="BT101" s="197"/>
      <c r="BV101" s="204">
        <f t="shared" si="272"/>
        <v>14</v>
      </c>
      <c r="BW101" s="759">
        <f>'Energy NPV'!$D26*$BX$84</f>
        <v>0</v>
      </c>
      <c r="BX101" s="197">
        <f>'Energy margins'!$E$12</f>
        <v>72</v>
      </c>
      <c r="BY101" s="197">
        <f t="shared" si="273"/>
        <v>0</v>
      </c>
      <c r="BZ101" s="197">
        <f>'Margins summary'!$Q$14</f>
        <v>175.95</v>
      </c>
      <c r="CA101" s="197">
        <f t="shared" si="247"/>
        <v>175.95</v>
      </c>
      <c r="CB101" s="197"/>
      <c r="CC101" s="918">
        <f>'Energy NPV'!U26</f>
        <v>0</v>
      </c>
      <c r="CD101" s="197"/>
      <c r="CE101" s="197">
        <f t="shared" si="248"/>
        <v>0</v>
      </c>
      <c r="CF101" s="197">
        <f t="shared" si="219"/>
        <v>0</v>
      </c>
      <c r="CG101" s="197">
        <f t="shared" si="220"/>
        <v>175.95</v>
      </c>
      <c r="CH101" s="196">
        <f t="shared" si="249"/>
        <v>0</v>
      </c>
      <c r="CI101" s="197">
        <f t="shared" si="250"/>
        <v>105.67101045539658</v>
      </c>
      <c r="CJ101" s="197">
        <f t="shared" si="251"/>
        <v>0</v>
      </c>
      <c r="CK101" s="197">
        <f t="shared" si="252"/>
        <v>0</v>
      </c>
      <c r="CL101" s="199">
        <f t="shared" si="253"/>
        <v>105.67101045539658</v>
      </c>
      <c r="CM101" s="196">
        <f t="shared" si="274"/>
        <v>12988.056972499011</v>
      </c>
      <c r="CN101" s="197">
        <f t="shared" si="254"/>
        <v>1932.9247386150832</v>
      </c>
      <c r="CO101" s="197">
        <f t="shared" si="254"/>
        <v>5032.363353685163</v>
      </c>
      <c r="CP101" s="197">
        <f t="shared" si="254"/>
        <v>7955.6936188138479</v>
      </c>
      <c r="CQ101" s="199">
        <f t="shared" si="254"/>
        <v>9888.6183574289316</v>
      </c>
      <c r="CR101" s="197"/>
      <c r="CT101" s="204">
        <f t="shared" si="275"/>
        <v>14</v>
      </c>
      <c r="CU101" s="759">
        <f>'Energy NPV'!$D26*$CV$84</f>
        <v>0</v>
      </c>
      <c r="CV101" s="197">
        <f>'Energy margins'!$E$12</f>
        <v>72</v>
      </c>
      <c r="CW101" s="197">
        <f t="shared" si="276"/>
        <v>0</v>
      </c>
      <c r="CX101" s="197">
        <f>'Margins summary'!$Q$14</f>
        <v>175.95</v>
      </c>
      <c r="CY101" s="197">
        <f t="shared" si="255"/>
        <v>175.95</v>
      </c>
      <c r="CZ101" s="197"/>
      <c r="DA101" s="918">
        <f>'Energy NPV'!U26</f>
        <v>0</v>
      </c>
      <c r="DB101" s="197"/>
      <c r="DC101" s="197">
        <f t="shared" si="256"/>
        <v>0</v>
      </c>
      <c r="DD101" s="197">
        <f t="shared" si="221"/>
        <v>0</v>
      </c>
      <c r="DE101" s="197">
        <f t="shared" si="222"/>
        <v>175.95</v>
      </c>
      <c r="DF101" s="196">
        <f t="shared" si="257"/>
        <v>0</v>
      </c>
      <c r="DG101" s="197">
        <f t="shared" si="258"/>
        <v>105.67101045539658</v>
      </c>
      <c r="DH101" s="197">
        <f t="shared" si="259"/>
        <v>0</v>
      </c>
      <c r="DI101" s="197">
        <f t="shared" si="260"/>
        <v>0</v>
      </c>
      <c r="DJ101" s="199">
        <f t="shared" si="261"/>
        <v>105.67101045539658</v>
      </c>
      <c r="DK101" s="196">
        <f t="shared" si="277"/>
        <v>0</v>
      </c>
      <c r="DL101" s="197">
        <f t="shared" si="262"/>
        <v>1932.9247386150832</v>
      </c>
      <c r="DM101" s="197">
        <f t="shared" si="262"/>
        <v>5032.363353685163</v>
      </c>
      <c r="DN101" s="197">
        <f t="shared" si="262"/>
        <v>-5032.363353685163</v>
      </c>
      <c r="DO101" s="199">
        <f t="shared" si="262"/>
        <v>-3099.4386150700798</v>
      </c>
    </row>
    <row r="102" spans="2:119" x14ac:dyDescent="0.3">
      <c r="B102" s="204">
        <f t="shared" si="263"/>
        <v>15</v>
      </c>
      <c r="C102" s="759">
        <f>'Energy NPV'!$D27*$E$84</f>
        <v>0</v>
      </c>
      <c r="D102" s="197">
        <f>'Energy margins'!$E$12</f>
        <v>72</v>
      </c>
      <c r="E102" s="197">
        <f t="shared" si="264"/>
        <v>0</v>
      </c>
      <c r="F102" s="197">
        <f>'Margins summary'!$Q$14</f>
        <v>175.95</v>
      </c>
      <c r="G102" s="197">
        <f t="shared" si="223"/>
        <v>175.95</v>
      </c>
      <c r="H102" s="197"/>
      <c r="I102" s="918">
        <f>'Energy NPV'!U27</f>
        <v>0</v>
      </c>
      <c r="J102" s="197"/>
      <c r="K102" s="197">
        <f t="shared" si="224"/>
        <v>0</v>
      </c>
      <c r="L102" s="197">
        <f t="shared" si="213"/>
        <v>0</v>
      </c>
      <c r="M102" s="197">
        <f t="shared" si="214"/>
        <v>175.95</v>
      </c>
      <c r="N102" s="196">
        <f t="shared" si="225"/>
        <v>0</v>
      </c>
      <c r="O102" s="197">
        <f t="shared" si="226"/>
        <v>101.60674082249672</v>
      </c>
      <c r="P102" s="197">
        <f t="shared" si="227"/>
        <v>0</v>
      </c>
      <c r="Q102" s="197">
        <f t="shared" si="228"/>
        <v>0</v>
      </c>
      <c r="R102" s="199">
        <f t="shared" si="229"/>
        <v>101.60674082249672</v>
      </c>
      <c r="S102" s="196">
        <f t="shared" si="265"/>
        <v>6494.0284862495055</v>
      </c>
      <c r="T102" s="197">
        <f t="shared" si="230"/>
        <v>2034.5314794375799</v>
      </c>
      <c r="U102" s="197">
        <f t="shared" si="230"/>
        <v>5032.363353685163</v>
      </c>
      <c r="V102" s="197">
        <f t="shared" si="230"/>
        <v>1461.6651325643431</v>
      </c>
      <c r="W102" s="199">
        <f t="shared" si="230"/>
        <v>3496.1966120019219</v>
      </c>
      <c r="X102" s="197"/>
      <c r="Z102" s="204">
        <f t="shared" si="266"/>
        <v>15</v>
      </c>
      <c r="AA102" s="759">
        <f>'Energy NPV'!$D27*$AB$84</f>
        <v>0</v>
      </c>
      <c r="AB102" s="197">
        <f>'Energy margins'!$E$12</f>
        <v>72</v>
      </c>
      <c r="AC102" s="197">
        <f t="shared" si="267"/>
        <v>0</v>
      </c>
      <c r="AD102" s="197">
        <f>'Margins summary'!$Q$14</f>
        <v>175.95</v>
      </c>
      <c r="AE102" s="197">
        <f t="shared" si="231"/>
        <v>175.95</v>
      </c>
      <c r="AF102" s="197"/>
      <c r="AG102" s="918">
        <f>'Energy NPV'!U27</f>
        <v>0</v>
      </c>
      <c r="AH102" s="197"/>
      <c r="AI102" s="197">
        <f t="shared" si="232"/>
        <v>0</v>
      </c>
      <c r="AJ102" s="197">
        <f t="shared" si="215"/>
        <v>0</v>
      </c>
      <c r="AK102" s="197">
        <f t="shared" si="216"/>
        <v>175.95</v>
      </c>
      <c r="AL102" s="196">
        <f t="shared" si="233"/>
        <v>0</v>
      </c>
      <c r="AM102" s="197">
        <f t="shared" si="234"/>
        <v>101.60674082249672</v>
      </c>
      <c r="AN102" s="197">
        <f t="shared" si="235"/>
        <v>0</v>
      </c>
      <c r="AO102" s="197">
        <f t="shared" si="236"/>
        <v>0</v>
      </c>
      <c r="AP102" s="199">
        <f t="shared" si="237"/>
        <v>101.60674082249672</v>
      </c>
      <c r="AQ102" s="196">
        <f t="shared" si="268"/>
        <v>9741.0427293742578</v>
      </c>
      <c r="AR102" s="197">
        <f t="shared" si="238"/>
        <v>2034.5314794375799</v>
      </c>
      <c r="AS102" s="197">
        <f t="shared" si="238"/>
        <v>5032.363353685163</v>
      </c>
      <c r="AT102" s="197">
        <f t="shared" si="238"/>
        <v>4708.6793756890947</v>
      </c>
      <c r="AU102" s="199">
        <f t="shared" si="238"/>
        <v>6743.2108551266738</v>
      </c>
      <c r="AV102" s="197"/>
      <c r="AX102" s="204">
        <f t="shared" si="269"/>
        <v>15</v>
      </c>
      <c r="AY102" s="759">
        <f>'Energy NPV'!$D27*$AZ$84</f>
        <v>0</v>
      </c>
      <c r="AZ102" s="197">
        <f>'Energy margins'!$E$12</f>
        <v>72</v>
      </c>
      <c r="BA102" s="197">
        <f t="shared" si="270"/>
        <v>0</v>
      </c>
      <c r="BB102" s="197">
        <f>'Margins summary'!$Q$14</f>
        <v>175.95</v>
      </c>
      <c r="BC102" s="197">
        <f t="shared" si="239"/>
        <v>175.95</v>
      </c>
      <c r="BD102" s="197"/>
      <c r="BE102" s="918">
        <f>'Energy NPV'!U27</f>
        <v>0</v>
      </c>
      <c r="BF102" s="197"/>
      <c r="BG102" s="197">
        <f t="shared" si="240"/>
        <v>0</v>
      </c>
      <c r="BH102" s="197">
        <f t="shared" si="217"/>
        <v>0</v>
      </c>
      <c r="BI102" s="197">
        <f t="shared" si="218"/>
        <v>175.95</v>
      </c>
      <c r="BJ102" s="196">
        <f t="shared" si="241"/>
        <v>0</v>
      </c>
      <c r="BK102" s="197">
        <f t="shared" si="242"/>
        <v>101.60674082249672</v>
      </c>
      <c r="BL102" s="197">
        <f t="shared" si="243"/>
        <v>0</v>
      </c>
      <c r="BM102" s="197">
        <f t="shared" si="244"/>
        <v>0</v>
      </c>
      <c r="BN102" s="199">
        <f t="shared" si="245"/>
        <v>101.60674082249672</v>
      </c>
      <c r="BO102" s="196">
        <f t="shared" si="271"/>
        <v>3247.0142431247527</v>
      </c>
      <c r="BP102" s="197">
        <f t="shared" si="246"/>
        <v>2034.5314794375799</v>
      </c>
      <c r="BQ102" s="197">
        <f t="shared" si="246"/>
        <v>5032.363353685163</v>
      </c>
      <c r="BR102" s="197">
        <f t="shared" si="246"/>
        <v>-1785.3491105604098</v>
      </c>
      <c r="BS102" s="199">
        <f t="shared" si="246"/>
        <v>249.18236887717018</v>
      </c>
      <c r="BT102" s="197"/>
      <c r="BV102" s="204">
        <f t="shared" si="272"/>
        <v>15</v>
      </c>
      <c r="BW102" s="759">
        <f>'Energy NPV'!$D27*$BX$84</f>
        <v>0</v>
      </c>
      <c r="BX102" s="197">
        <f>'Energy margins'!$E$12</f>
        <v>72</v>
      </c>
      <c r="BY102" s="197">
        <f t="shared" si="273"/>
        <v>0</v>
      </c>
      <c r="BZ102" s="197">
        <f>'Margins summary'!$Q$14</f>
        <v>175.95</v>
      </c>
      <c r="CA102" s="197">
        <f t="shared" si="247"/>
        <v>175.95</v>
      </c>
      <c r="CB102" s="197"/>
      <c r="CC102" s="918">
        <f>'Energy NPV'!U27</f>
        <v>0</v>
      </c>
      <c r="CD102" s="197"/>
      <c r="CE102" s="197">
        <f t="shared" si="248"/>
        <v>0</v>
      </c>
      <c r="CF102" s="197">
        <f t="shared" si="219"/>
        <v>0</v>
      </c>
      <c r="CG102" s="197">
        <f t="shared" si="220"/>
        <v>175.95</v>
      </c>
      <c r="CH102" s="196">
        <f t="shared" si="249"/>
        <v>0</v>
      </c>
      <c r="CI102" s="197">
        <f t="shared" si="250"/>
        <v>101.60674082249672</v>
      </c>
      <c r="CJ102" s="197">
        <f t="shared" si="251"/>
        <v>0</v>
      </c>
      <c r="CK102" s="197">
        <f t="shared" si="252"/>
        <v>0</v>
      </c>
      <c r="CL102" s="199">
        <f t="shared" si="253"/>
        <v>101.60674082249672</v>
      </c>
      <c r="CM102" s="196">
        <f t="shared" si="274"/>
        <v>12988.056972499011</v>
      </c>
      <c r="CN102" s="197">
        <f t="shared" si="254"/>
        <v>2034.5314794375799</v>
      </c>
      <c r="CO102" s="197">
        <f t="shared" si="254"/>
        <v>5032.363353685163</v>
      </c>
      <c r="CP102" s="197">
        <f t="shared" si="254"/>
        <v>7955.6936188138479</v>
      </c>
      <c r="CQ102" s="199">
        <f t="shared" si="254"/>
        <v>9990.2250982514288</v>
      </c>
      <c r="CR102" s="197"/>
      <c r="CT102" s="204">
        <f t="shared" si="275"/>
        <v>15</v>
      </c>
      <c r="CU102" s="759">
        <f>'Energy NPV'!$D27*$CV$84</f>
        <v>0</v>
      </c>
      <c r="CV102" s="197">
        <f>'Energy margins'!$E$12</f>
        <v>72</v>
      </c>
      <c r="CW102" s="197">
        <f t="shared" si="276"/>
        <v>0</v>
      </c>
      <c r="CX102" s="197">
        <f>'Margins summary'!$Q$14</f>
        <v>175.95</v>
      </c>
      <c r="CY102" s="197">
        <f t="shared" si="255"/>
        <v>175.95</v>
      </c>
      <c r="CZ102" s="197"/>
      <c r="DA102" s="918">
        <f>'Energy NPV'!U27</f>
        <v>0</v>
      </c>
      <c r="DB102" s="197"/>
      <c r="DC102" s="197">
        <f t="shared" si="256"/>
        <v>0</v>
      </c>
      <c r="DD102" s="197">
        <f t="shared" si="221"/>
        <v>0</v>
      </c>
      <c r="DE102" s="197">
        <f t="shared" si="222"/>
        <v>175.95</v>
      </c>
      <c r="DF102" s="196">
        <f t="shared" si="257"/>
        <v>0</v>
      </c>
      <c r="DG102" s="197">
        <f t="shared" si="258"/>
        <v>101.60674082249672</v>
      </c>
      <c r="DH102" s="197">
        <f t="shared" si="259"/>
        <v>0</v>
      </c>
      <c r="DI102" s="197">
        <f t="shared" si="260"/>
        <v>0</v>
      </c>
      <c r="DJ102" s="199">
        <f t="shared" si="261"/>
        <v>101.60674082249672</v>
      </c>
      <c r="DK102" s="196">
        <f t="shared" si="277"/>
        <v>0</v>
      </c>
      <c r="DL102" s="197">
        <f t="shared" si="262"/>
        <v>2034.5314794375799</v>
      </c>
      <c r="DM102" s="197">
        <f t="shared" si="262"/>
        <v>5032.363353685163</v>
      </c>
      <c r="DN102" s="197">
        <f t="shared" si="262"/>
        <v>-5032.363353685163</v>
      </c>
      <c r="DO102" s="199">
        <f t="shared" si="262"/>
        <v>-2997.8318742475831</v>
      </c>
    </row>
    <row r="103" spans="2:119" x14ac:dyDescent="0.3">
      <c r="B103" s="206">
        <f t="shared" si="263"/>
        <v>16</v>
      </c>
      <c r="C103" s="215">
        <f>'Energy NPV'!$D28*$E$84</f>
        <v>30</v>
      </c>
      <c r="D103" s="207">
        <f>'Energy margins'!$E$12</f>
        <v>72</v>
      </c>
      <c r="E103" s="207">
        <f t="shared" si="264"/>
        <v>2160</v>
      </c>
      <c r="F103" s="207">
        <f>'Margins summary'!$Q$14</f>
        <v>175.95</v>
      </c>
      <c r="G103" s="207">
        <f t="shared" si="223"/>
        <v>2335.9499999999998</v>
      </c>
      <c r="H103" s="207"/>
      <c r="I103" s="919">
        <f>'Energy NPV'!U28</f>
        <v>659.29678399999989</v>
      </c>
      <c r="J103" s="207">
        <f>'Energy margins'!$J$67</f>
        <v>192.1</v>
      </c>
      <c r="K103" s="207">
        <f t="shared" si="224"/>
        <v>851.39678399999991</v>
      </c>
      <c r="L103" s="207">
        <f t="shared" si="213"/>
        <v>1308.603216</v>
      </c>
      <c r="M103" s="207">
        <f t="shared" si="214"/>
        <v>1484.5532159999998</v>
      </c>
      <c r="N103" s="208">
        <f t="shared" si="225"/>
        <v>1199.3713258606736</v>
      </c>
      <c r="O103" s="207">
        <f t="shared" si="226"/>
        <v>97.698789252400701</v>
      </c>
      <c r="P103" s="207">
        <f t="shared" si="227"/>
        <v>472.7504118794414</v>
      </c>
      <c r="Q103" s="207">
        <f t="shared" si="228"/>
        <v>726.62091398123209</v>
      </c>
      <c r="R103" s="209">
        <f t="shared" si="229"/>
        <v>824.31970323363271</v>
      </c>
      <c r="S103" s="208">
        <f t="shared" si="265"/>
        <v>7693.3998121101795</v>
      </c>
      <c r="T103" s="207">
        <f t="shared" si="230"/>
        <v>2132.2302686899807</v>
      </c>
      <c r="U103" s="207">
        <f t="shared" si="230"/>
        <v>5505.1137655646044</v>
      </c>
      <c r="V103" s="207">
        <f t="shared" si="230"/>
        <v>2188.2860465455751</v>
      </c>
      <c r="W103" s="209">
        <f t="shared" si="230"/>
        <v>4320.5163152355544</v>
      </c>
      <c r="X103" s="197"/>
      <c r="Z103" s="206">
        <f t="shared" si="266"/>
        <v>16</v>
      </c>
      <c r="AA103" s="215">
        <f>'Energy NPV'!$D28*$AB$84</f>
        <v>45</v>
      </c>
      <c r="AB103" s="207">
        <f>'Energy margins'!$E$12</f>
        <v>72</v>
      </c>
      <c r="AC103" s="207">
        <f t="shared" si="267"/>
        <v>3240</v>
      </c>
      <c r="AD103" s="207">
        <f>'Margins summary'!$Q$14</f>
        <v>175.95</v>
      </c>
      <c r="AE103" s="207">
        <f t="shared" si="231"/>
        <v>3415.95</v>
      </c>
      <c r="AF103" s="207"/>
      <c r="AG103" s="919">
        <f>'Energy NPV'!U28</f>
        <v>659.29678399999989</v>
      </c>
      <c r="AH103" s="207">
        <f>'Energy margins'!$J$67</f>
        <v>192.1</v>
      </c>
      <c r="AI103" s="207">
        <f t="shared" si="232"/>
        <v>851.39678399999991</v>
      </c>
      <c r="AJ103" s="207">
        <f t="shared" si="215"/>
        <v>2388.603216</v>
      </c>
      <c r="AK103" s="207">
        <f t="shared" si="216"/>
        <v>2564.5532159999998</v>
      </c>
      <c r="AL103" s="208">
        <f t="shared" si="233"/>
        <v>1799.0569887910103</v>
      </c>
      <c r="AM103" s="207">
        <f t="shared" si="234"/>
        <v>97.698789252400701</v>
      </c>
      <c r="AN103" s="207">
        <f t="shared" si="235"/>
        <v>472.7504118794414</v>
      </c>
      <c r="AO103" s="207">
        <f t="shared" si="236"/>
        <v>1326.306576911569</v>
      </c>
      <c r="AP103" s="209">
        <f t="shared" si="237"/>
        <v>1424.0053661639695</v>
      </c>
      <c r="AQ103" s="208">
        <f>AQ102+AL103</f>
        <v>11540.099718165267</v>
      </c>
      <c r="AR103" s="207">
        <f t="shared" si="238"/>
        <v>2132.2302686899807</v>
      </c>
      <c r="AS103" s="207">
        <f t="shared" si="238"/>
        <v>5505.1137655646044</v>
      </c>
      <c r="AT103" s="207">
        <f t="shared" si="238"/>
        <v>6034.9859526006639</v>
      </c>
      <c r="AU103" s="209">
        <f t="shared" si="238"/>
        <v>8167.2162212906433</v>
      </c>
      <c r="AV103" s="197"/>
      <c r="AX103" s="206">
        <f t="shared" si="269"/>
        <v>16</v>
      </c>
      <c r="AY103" s="215">
        <f>'Energy NPV'!$D28*$AZ$84</f>
        <v>15</v>
      </c>
      <c r="AZ103" s="207">
        <f>'Energy margins'!$E$12</f>
        <v>72</v>
      </c>
      <c r="BA103" s="207">
        <f t="shared" si="270"/>
        <v>1080</v>
      </c>
      <c r="BB103" s="207">
        <f>'Margins summary'!$Q$14</f>
        <v>175.95</v>
      </c>
      <c r="BC103" s="207">
        <f t="shared" si="239"/>
        <v>1255.95</v>
      </c>
      <c r="BD103" s="207"/>
      <c r="BE103" s="919">
        <f>'Energy NPV'!U28</f>
        <v>659.29678399999989</v>
      </c>
      <c r="BF103" s="207">
        <f>'Energy margins'!$J$67</f>
        <v>192.1</v>
      </c>
      <c r="BG103" s="207">
        <f t="shared" si="240"/>
        <v>851.39678399999991</v>
      </c>
      <c r="BH103" s="207">
        <f t="shared" si="217"/>
        <v>228.60321600000009</v>
      </c>
      <c r="BI103" s="207">
        <f t="shared" si="218"/>
        <v>404.55321600000013</v>
      </c>
      <c r="BJ103" s="208">
        <f t="shared" si="241"/>
        <v>599.68566293033678</v>
      </c>
      <c r="BK103" s="207">
        <f t="shared" si="242"/>
        <v>97.698789252400701</v>
      </c>
      <c r="BL103" s="207">
        <f t="shared" si="243"/>
        <v>472.7504118794414</v>
      </c>
      <c r="BM103" s="207">
        <f t="shared" si="244"/>
        <v>126.93525105089539</v>
      </c>
      <c r="BN103" s="209">
        <f t="shared" si="245"/>
        <v>224.63404030329613</v>
      </c>
      <c r="BO103" s="208">
        <f t="shared" si="271"/>
        <v>3846.6999060550897</v>
      </c>
      <c r="BP103" s="207">
        <f t="shared" si="246"/>
        <v>2132.2302686899807</v>
      </c>
      <c r="BQ103" s="207">
        <f t="shared" si="246"/>
        <v>5505.1137655646044</v>
      </c>
      <c r="BR103" s="207">
        <f t="shared" si="246"/>
        <v>-1658.4138595095144</v>
      </c>
      <c r="BS103" s="209">
        <f t="shared" si="246"/>
        <v>473.81640918046628</v>
      </c>
      <c r="BT103" s="197"/>
      <c r="BV103" s="206">
        <f t="shared" si="272"/>
        <v>16</v>
      </c>
      <c r="BW103" s="215">
        <f>'Energy NPV'!$D28*$BX$84</f>
        <v>60</v>
      </c>
      <c r="BX103" s="207">
        <f>'Energy margins'!$E$12</f>
        <v>72</v>
      </c>
      <c r="BY103" s="207">
        <f t="shared" si="273"/>
        <v>4320</v>
      </c>
      <c r="BZ103" s="207">
        <f>'Margins summary'!$Q$14</f>
        <v>175.95</v>
      </c>
      <c r="CA103" s="207">
        <f t="shared" si="247"/>
        <v>4495.95</v>
      </c>
      <c r="CB103" s="207"/>
      <c r="CC103" s="919">
        <f>'Energy NPV'!U28</f>
        <v>659.29678399999989</v>
      </c>
      <c r="CD103" s="207">
        <f>'Energy margins'!$J$67</f>
        <v>192.1</v>
      </c>
      <c r="CE103" s="207">
        <f t="shared" si="248"/>
        <v>851.39678399999991</v>
      </c>
      <c r="CF103" s="207">
        <f t="shared" si="219"/>
        <v>3468.603216</v>
      </c>
      <c r="CG103" s="207">
        <f t="shared" si="220"/>
        <v>3644.5532159999998</v>
      </c>
      <c r="CH103" s="208">
        <f t="shared" si="249"/>
        <v>2398.7426517213471</v>
      </c>
      <c r="CI103" s="207">
        <f t="shared" si="250"/>
        <v>97.698789252400701</v>
      </c>
      <c r="CJ103" s="207">
        <f t="shared" si="251"/>
        <v>472.7504118794414</v>
      </c>
      <c r="CK103" s="207">
        <f t="shared" si="252"/>
        <v>1925.9922398419058</v>
      </c>
      <c r="CL103" s="209">
        <f t="shared" si="253"/>
        <v>2023.6910290943063</v>
      </c>
      <c r="CM103" s="208">
        <f t="shared" si="274"/>
        <v>15386.799624220359</v>
      </c>
      <c r="CN103" s="207">
        <f t="shared" si="254"/>
        <v>2132.2302686899807</v>
      </c>
      <c r="CO103" s="207">
        <f t="shared" si="254"/>
        <v>5505.1137655646044</v>
      </c>
      <c r="CP103" s="207">
        <f t="shared" si="254"/>
        <v>9881.6858586557537</v>
      </c>
      <c r="CQ103" s="209">
        <f t="shared" si="254"/>
        <v>12013.916127345736</v>
      </c>
      <c r="CR103" s="197"/>
      <c r="CT103" s="206">
        <f t="shared" si="275"/>
        <v>16</v>
      </c>
      <c r="CU103" s="215">
        <f>'Energy NPV'!$D28*$CV$84</f>
        <v>0</v>
      </c>
      <c r="CV103" s="207">
        <f>'Energy margins'!$E$12</f>
        <v>72</v>
      </c>
      <c r="CW103" s="207">
        <f t="shared" si="276"/>
        <v>0</v>
      </c>
      <c r="CX103" s="207">
        <f>'Margins summary'!$Q$14</f>
        <v>175.95</v>
      </c>
      <c r="CY103" s="207">
        <f t="shared" si="255"/>
        <v>175.95</v>
      </c>
      <c r="CZ103" s="207"/>
      <c r="DA103" s="919">
        <f>'Energy NPV'!U28</f>
        <v>659.29678399999989</v>
      </c>
      <c r="DB103" s="207">
        <f>'Energy margins'!$J$67</f>
        <v>192.1</v>
      </c>
      <c r="DC103" s="207">
        <f t="shared" si="256"/>
        <v>851.39678399999991</v>
      </c>
      <c r="DD103" s="207">
        <f t="shared" si="221"/>
        <v>-851.39678399999991</v>
      </c>
      <c r="DE103" s="207">
        <f t="shared" si="222"/>
        <v>-675.44678399999998</v>
      </c>
      <c r="DF103" s="208">
        <f t="shared" si="257"/>
        <v>0</v>
      </c>
      <c r="DG103" s="207">
        <f t="shared" si="258"/>
        <v>97.698789252400701</v>
      </c>
      <c r="DH103" s="207">
        <f t="shared" si="259"/>
        <v>472.7504118794414</v>
      </c>
      <c r="DI103" s="207">
        <f t="shared" si="260"/>
        <v>-472.7504118794414</v>
      </c>
      <c r="DJ103" s="209">
        <f t="shared" si="261"/>
        <v>-375.05162262704073</v>
      </c>
      <c r="DK103" s="208">
        <f t="shared" si="277"/>
        <v>0</v>
      </c>
      <c r="DL103" s="207">
        <f t="shared" si="262"/>
        <v>2132.2302686899807</v>
      </c>
      <c r="DM103" s="207">
        <f t="shared" si="262"/>
        <v>5505.1137655646044</v>
      </c>
      <c r="DN103" s="207">
        <f t="shared" si="262"/>
        <v>-5505.1137655646044</v>
      </c>
      <c r="DO103" s="209">
        <f t="shared" si="262"/>
        <v>-3372.8834968746237</v>
      </c>
    </row>
    <row r="109" spans="2:119" x14ac:dyDescent="0.3">
      <c r="B109" s="211" t="s">
        <v>95</v>
      </c>
      <c r="C109" s="763" t="s">
        <v>418</v>
      </c>
      <c r="D109" s="269" t="s">
        <v>405</v>
      </c>
      <c r="E109" s="906">
        <v>1</v>
      </c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Z109" s="211" t="s">
        <v>95</v>
      </c>
      <c r="AA109" s="211" t="s">
        <v>327</v>
      </c>
      <c r="AB109" s="906">
        <v>1.5</v>
      </c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X109" s="211" t="s">
        <v>95</v>
      </c>
      <c r="AY109" s="211" t="s">
        <v>328</v>
      </c>
      <c r="AZ109" s="906">
        <v>0.5</v>
      </c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V109" s="211" t="s">
        <v>95</v>
      </c>
      <c r="BW109" s="211" t="s">
        <v>329</v>
      </c>
      <c r="BX109" s="906">
        <v>2</v>
      </c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T109" s="211" t="s">
        <v>95</v>
      </c>
      <c r="CU109" s="211" t="s">
        <v>330</v>
      </c>
      <c r="CV109" s="906">
        <v>0</v>
      </c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</row>
    <row r="110" spans="2:119" x14ac:dyDescent="0.3">
      <c r="B110" s="203"/>
      <c r="C110" s="148"/>
      <c r="D110" s="148"/>
      <c r="E110" s="1086"/>
      <c r="F110" s="1086"/>
      <c r="G110" s="1086"/>
      <c r="H110" s="148"/>
      <c r="I110" s="931"/>
      <c r="J110" s="1086"/>
      <c r="K110" s="1086"/>
      <c r="L110" s="148"/>
      <c r="M110" s="148"/>
      <c r="N110" s="1087" t="s">
        <v>275</v>
      </c>
      <c r="O110" s="1088"/>
      <c r="P110" s="1088"/>
      <c r="Q110" s="1088"/>
      <c r="R110" s="1089"/>
      <c r="S110" s="1087" t="s">
        <v>276</v>
      </c>
      <c r="T110" s="1088"/>
      <c r="U110" s="1088"/>
      <c r="V110" s="1088"/>
      <c r="W110" s="1089"/>
      <c r="X110" s="987"/>
      <c r="Z110" s="203"/>
      <c r="AA110" s="148"/>
      <c r="AB110" s="148"/>
      <c r="AC110" s="1086"/>
      <c r="AD110" s="1086"/>
      <c r="AE110" s="1086"/>
      <c r="AF110" s="148"/>
      <c r="AG110" s="931"/>
      <c r="AH110" s="1086"/>
      <c r="AI110" s="1086"/>
      <c r="AJ110" s="148"/>
      <c r="AK110" s="148"/>
      <c r="AL110" s="1087" t="s">
        <v>275</v>
      </c>
      <c r="AM110" s="1088"/>
      <c r="AN110" s="1088"/>
      <c r="AO110" s="1088"/>
      <c r="AP110" s="1089"/>
      <c r="AQ110" s="1087" t="s">
        <v>276</v>
      </c>
      <c r="AR110" s="1088"/>
      <c r="AS110" s="1088"/>
      <c r="AT110" s="1088"/>
      <c r="AU110" s="1089"/>
      <c r="AV110" s="987"/>
      <c r="AX110" s="203"/>
      <c r="AY110" s="148"/>
      <c r="AZ110" s="148"/>
      <c r="BA110" s="1086"/>
      <c r="BB110" s="1086"/>
      <c r="BC110" s="1086"/>
      <c r="BD110" s="148"/>
      <c r="BE110" s="931"/>
      <c r="BF110" s="1086"/>
      <c r="BG110" s="1086"/>
      <c r="BH110" s="148"/>
      <c r="BI110" s="148"/>
      <c r="BJ110" s="1087" t="s">
        <v>275</v>
      </c>
      <c r="BK110" s="1088"/>
      <c r="BL110" s="1088"/>
      <c r="BM110" s="1088"/>
      <c r="BN110" s="1089"/>
      <c r="BO110" s="1087" t="s">
        <v>276</v>
      </c>
      <c r="BP110" s="1088"/>
      <c r="BQ110" s="1088"/>
      <c r="BR110" s="1088"/>
      <c r="BS110" s="1089"/>
      <c r="BT110" s="987"/>
      <c r="BV110" s="203"/>
      <c r="BW110" s="148"/>
      <c r="BX110" s="148"/>
      <c r="BY110" s="1086"/>
      <c r="BZ110" s="1086"/>
      <c r="CA110" s="1086"/>
      <c r="CB110" s="148"/>
      <c r="CC110" s="931"/>
      <c r="CD110" s="1086"/>
      <c r="CE110" s="1086"/>
      <c r="CF110" s="148"/>
      <c r="CG110" s="148"/>
      <c r="CH110" s="1087" t="s">
        <v>275</v>
      </c>
      <c r="CI110" s="1088"/>
      <c r="CJ110" s="1088"/>
      <c r="CK110" s="1088"/>
      <c r="CL110" s="1089"/>
      <c r="CM110" s="1087" t="s">
        <v>276</v>
      </c>
      <c r="CN110" s="1088"/>
      <c r="CO110" s="1088"/>
      <c r="CP110" s="1088"/>
      <c r="CQ110" s="1089"/>
      <c r="CR110" s="987"/>
      <c r="CT110" s="203"/>
      <c r="CU110" s="148"/>
      <c r="CV110" s="148"/>
      <c r="CW110" s="1086"/>
      <c r="CX110" s="1086"/>
      <c r="CY110" s="1086"/>
      <c r="CZ110" s="148"/>
      <c r="DA110" s="931"/>
      <c r="DB110" s="1086"/>
      <c r="DC110" s="1086"/>
      <c r="DD110" s="148"/>
      <c r="DE110" s="148"/>
      <c r="DF110" s="1087" t="s">
        <v>275</v>
      </c>
      <c r="DG110" s="1088"/>
      <c r="DH110" s="1088"/>
      <c r="DI110" s="1088"/>
      <c r="DJ110" s="1089"/>
      <c r="DK110" s="1087" t="s">
        <v>276</v>
      </c>
      <c r="DL110" s="1088"/>
      <c r="DM110" s="1088"/>
      <c r="DN110" s="1088"/>
      <c r="DO110" s="1089"/>
    </row>
    <row r="111" spans="2:119" ht="51" x14ac:dyDescent="0.3">
      <c r="B111" s="204" t="s">
        <v>277</v>
      </c>
      <c r="C111" s="205" t="s">
        <v>303</v>
      </c>
      <c r="D111" s="205" t="s">
        <v>304</v>
      </c>
      <c r="E111" s="171" t="s">
        <v>675</v>
      </c>
      <c r="F111" s="171" t="s">
        <v>666</v>
      </c>
      <c r="G111" s="171" t="s">
        <v>676</v>
      </c>
      <c r="H111" s="205" t="s">
        <v>301</v>
      </c>
      <c r="I111" s="935" t="str">
        <f>'Energy NPV'!U37</f>
        <v>Total Recurring Costs</v>
      </c>
      <c r="J111" s="205" t="s">
        <v>305</v>
      </c>
      <c r="K111" s="171" t="s">
        <v>283</v>
      </c>
      <c r="L111" s="171" t="s">
        <v>677</v>
      </c>
      <c r="M111" s="171" t="s">
        <v>678</v>
      </c>
      <c r="N111" s="195" t="s">
        <v>286</v>
      </c>
      <c r="O111" s="171" t="s">
        <v>679</v>
      </c>
      <c r="P111" s="171" t="s">
        <v>288</v>
      </c>
      <c r="Q111" s="171" t="s">
        <v>680</v>
      </c>
      <c r="R111" s="198" t="s">
        <v>290</v>
      </c>
      <c r="S111" s="195" t="s">
        <v>291</v>
      </c>
      <c r="T111" s="171" t="s">
        <v>681</v>
      </c>
      <c r="U111" s="171" t="s">
        <v>293</v>
      </c>
      <c r="V111" s="171" t="s">
        <v>682</v>
      </c>
      <c r="W111" s="198" t="s">
        <v>295</v>
      </c>
      <c r="X111" s="171"/>
      <c r="Z111" s="204" t="s">
        <v>277</v>
      </c>
      <c r="AA111" s="205" t="s">
        <v>303</v>
      </c>
      <c r="AB111" s="205" t="s">
        <v>304</v>
      </c>
      <c r="AC111" s="171" t="s">
        <v>675</v>
      </c>
      <c r="AD111" s="171" t="s">
        <v>666</v>
      </c>
      <c r="AE111" s="171" t="s">
        <v>676</v>
      </c>
      <c r="AF111" s="205" t="s">
        <v>301</v>
      </c>
      <c r="AG111" s="935" t="str">
        <f>'Energy NPV'!U37</f>
        <v>Total Recurring Costs</v>
      </c>
      <c r="AH111" s="205" t="s">
        <v>305</v>
      </c>
      <c r="AI111" s="171" t="s">
        <v>283</v>
      </c>
      <c r="AJ111" s="171" t="s">
        <v>677</v>
      </c>
      <c r="AK111" s="171" t="s">
        <v>678</v>
      </c>
      <c r="AL111" s="195" t="s">
        <v>286</v>
      </c>
      <c r="AM111" s="171" t="s">
        <v>679</v>
      </c>
      <c r="AN111" s="171" t="s">
        <v>288</v>
      </c>
      <c r="AO111" s="171" t="s">
        <v>680</v>
      </c>
      <c r="AP111" s="198" t="s">
        <v>290</v>
      </c>
      <c r="AQ111" s="195" t="s">
        <v>291</v>
      </c>
      <c r="AR111" s="171" t="s">
        <v>681</v>
      </c>
      <c r="AS111" s="171" t="s">
        <v>293</v>
      </c>
      <c r="AT111" s="171" t="s">
        <v>682</v>
      </c>
      <c r="AU111" s="198" t="s">
        <v>295</v>
      </c>
      <c r="AV111" s="171"/>
      <c r="AX111" s="204" t="s">
        <v>277</v>
      </c>
      <c r="AY111" s="205" t="s">
        <v>303</v>
      </c>
      <c r="AZ111" s="205" t="s">
        <v>304</v>
      </c>
      <c r="BA111" s="171" t="s">
        <v>675</v>
      </c>
      <c r="BB111" s="171" t="s">
        <v>666</v>
      </c>
      <c r="BC111" s="171" t="s">
        <v>676</v>
      </c>
      <c r="BD111" s="205" t="s">
        <v>301</v>
      </c>
      <c r="BE111" s="935" t="str">
        <f>'Energy NPV'!U37</f>
        <v>Total Recurring Costs</v>
      </c>
      <c r="BF111" s="205" t="s">
        <v>305</v>
      </c>
      <c r="BG111" s="171" t="s">
        <v>283</v>
      </c>
      <c r="BH111" s="171" t="s">
        <v>677</v>
      </c>
      <c r="BI111" s="171" t="s">
        <v>678</v>
      </c>
      <c r="BJ111" s="195" t="s">
        <v>286</v>
      </c>
      <c r="BK111" s="171" t="s">
        <v>679</v>
      </c>
      <c r="BL111" s="171" t="s">
        <v>288</v>
      </c>
      <c r="BM111" s="171" t="s">
        <v>680</v>
      </c>
      <c r="BN111" s="198" t="s">
        <v>290</v>
      </c>
      <c r="BO111" s="195" t="s">
        <v>291</v>
      </c>
      <c r="BP111" s="171" t="s">
        <v>681</v>
      </c>
      <c r="BQ111" s="171" t="s">
        <v>293</v>
      </c>
      <c r="BR111" s="171" t="s">
        <v>682</v>
      </c>
      <c r="BS111" s="198" t="s">
        <v>295</v>
      </c>
      <c r="BT111" s="171"/>
      <c r="BV111" s="204" t="s">
        <v>277</v>
      </c>
      <c r="BW111" s="205" t="s">
        <v>303</v>
      </c>
      <c r="BX111" s="205" t="s">
        <v>304</v>
      </c>
      <c r="BY111" s="171" t="s">
        <v>675</v>
      </c>
      <c r="BZ111" s="171" t="s">
        <v>666</v>
      </c>
      <c r="CA111" s="171" t="s">
        <v>676</v>
      </c>
      <c r="CB111" s="205" t="s">
        <v>301</v>
      </c>
      <c r="CC111" s="935" t="str">
        <f>'Energy NPV'!U37</f>
        <v>Total Recurring Costs</v>
      </c>
      <c r="CD111" s="205" t="s">
        <v>305</v>
      </c>
      <c r="CE111" s="171" t="s">
        <v>283</v>
      </c>
      <c r="CF111" s="171" t="s">
        <v>677</v>
      </c>
      <c r="CG111" s="171" t="s">
        <v>678</v>
      </c>
      <c r="CH111" s="195" t="s">
        <v>286</v>
      </c>
      <c r="CI111" s="171" t="s">
        <v>679</v>
      </c>
      <c r="CJ111" s="171" t="s">
        <v>288</v>
      </c>
      <c r="CK111" s="171" t="s">
        <v>680</v>
      </c>
      <c r="CL111" s="198" t="s">
        <v>290</v>
      </c>
      <c r="CM111" s="195" t="s">
        <v>291</v>
      </c>
      <c r="CN111" s="171" t="s">
        <v>681</v>
      </c>
      <c r="CO111" s="171" t="s">
        <v>293</v>
      </c>
      <c r="CP111" s="171" t="s">
        <v>682</v>
      </c>
      <c r="CQ111" s="198" t="s">
        <v>295</v>
      </c>
      <c r="CR111" s="171"/>
      <c r="CT111" s="204" t="s">
        <v>277</v>
      </c>
      <c r="CU111" s="205" t="s">
        <v>303</v>
      </c>
      <c r="CV111" s="205" t="s">
        <v>304</v>
      </c>
      <c r="CW111" s="171" t="s">
        <v>675</v>
      </c>
      <c r="CX111" s="171" t="s">
        <v>666</v>
      </c>
      <c r="CY111" s="171" t="s">
        <v>676</v>
      </c>
      <c r="CZ111" s="205" t="s">
        <v>301</v>
      </c>
      <c r="DA111" s="935" t="str">
        <f>'Energy NPV'!U37</f>
        <v>Total Recurring Costs</v>
      </c>
      <c r="DB111" s="205" t="s">
        <v>305</v>
      </c>
      <c r="DC111" s="171" t="s">
        <v>283</v>
      </c>
      <c r="DD111" s="171" t="s">
        <v>677</v>
      </c>
      <c r="DE111" s="171" t="s">
        <v>678</v>
      </c>
      <c r="DF111" s="195" t="s">
        <v>286</v>
      </c>
      <c r="DG111" s="171" t="s">
        <v>679</v>
      </c>
      <c r="DH111" s="171" t="s">
        <v>288</v>
      </c>
      <c r="DI111" s="171" t="s">
        <v>680</v>
      </c>
      <c r="DJ111" s="198" t="s">
        <v>290</v>
      </c>
      <c r="DK111" s="195" t="s">
        <v>291</v>
      </c>
      <c r="DL111" s="171" t="s">
        <v>681</v>
      </c>
      <c r="DM111" s="171" t="s">
        <v>293</v>
      </c>
      <c r="DN111" s="171" t="s">
        <v>682</v>
      </c>
      <c r="DO111" s="198" t="s">
        <v>295</v>
      </c>
    </row>
    <row r="112" spans="2:119" x14ac:dyDescent="0.3">
      <c r="B112" s="173"/>
      <c r="C112" s="226" t="s">
        <v>341</v>
      </c>
      <c r="D112" s="226" t="s">
        <v>601</v>
      </c>
      <c r="E112" s="201" t="s">
        <v>599</v>
      </c>
      <c r="F112" s="201" t="s">
        <v>599</v>
      </c>
      <c r="G112" s="201" t="s">
        <v>599</v>
      </c>
      <c r="H112" s="201" t="s">
        <v>599</v>
      </c>
      <c r="I112" s="969" t="str">
        <f>'Energy NPV'!U38</f>
        <v>(€ ha-1)</v>
      </c>
      <c r="J112" s="201" t="s">
        <v>599</v>
      </c>
      <c r="K112" s="201" t="s">
        <v>599</v>
      </c>
      <c r="L112" s="201" t="s">
        <v>599</v>
      </c>
      <c r="M112" s="202" t="s">
        <v>599</v>
      </c>
      <c r="N112" s="201" t="s">
        <v>599</v>
      </c>
      <c r="O112" s="201" t="s">
        <v>599</v>
      </c>
      <c r="P112" s="201" t="s">
        <v>599</v>
      </c>
      <c r="Q112" s="201" t="s">
        <v>599</v>
      </c>
      <c r="R112" s="202" t="s">
        <v>599</v>
      </c>
      <c r="S112" s="201" t="s">
        <v>599</v>
      </c>
      <c r="T112" s="201" t="s">
        <v>599</v>
      </c>
      <c r="U112" s="201" t="s">
        <v>599</v>
      </c>
      <c r="V112" s="201" t="s">
        <v>599</v>
      </c>
      <c r="W112" s="202" t="s">
        <v>599</v>
      </c>
      <c r="X112" s="988"/>
      <c r="Z112" s="173"/>
      <c r="AA112" s="226" t="s">
        <v>341</v>
      </c>
      <c r="AB112" s="226" t="s">
        <v>601</v>
      </c>
      <c r="AC112" s="201" t="s">
        <v>599</v>
      </c>
      <c r="AD112" s="201" t="s">
        <v>599</v>
      </c>
      <c r="AE112" s="201" t="s">
        <v>599</v>
      </c>
      <c r="AF112" s="201" t="s">
        <v>599</v>
      </c>
      <c r="AG112" s="969" t="str">
        <f>'Energy NPV'!U38</f>
        <v>(€ ha-1)</v>
      </c>
      <c r="AH112" s="201" t="s">
        <v>599</v>
      </c>
      <c r="AI112" s="201" t="s">
        <v>599</v>
      </c>
      <c r="AJ112" s="201" t="s">
        <v>599</v>
      </c>
      <c r="AK112" s="202" t="s">
        <v>599</v>
      </c>
      <c r="AL112" s="201" t="s">
        <v>599</v>
      </c>
      <c r="AM112" s="201" t="s">
        <v>599</v>
      </c>
      <c r="AN112" s="201" t="s">
        <v>599</v>
      </c>
      <c r="AO112" s="201" t="s">
        <v>599</v>
      </c>
      <c r="AP112" s="202" t="s">
        <v>599</v>
      </c>
      <c r="AQ112" s="201" t="s">
        <v>599</v>
      </c>
      <c r="AR112" s="201" t="s">
        <v>599</v>
      </c>
      <c r="AS112" s="201" t="s">
        <v>599</v>
      </c>
      <c r="AT112" s="201" t="s">
        <v>599</v>
      </c>
      <c r="AU112" s="202" t="s">
        <v>599</v>
      </c>
      <c r="AV112" s="988"/>
      <c r="AX112" s="173"/>
      <c r="AY112" s="226" t="s">
        <v>341</v>
      </c>
      <c r="AZ112" s="226" t="s">
        <v>601</v>
      </c>
      <c r="BA112" s="201" t="s">
        <v>599</v>
      </c>
      <c r="BB112" s="201" t="s">
        <v>599</v>
      </c>
      <c r="BC112" s="201" t="s">
        <v>599</v>
      </c>
      <c r="BD112" s="201" t="s">
        <v>599</v>
      </c>
      <c r="BE112" s="969" t="str">
        <f>'Energy NPV'!U38</f>
        <v>(€ ha-1)</v>
      </c>
      <c r="BF112" s="201" t="s">
        <v>599</v>
      </c>
      <c r="BG112" s="201" t="s">
        <v>599</v>
      </c>
      <c r="BH112" s="201" t="s">
        <v>599</v>
      </c>
      <c r="BI112" s="202" t="s">
        <v>599</v>
      </c>
      <c r="BJ112" s="201" t="s">
        <v>599</v>
      </c>
      <c r="BK112" s="201" t="s">
        <v>599</v>
      </c>
      <c r="BL112" s="201" t="s">
        <v>599</v>
      </c>
      <c r="BM112" s="201" t="s">
        <v>599</v>
      </c>
      <c r="BN112" s="202" t="s">
        <v>599</v>
      </c>
      <c r="BO112" s="201" t="s">
        <v>599</v>
      </c>
      <c r="BP112" s="201" t="s">
        <v>599</v>
      </c>
      <c r="BQ112" s="201" t="s">
        <v>599</v>
      </c>
      <c r="BR112" s="201" t="s">
        <v>599</v>
      </c>
      <c r="BS112" s="202" t="s">
        <v>599</v>
      </c>
      <c r="BT112" s="988"/>
      <c r="BV112" s="173"/>
      <c r="BW112" s="226" t="s">
        <v>341</v>
      </c>
      <c r="BX112" s="226" t="s">
        <v>601</v>
      </c>
      <c r="BY112" s="201" t="s">
        <v>599</v>
      </c>
      <c r="BZ112" s="201" t="s">
        <v>599</v>
      </c>
      <c r="CA112" s="201" t="s">
        <v>599</v>
      </c>
      <c r="CB112" s="201" t="s">
        <v>599</v>
      </c>
      <c r="CC112" s="969" t="str">
        <f>'Energy NPV'!U38</f>
        <v>(€ ha-1)</v>
      </c>
      <c r="CD112" s="201" t="s">
        <v>599</v>
      </c>
      <c r="CE112" s="201" t="s">
        <v>599</v>
      </c>
      <c r="CF112" s="201" t="s">
        <v>599</v>
      </c>
      <c r="CG112" s="202" t="s">
        <v>599</v>
      </c>
      <c r="CH112" s="201" t="s">
        <v>599</v>
      </c>
      <c r="CI112" s="201" t="s">
        <v>599</v>
      </c>
      <c r="CJ112" s="201" t="s">
        <v>599</v>
      </c>
      <c r="CK112" s="201" t="s">
        <v>599</v>
      </c>
      <c r="CL112" s="202" t="s">
        <v>599</v>
      </c>
      <c r="CM112" s="201" t="s">
        <v>599</v>
      </c>
      <c r="CN112" s="201" t="s">
        <v>599</v>
      </c>
      <c r="CO112" s="201" t="s">
        <v>599</v>
      </c>
      <c r="CP112" s="201" t="s">
        <v>599</v>
      </c>
      <c r="CQ112" s="202" t="s">
        <v>599</v>
      </c>
      <c r="CR112" s="988"/>
      <c r="CT112" s="173"/>
      <c r="CU112" s="226" t="s">
        <v>341</v>
      </c>
      <c r="CV112" s="226" t="s">
        <v>601</v>
      </c>
      <c r="CW112" s="201" t="s">
        <v>599</v>
      </c>
      <c r="CX112" s="201" t="s">
        <v>599</v>
      </c>
      <c r="CY112" s="201" t="s">
        <v>599</v>
      </c>
      <c r="CZ112" s="201" t="s">
        <v>599</v>
      </c>
      <c r="DA112" s="969" t="str">
        <f>'Energy NPV'!U38</f>
        <v>(€ ha-1)</v>
      </c>
      <c r="DB112" s="201" t="s">
        <v>599</v>
      </c>
      <c r="DC112" s="201" t="s">
        <v>599</v>
      </c>
      <c r="DD112" s="201" t="s">
        <v>599</v>
      </c>
      <c r="DE112" s="202" t="s">
        <v>599</v>
      </c>
      <c r="DF112" s="201" t="s">
        <v>599</v>
      </c>
      <c r="DG112" s="201" t="s">
        <v>599</v>
      </c>
      <c r="DH112" s="201" t="s">
        <v>599</v>
      </c>
      <c r="DI112" s="201" t="s">
        <v>599</v>
      </c>
      <c r="DJ112" s="202" t="s">
        <v>599</v>
      </c>
      <c r="DK112" s="201" t="s">
        <v>599</v>
      </c>
      <c r="DL112" s="201" t="s">
        <v>599</v>
      </c>
      <c r="DM112" s="201" t="s">
        <v>599</v>
      </c>
      <c r="DN112" s="201" t="s">
        <v>599</v>
      </c>
      <c r="DO112" s="202" t="s">
        <v>599</v>
      </c>
    </row>
    <row r="113" spans="2:119" x14ac:dyDescent="0.3">
      <c r="B113" s="204">
        <v>1</v>
      </c>
      <c r="C113" s="760">
        <f>'Energy NPV'!$D39*$E$109</f>
        <v>0.6</v>
      </c>
      <c r="D113" s="197">
        <f>'Energy margins'!$L$12</f>
        <v>72</v>
      </c>
      <c r="E113" s="197">
        <f>C113*D113</f>
        <v>43.199999999999996</v>
      </c>
      <c r="F113" s="197">
        <f>'Margins summary'!$S$14</f>
        <v>175.95</v>
      </c>
      <c r="G113" s="197">
        <f>E113+F113</f>
        <v>219.14999999999998</v>
      </c>
      <c r="H113" s="197">
        <f>'Margins summary'!$R$20</f>
        <v>2224.610784</v>
      </c>
      <c r="I113" s="918">
        <f>'Energy NPV'!U39</f>
        <v>0</v>
      </c>
      <c r="J113" s="197"/>
      <c r="K113" s="197">
        <f>H113+I113+J113</f>
        <v>2224.610784</v>
      </c>
      <c r="L113" s="197">
        <f t="shared" ref="L113:L128" si="278">E113-K113</f>
        <v>-2181.4107840000001</v>
      </c>
      <c r="M113" s="197">
        <f t="shared" ref="M113:M128" si="279">G113-K113</f>
        <v>-2005.4607839999999</v>
      </c>
      <c r="N113" s="1018">
        <f>E113/((1+$B$4)^(B113-1))</f>
        <v>43.199999999999996</v>
      </c>
      <c r="O113" s="213">
        <f>F113/((1+$B$4)^(B113-1))</f>
        <v>175.95</v>
      </c>
      <c r="P113" s="213">
        <f>K113/((1+$B$4)^(B113-1))</f>
        <v>2224.610784</v>
      </c>
      <c r="Q113" s="213">
        <f>L113/((1+$B$4)^(B113-1))</f>
        <v>-2181.4107840000001</v>
      </c>
      <c r="R113" s="929">
        <f>M113/((1+$B$4)^(B113-1))</f>
        <v>-2005.4607839999999</v>
      </c>
      <c r="S113" s="196">
        <f>N113</f>
        <v>43.199999999999996</v>
      </c>
      <c r="T113" s="197">
        <f>O113</f>
        <v>175.95</v>
      </c>
      <c r="U113" s="197">
        <f>P113</f>
        <v>2224.610784</v>
      </c>
      <c r="V113" s="197">
        <f>Q113</f>
        <v>-2181.4107840000001</v>
      </c>
      <c r="W113" s="199">
        <f>R113</f>
        <v>-2005.4607839999999</v>
      </c>
      <c r="X113" s="197"/>
      <c r="Z113" s="204">
        <v>1</v>
      </c>
      <c r="AA113" s="760">
        <f>'Energy NPV'!$D39*$AB$109</f>
        <v>0.89999999999999991</v>
      </c>
      <c r="AB113" s="197">
        <f>'Energy margins'!$L$12</f>
        <v>72</v>
      </c>
      <c r="AC113" s="197">
        <f>AA113*AB113</f>
        <v>64.8</v>
      </c>
      <c r="AD113" s="197">
        <f>'Margins summary'!$S$14</f>
        <v>175.95</v>
      </c>
      <c r="AE113" s="197">
        <f>AC113+AD113</f>
        <v>240.75</v>
      </c>
      <c r="AF113" s="197">
        <f>'Margins summary'!$R$20</f>
        <v>2224.610784</v>
      </c>
      <c r="AG113" s="918">
        <f>'Energy NPV'!U39</f>
        <v>0</v>
      </c>
      <c r="AH113" s="197"/>
      <c r="AI113" s="197">
        <f>AF113+AG113+AH113</f>
        <v>2224.610784</v>
      </c>
      <c r="AJ113" s="197">
        <f t="shared" ref="AJ113:AJ128" si="280">AC113-AI113</f>
        <v>-2159.8107839999998</v>
      </c>
      <c r="AK113" s="197">
        <f t="shared" ref="AK113:AK128" si="281">AE113-AI113</f>
        <v>-1983.860784</v>
      </c>
      <c r="AL113" s="1018">
        <f>AC113/((1+$B$4)^(Z113-1))</f>
        <v>64.8</v>
      </c>
      <c r="AM113" s="213">
        <f>AD113/((1+$B$4)^(Z113-1))</f>
        <v>175.95</v>
      </c>
      <c r="AN113" s="213">
        <f>AI113/((1+$B$4)^(Z113-1))</f>
        <v>2224.610784</v>
      </c>
      <c r="AO113" s="213">
        <f>AJ113/((1+$B$4)^(Z113-1))</f>
        <v>-2159.8107839999998</v>
      </c>
      <c r="AP113" s="929">
        <f>AK113/((1+$B$4)^(Z113-1))</f>
        <v>-1983.860784</v>
      </c>
      <c r="AQ113" s="196">
        <f>AL113</f>
        <v>64.8</v>
      </c>
      <c r="AR113" s="197">
        <f>AM113</f>
        <v>175.95</v>
      </c>
      <c r="AS113" s="197">
        <f>AN113</f>
        <v>2224.610784</v>
      </c>
      <c r="AT113" s="197">
        <f>AO113</f>
        <v>-2159.8107839999998</v>
      </c>
      <c r="AU113" s="199">
        <f>AP113</f>
        <v>-1983.860784</v>
      </c>
      <c r="AV113" s="197"/>
      <c r="AX113" s="204">
        <v>1</v>
      </c>
      <c r="AY113" s="760">
        <f>'Energy NPV'!$D39*$AZ$109</f>
        <v>0.3</v>
      </c>
      <c r="AZ113" s="197">
        <f>'Energy margins'!$L$12</f>
        <v>72</v>
      </c>
      <c r="BA113" s="197">
        <f>AY113*AZ113</f>
        <v>21.599999999999998</v>
      </c>
      <c r="BB113" s="197">
        <f>'Margins summary'!$S$14</f>
        <v>175.95</v>
      </c>
      <c r="BC113" s="197">
        <f>BA113+BB113</f>
        <v>197.54999999999998</v>
      </c>
      <c r="BD113" s="197">
        <f>'Margins summary'!$R$20</f>
        <v>2224.610784</v>
      </c>
      <c r="BE113" s="918">
        <f>'Energy NPV'!U39</f>
        <v>0</v>
      </c>
      <c r="BF113" s="197"/>
      <c r="BG113" s="197">
        <f>BD113+BE113+BF113</f>
        <v>2224.610784</v>
      </c>
      <c r="BH113" s="197">
        <f t="shared" ref="BH113:BH128" si="282">BA113-BG113</f>
        <v>-2203.0107840000001</v>
      </c>
      <c r="BI113" s="197">
        <f t="shared" ref="BI113:BI128" si="283">BC113-BG113</f>
        <v>-2027.060784</v>
      </c>
      <c r="BJ113" s="1018">
        <f>BA113/((1+$B$4)^(AX113-1))</f>
        <v>21.599999999999998</v>
      </c>
      <c r="BK113" s="213">
        <f>BB113/((1+$B$4)^(AX113-1))</f>
        <v>175.95</v>
      </c>
      <c r="BL113" s="213">
        <f>BG113/((1+$B$4)^(AX113-1))</f>
        <v>2224.610784</v>
      </c>
      <c r="BM113" s="213">
        <f>BH113/((1+$B$4)^(AX113-1))</f>
        <v>-2203.0107840000001</v>
      </c>
      <c r="BN113" s="929">
        <f>BI113/((1+$B$4)^(AX113-1))</f>
        <v>-2027.060784</v>
      </c>
      <c r="BO113" s="196">
        <f>BJ113</f>
        <v>21.599999999999998</v>
      </c>
      <c r="BP113" s="197">
        <f>BK113</f>
        <v>175.95</v>
      </c>
      <c r="BQ113" s="197">
        <f>BL113</f>
        <v>2224.610784</v>
      </c>
      <c r="BR113" s="197">
        <f>BM113</f>
        <v>-2203.0107840000001</v>
      </c>
      <c r="BS113" s="199">
        <f>BN113</f>
        <v>-2027.060784</v>
      </c>
      <c r="BT113" s="197"/>
      <c r="BV113" s="204">
        <v>1</v>
      </c>
      <c r="BW113" s="760">
        <f>'Energy NPV'!$D39*$BX$109</f>
        <v>1.2</v>
      </c>
      <c r="BX113" s="197">
        <f>'Energy margins'!$L$12</f>
        <v>72</v>
      </c>
      <c r="BY113" s="197">
        <f>BW113*BX113</f>
        <v>86.399999999999991</v>
      </c>
      <c r="BZ113" s="197">
        <f>'Margins summary'!$S$14</f>
        <v>175.95</v>
      </c>
      <c r="CA113" s="197">
        <f>BY113+BZ113</f>
        <v>262.34999999999997</v>
      </c>
      <c r="CB113" s="197">
        <f>'Margins summary'!$R$20</f>
        <v>2224.610784</v>
      </c>
      <c r="CC113" s="918">
        <f>'Energy NPV'!U39</f>
        <v>0</v>
      </c>
      <c r="CD113" s="197"/>
      <c r="CE113" s="197">
        <f>CB113+CC113+CD113</f>
        <v>2224.610784</v>
      </c>
      <c r="CF113" s="197">
        <f t="shared" ref="CF113:CF128" si="284">BY113-CE113</f>
        <v>-2138.2107839999999</v>
      </c>
      <c r="CG113" s="197">
        <f t="shared" ref="CG113:CG128" si="285">CA113-CE113</f>
        <v>-1962.2607840000001</v>
      </c>
      <c r="CH113" s="1018">
        <f>BY113/((1+$B$4)^(BV113-1))</f>
        <v>86.399999999999991</v>
      </c>
      <c r="CI113" s="213">
        <f>BZ113/((1+$B$4)^(BV113-1))</f>
        <v>175.95</v>
      </c>
      <c r="CJ113" s="213">
        <f>CE113/((1+$B$4)^(BV113-1))</f>
        <v>2224.610784</v>
      </c>
      <c r="CK113" s="213">
        <f>CF113/((1+$B$4)^(BV113-1))</f>
        <v>-2138.2107839999999</v>
      </c>
      <c r="CL113" s="929">
        <f>CG113/((1+$B$4)^(BV113-1))</f>
        <v>-1962.2607840000001</v>
      </c>
      <c r="CM113" s="196">
        <f>CH113</f>
        <v>86.399999999999991</v>
      </c>
      <c r="CN113" s="197">
        <f>CI113</f>
        <v>175.95</v>
      </c>
      <c r="CO113" s="197">
        <f>CJ113</f>
        <v>2224.610784</v>
      </c>
      <c r="CP113" s="197">
        <f>CK113</f>
        <v>-2138.2107839999999</v>
      </c>
      <c r="CQ113" s="199">
        <f>CL113</f>
        <v>-1962.2607840000001</v>
      </c>
      <c r="CR113" s="197"/>
      <c r="CT113" s="204">
        <v>1</v>
      </c>
      <c r="CU113" s="760">
        <f>'Energy NPV'!$D39*$CV$109</f>
        <v>0</v>
      </c>
      <c r="CV113" s="197">
        <f>'Energy margins'!$L$12</f>
        <v>72</v>
      </c>
      <c r="CW113" s="197">
        <f>CU113*CV113</f>
        <v>0</v>
      </c>
      <c r="CX113" s="197">
        <f>'Margins summary'!$S$14</f>
        <v>175.95</v>
      </c>
      <c r="CY113" s="197">
        <f>CW113+CX113</f>
        <v>175.95</v>
      </c>
      <c r="CZ113" s="197">
        <f>'Margins summary'!$R$20</f>
        <v>2224.610784</v>
      </c>
      <c r="DA113" s="918">
        <f>'Energy NPV'!U39</f>
        <v>0</v>
      </c>
      <c r="DB113" s="197"/>
      <c r="DC113" s="197">
        <f>CZ113+DA113+DB113</f>
        <v>2224.610784</v>
      </c>
      <c r="DD113" s="197">
        <f t="shared" ref="DD113:DD128" si="286">CW113-DC113</f>
        <v>-2224.610784</v>
      </c>
      <c r="DE113" s="197">
        <f t="shared" ref="DE113:DE128" si="287">CY113-DC113</f>
        <v>-2048.6607840000001</v>
      </c>
      <c r="DF113" s="1018">
        <f>CW113/((1+$B$4)^(CT113-1))</f>
        <v>0</v>
      </c>
      <c r="DG113" s="213">
        <f>CX113/((1+$B$4)^(CT113-1))</f>
        <v>175.95</v>
      </c>
      <c r="DH113" s="213">
        <f>DC113/((1+$B$4)^(CT113-1))</f>
        <v>2224.610784</v>
      </c>
      <c r="DI113" s="213">
        <f>DD113/((1+$B$4)^(CT113-1))</f>
        <v>-2224.610784</v>
      </c>
      <c r="DJ113" s="929">
        <f>DE113/((1+$B$4)^(CT113-1))</f>
        <v>-2048.6607840000001</v>
      </c>
      <c r="DK113" s="196">
        <f>DF113</f>
        <v>0</v>
      </c>
      <c r="DL113" s="197">
        <f>DG113</f>
        <v>175.95</v>
      </c>
      <c r="DM113" s="197">
        <f>DH113</f>
        <v>2224.610784</v>
      </c>
      <c r="DN113" s="197">
        <f>DI113</f>
        <v>-2224.610784</v>
      </c>
      <c r="DO113" s="199">
        <f>DJ113</f>
        <v>-2048.6607840000001</v>
      </c>
    </row>
    <row r="114" spans="2:119" x14ac:dyDescent="0.3">
      <c r="B114" s="204">
        <v>2</v>
      </c>
      <c r="C114" s="760">
        <f>'Energy NPV'!$D40*$E$109</f>
        <v>3.9250000000000007</v>
      </c>
      <c r="D114" s="197">
        <f>'Energy margins'!$L$12</f>
        <v>72</v>
      </c>
      <c r="E114" s="197">
        <f>C114*D114</f>
        <v>282.60000000000002</v>
      </c>
      <c r="F114" s="197">
        <f>'Margins summary'!$S$14</f>
        <v>175.95</v>
      </c>
      <c r="G114" s="197">
        <f t="shared" ref="G114:G128" si="288">E114+F114</f>
        <v>458.55</v>
      </c>
      <c r="H114" s="197"/>
      <c r="I114" s="918">
        <f>'Energy NPV'!U40</f>
        <v>506.67238399999997</v>
      </c>
      <c r="J114" s="197"/>
      <c r="K114" s="197">
        <f t="shared" ref="K114:K128" si="289">H114+I114+J114</f>
        <v>506.67238399999997</v>
      </c>
      <c r="L114" s="197">
        <f t="shared" si="278"/>
        <v>-224.07238399999994</v>
      </c>
      <c r="M114" s="197">
        <f t="shared" si="279"/>
        <v>-48.122383999999954</v>
      </c>
      <c r="N114" s="196">
        <f t="shared" ref="N114:N127" si="290">E114/((1+$B$4)^(B114-1))</f>
        <v>271.73076923076923</v>
      </c>
      <c r="O114" s="197">
        <f t="shared" ref="O114:O127" si="291">F114/((1+$B$4)^(B114-1))</f>
        <v>169.18269230769229</v>
      </c>
      <c r="P114" s="197">
        <f t="shared" ref="P114:P127" si="292">K114/((1+$B$4)^(B114-1))</f>
        <v>487.18498461538456</v>
      </c>
      <c r="Q114" s="197">
        <f t="shared" ref="Q114:Q127" si="293">L114/((1+$B$4)^(B114-1))</f>
        <v>-215.45421538461531</v>
      </c>
      <c r="R114" s="199">
        <f t="shared" ref="R114:R127" si="294">M114/((1+$B$4)^(B114-1))</f>
        <v>-46.271523076923032</v>
      </c>
      <c r="S114" s="196">
        <f>S113+N114</f>
        <v>314.93076923076922</v>
      </c>
      <c r="T114" s="197">
        <f t="shared" ref="T114:W128" si="295">T113+O114</f>
        <v>345.13269230769231</v>
      </c>
      <c r="U114" s="197">
        <f t="shared" si="295"/>
        <v>2711.7957686153845</v>
      </c>
      <c r="V114" s="197">
        <f t="shared" si="295"/>
        <v>-2396.8649993846157</v>
      </c>
      <c r="W114" s="199">
        <f t="shared" si="295"/>
        <v>-2051.732307076923</v>
      </c>
      <c r="X114" s="197"/>
      <c r="Z114" s="204">
        <v>2</v>
      </c>
      <c r="AA114" s="760">
        <f>'Energy NPV'!$D40*$AB$109</f>
        <v>5.8875000000000011</v>
      </c>
      <c r="AB114" s="197">
        <f>'Energy margins'!$L$12</f>
        <v>72</v>
      </c>
      <c r="AC114" s="197">
        <f>AA114*AB114</f>
        <v>423.90000000000009</v>
      </c>
      <c r="AD114" s="197">
        <f>'Margins summary'!$S$14</f>
        <v>175.95</v>
      </c>
      <c r="AE114" s="197">
        <f t="shared" ref="AE114:AE128" si="296">AC114+AD114</f>
        <v>599.85000000000014</v>
      </c>
      <c r="AF114" s="197"/>
      <c r="AG114" s="918">
        <f>'Energy NPV'!U40</f>
        <v>506.67238399999997</v>
      </c>
      <c r="AH114" s="197"/>
      <c r="AI114" s="197">
        <f t="shared" ref="AI114:AI128" si="297">AF114+AG114+AH114</f>
        <v>506.67238399999997</v>
      </c>
      <c r="AJ114" s="197">
        <f t="shared" si="280"/>
        <v>-82.772383999999875</v>
      </c>
      <c r="AK114" s="197">
        <f t="shared" si="281"/>
        <v>93.177616000000171</v>
      </c>
      <c r="AL114" s="196">
        <f t="shared" ref="AL114:AL127" si="298">AC114/((1+$B$4)^(Z114-1))</f>
        <v>407.59615384615392</v>
      </c>
      <c r="AM114" s="197">
        <f t="shared" ref="AM114:AM127" si="299">AD114/((1+$B$4)^(Z114-1))</f>
        <v>169.18269230769229</v>
      </c>
      <c r="AN114" s="197">
        <f t="shared" ref="AN114:AN127" si="300">AI114/((1+$B$4)^(Z114-1))</f>
        <v>487.18498461538456</v>
      </c>
      <c r="AO114" s="197">
        <f t="shared" ref="AO114:AO127" si="301">AJ114/((1+$B$4)^(Z114-1))</f>
        <v>-79.58883076923064</v>
      </c>
      <c r="AP114" s="199">
        <f t="shared" ref="AP114:AP127" si="302">AK114/((1+$B$4)^(Z114-1))</f>
        <v>89.593861538461695</v>
      </c>
      <c r="AQ114" s="196">
        <f>AQ113+AL114</f>
        <v>472.39615384615394</v>
      </c>
      <c r="AR114" s="197">
        <f t="shared" ref="AR114:AU128" si="303">AR113+AM114</f>
        <v>345.13269230769231</v>
      </c>
      <c r="AS114" s="197">
        <f t="shared" si="303"/>
        <v>2711.7957686153845</v>
      </c>
      <c r="AT114" s="197">
        <f t="shared" si="303"/>
        <v>-2239.3996147692305</v>
      </c>
      <c r="AU114" s="199">
        <f t="shared" si="303"/>
        <v>-1894.2669224615383</v>
      </c>
      <c r="AV114" s="197"/>
      <c r="AX114" s="204">
        <v>2</v>
      </c>
      <c r="AY114" s="760">
        <f>'Energy NPV'!$D40*$AZ$109</f>
        <v>1.9625000000000004</v>
      </c>
      <c r="AZ114" s="197">
        <f>'Energy margins'!$L$12</f>
        <v>72</v>
      </c>
      <c r="BA114" s="197">
        <f>AY114*AZ114</f>
        <v>141.30000000000001</v>
      </c>
      <c r="BB114" s="197">
        <f>'Margins summary'!$S$14</f>
        <v>175.95</v>
      </c>
      <c r="BC114" s="197">
        <f t="shared" ref="BC114:BC128" si="304">BA114+BB114</f>
        <v>317.25</v>
      </c>
      <c r="BD114" s="197"/>
      <c r="BE114" s="918">
        <f>'Energy NPV'!U40</f>
        <v>506.67238399999997</v>
      </c>
      <c r="BF114" s="197"/>
      <c r="BG114" s="197">
        <f t="shared" ref="BG114:BG128" si="305">BD114+BE114+BF114</f>
        <v>506.67238399999997</v>
      </c>
      <c r="BH114" s="197">
        <f t="shared" si="282"/>
        <v>-365.37238399999995</v>
      </c>
      <c r="BI114" s="197">
        <f t="shared" si="283"/>
        <v>-189.42238399999997</v>
      </c>
      <c r="BJ114" s="196">
        <f t="shared" ref="BJ114:BJ127" si="306">BA114/((1+$B$4)^(AX114-1))</f>
        <v>135.86538461538461</v>
      </c>
      <c r="BK114" s="197">
        <f t="shared" ref="BK114:BK127" si="307">BB114/((1+$B$4)^(AX114-1))</f>
        <v>169.18269230769229</v>
      </c>
      <c r="BL114" s="197">
        <f t="shared" ref="BL114:BL127" si="308">BG114/((1+$B$4)^(AX114-1))</f>
        <v>487.18498461538456</v>
      </c>
      <c r="BM114" s="197">
        <f t="shared" ref="BM114:BM127" si="309">BH114/((1+$B$4)^(AX114-1))</f>
        <v>-351.31959999999992</v>
      </c>
      <c r="BN114" s="199">
        <f t="shared" ref="BN114:BN127" si="310">BI114/((1+$B$4)^(AX114-1))</f>
        <v>-182.13690769230766</v>
      </c>
      <c r="BO114" s="196">
        <f>BO113+BJ114</f>
        <v>157.46538461538461</v>
      </c>
      <c r="BP114" s="197">
        <f t="shared" ref="BP114:BS128" si="311">BP113+BK114</f>
        <v>345.13269230769231</v>
      </c>
      <c r="BQ114" s="197">
        <f t="shared" si="311"/>
        <v>2711.7957686153845</v>
      </c>
      <c r="BR114" s="197">
        <f t="shared" si="311"/>
        <v>-2554.3303839999999</v>
      </c>
      <c r="BS114" s="199">
        <f t="shared" si="311"/>
        <v>-2209.1976916923077</v>
      </c>
      <c r="BT114" s="197"/>
      <c r="BV114" s="204">
        <v>2</v>
      </c>
      <c r="BW114" s="760">
        <f>'Energy NPV'!$D40*$BX$109</f>
        <v>7.8500000000000014</v>
      </c>
      <c r="BX114" s="197">
        <f>'Energy margins'!$L$12</f>
        <v>72</v>
      </c>
      <c r="BY114" s="197">
        <f>BW114*BX114</f>
        <v>565.20000000000005</v>
      </c>
      <c r="BZ114" s="197">
        <f>'Margins summary'!$S$14</f>
        <v>175.95</v>
      </c>
      <c r="CA114" s="197">
        <f t="shared" ref="CA114:CA128" si="312">BY114+BZ114</f>
        <v>741.15000000000009</v>
      </c>
      <c r="CB114" s="197"/>
      <c r="CC114" s="918">
        <f>'Energy NPV'!U40</f>
        <v>506.67238399999997</v>
      </c>
      <c r="CD114" s="197"/>
      <c r="CE114" s="197">
        <f t="shared" ref="CE114:CE128" si="313">CB114+CC114+CD114</f>
        <v>506.67238399999997</v>
      </c>
      <c r="CF114" s="197">
        <f t="shared" si="284"/>
        <v>58.52761600000008</v>
      </c>
      <c r="CG114" s="197">
        <f t="shared" si="285"/>
        <v>234.47761600000013</v>
      </c>
      <c r="CH114" s="196">
        <f t="shared" ref="CH114:CH127" si="314">BY114/((1+$B$4)^(BV114-1))</f>
        <v>543.46153846153845</v>
      </c>
      <c r="CI114" s="197">
        <f t="shared" ref="CI114:CI127" si="315">BZ114/((1+$B$4)^(BV114-1))</f>
        <v>169.18269230769229</v>
      </c>
      <c r="CJ114" s="197">
        <f t="shared" ref="CJ114:CJ127" si="316">CE114/((1+$B$4)^(BV114-1))</f>
        <v>487.18498461538456</v>
      </c>
      <c r="CK114" s="197">
        <f t="shared" ref="CK114:CK127" si="317">CF114/((1+$B$4)^(BV114-1))</f>
        <v>56.276553846153924</v>
      </c>
      <c r="CL114" s="199">
        <f t="shared" ref="CL114:CL127" si="318">CG114/((1+$B$4)^(BV114-1))</f>
        <v>225.45924615384627</v>
      </c>
      <c r="CM114" s="196">
        <f>CM113+CH114</f>
        <v>629.86153846153843</v>
      </c>
      <c r="CN114" s="197">
        <f t="shared" ref="CN114:CQ128" si="319">CN113+CI114</f>
        <v>345.13269230769231</v>
      </c>
      <c r="CO114" s="197">
        <f t="shared" si="319"/>
        <v>2711.7957686153845</v>
      </c>
      <c r="CP114" s="197">
        <f t="shared" si="319"/>
        <v>-2081.9342301538459</v>
      </c>
      <c r="CQ114" s="199">
        <f t="shared" si="319"/>
        <v>-1736.8015378461537</v>
      </c>
      <c r="CR114" s="197"/>
      <c r="CT114" s="204">
        <v>2</v>
      </c>
      <c r="CU114" s="760">
        <f>'Energy NPV'!$D40*$CV$109</f>
        <v>0</v>
      </c>
      <c r="CV114" s="197">
        <f>'Energy margins'!$L$12</f>
        <v>72</v>
      </c>
      <c r="CW114" s="197">
        <f>CU114*CV114</f>
        <v>0</v>
      </c>
      <c r="CX114" s="197">
        <f>'Margins summary'!$S$14</f>
        <v>175.95</v>
      </c>
      <c r="CY114" s="197">
        <f t="shared" ref="CY114:CY128" si="320">CW114+CX114</f>
        <v>175.95</v>
      </c>
      <c r="CZ114" s="197"/>
      <c r="DA114" s="918">
        <f>'Energy NPV'!U40</f>
        <v>506.67238399999997</v>
      </c>
      <c r="DB114" s="197"/>
      <c r="DC114" s="197">
        <f t="shared" ref="DC114:DC128" si="321">CZ114+DA114+DB114</f>
        <v>506.67238399999997</v>
      </c>
      <c r="DD114" s="197">
        <f t="shared" si="286"/>
        <v>-506.67238399999997</v>
      </c>
      <c r="DE114" s="197">
        <f t="shared" si="287"/>
        <v>-330.72238399999998</v>
      </c>
      <c r="DF114" s="196">
        <f t="shared" ref="DF114:DF127" si="322">CW114/((1+$B$4)^(CT114-1))</f>
        <v>0</v>
      </c>
      <c r="DG114" s="197">
        <f t="shared" ref="DG114:DG127" si="323">CX114/((1+$B$4)^(CT114-1))</f>
        <v>169.18269230769229</v>
      </c>
      <c r="DH114" s="197">
        <f t="shared" ref="DH114:DH127" si="324">DC114/((1+$B$4)^(CT114-1))</f>
        <v>487.18498461538456</v>
      </c>
      <c r="DI114" s="197">
        <f t="shared" ref="DI114:DI127" si="325">DD114/((1+$B$4)^(CT114-1))</f>
        <v>-487.18498461538456</v>
      </c>
      <c r="DJ114" s="199">
        <f t="shared" ref="DJ114:DJ127" si="326">DE114/((1+$B$4)^(CT114-1))</f>
        <v>-318.0022923076923</v>
      </c>
      <c r="DK114" s="196">
        <f>DK113+DF114</f>
        <v>0</v>
      </c>
      <c r="DL114" s="197">
        <f t="shared" ref="DL114:DO128" si="327">DL113+DG114</f>
        <v>345.13269230769231</v>
      </c>
      <c r="DM114" s="197">
        <f t="shared" si="327"/>
        <v>2711.7957686153845</v>
      </c>
      <c r="DN114" s="197">
        <f t="shared" si="327"/>
        <v>-2711.7957686153845</v>
      </c>
      <c r="DO114" s="199">
        <f t="shared" si="327"/>
        <v>-2366.6630763076923</v>
      </c>
    </row>
    <row r="115" spans="2:119" x14ac:dyDescent="0.3">
      <c r="B115" s="204">
        <f t="shared" ref="B115:B128" si="328">B114+1</f>
        <v>3</v>
      </c>
      <c r="C115" s="760">
        <f>'Energy NPV'!$D41*$E$109</f>
        <v>11.099999999999998</v>
      </c>
      <c r="D115" s="197">
        <f>'Energy margins'!$L$12</f>
        <v>72</v>
      </c>
      <c r="E115" s="197">
        <f t="shared" ref="E115:E128" si="329">C115*D115</f>
        <v>799.19999999999982</v>
      </c>
      <c r="F115" s="197">
        <f>'Margins summary'!$S$14</f>
        <v>175.95</v>
      </c>
      <c r="G115" s="197">
        <f t="shared" si="288"/>
        <v>975.14999999999986</v>
      </c>
      <c r="H115" s="197"/>
      <c r="I115" s="918">
        <f>'Energy NPV'!U41</f>
        <v>506.67238399999997</v>
      </c>
      <c r="J115" s="197"/>
      <c r="K115" s="197">
        <f t="shared" si="289"/>
        <v>506.67238399999997</v>
      </c>
      <c r="L115" s="197">
        <f t="shared" si="278"/>
        <v>292.52761599999985</v>
      </c>
      <c r="M115" s="197">
        <f t="shared" si="279"/>
        <v>468.4776159999999</v>
      </c>
      <c r="N115" s="196">
        <f t="shared" si="290"/>
        <v>738.90532544378675</v>
      </c>
      <c r="O115" s="197">
        <f t="shared" si="291"/>
        <v>162.67566568047334</v>
      </c>
      <c r="P115" s="197">
        <f t="shared" si="292"/>
        <v>468.44710059171587</v>
      </c>
      <c r="Q115" s="197">
        <f t="shared" si="293"/>
        <v>270.45822485207083</v>
      </c>
      <c r="R115" s="199">
        <f t="shared" si="294"/>
        <v>433.13389053254423</v>
      </c>
      <c r="S115" s="196">
        <f t="shared" ref="S115:S128" si="330">S114+N115</f>
        <v>1053.8360946745561</v>
      </c>
      <c r="T115" s="197">
        <f t="shared" si="295"/>
        <v>507.80835798816565</v>
      </c>
      <c r="U115" s="197">
        <f t="shared" si="295"/>
        <v>3180.2428692071003</v>
      </c>
      <c r="V115" s="197">
        <f t="shared" si="295"/>
        <v>-2126.4067745325447</v>
      </c>
      <c r="W115" s="199">
        <f t="shared" si="295"/>
        <v>-1618.5984165443788</v>
      </c>
      <c r="X115" s="197"/>
      <c r="Z115" s="204">
        <f t="shared" ref="Z115:Z128" si="331">Z114+1</f>
        <v>3</v>
      </c>
      <c r="AA115" s="760">
        <f>'Energy NPV'!$D41*$AB$109</f>
        <v>16.649999999999999</v>
      </c>
      <c r="AB115" s="197">
        <f>'Energy margins'!$L$12</f>
        <v>72</v>
      </c>
      <c r="AC115" s="197">
        <f t="shared" ref="AC115:AC128" si="332">AA115*AB115</f>
        <v>1198.8</v>
      </c>
      <c r="AD115" s="197">
        <f>'Margins summary'!$S$14</f>
        <v>175.95</v>
      </c>
      <c r="AE115" s="197">
        <f t="shared" si="296"/>
        <v>1374.75</v>
      </c>
      <c r="AF115" s="197"/>
      <c r="AG115" s="918">
        <f>'Energy NPV'!U41</f>
        <v>506.67238399999997</v>
      </c>
      <c r="AH115" s="197"/>
      <c r="AI115" s="197">
        <f t="shared" si="297"/>
        <v>506.67238399999997</v>
      </c>
      <c r="AJ115" s="197">
        <f t="shared" si="280"/>
        <v>692.12761599999999</v>
      </c>
      <c r="AK115" s="197">
        <f t="shared" si="281"/>
        <v>868.07761600000003</v>
      </c>
      <c r="AL115" s="196">
        <f t="shared" si="298"/>
        <v>1108.3579881656804</v>
      </c>
      <c r="AM115" s="197">
        <f t="shared" si="299"/>
        <v>162.67566568047334</v>
      </c>
      <c r="AN115" s="197">
        <f t="shared" si="300"/>
        <v>468.44710059171587</v>
      </c>
      <c r="AO115" s="197">
        <f t="shared" si="301"/>
        <v>639.91088757396437</v>
      </c>
      <c r="AP115" s="199">
        <f t="shared" si="302"/>
        <v>802.58655325443783</v>
      </c>
      <c r="AQ115" s="196">
        <f t="shared" ref="AQ115:AQ127" si="333">AQ114+AL115</f>
        <v>1580.7541420118343</v>
      </c>
      <c r="AR115" s="197">
        <f t="shared" si="303"/>
        <v>507.80835798816565</v>
      </c>
      <c r="AS115" s="197">
        <f t="shared" si="303"/>
        <v>3180.2428692071003</v>
      </c>
      <c r="AT115" s="197">
        <f t="shared" si="303"/>
        <v>-1599.4887271952662</v>
      </c>
      <c r="AU115" s="199">
        <f t="shared" si="303"/>
        <v>-1091.6803692071005</v>
      </c>
      <c r="AV115" s="197"/>
      <c r="AX115" s="204">
        <f t="shared" ref="AX115:AX128" si="334">AX114+1</f>
        <v>3</v>
      </c>
      <c r="AY115" s="760">
        <f>'Energy NPV'!$D41*$AZ$109</f>
        <v>5.5499999999999989</v>
      </c>
      <c r="AZ115" s="197">
        <f>'Energy margins'!$L$12</f>
        <v>72</v>
      </c>
      <c r="BA115" s="197">
        <f t="shared" ref="BA115:BA128" si="335">AY115*AZ115</f>
        <v>399.59999999999991</v>
      </c>
      <c r="BB115" s="197">
        <f>'Margins summary'!$S$14</f>
        <v>175.95</v>
      </c>
      <c r="BC115" s="197">
        <f t="shared" si="304"/>
        <v>575.54999999999995</v>
      </c>
      <c r="BD115" s="197"/>
      <c r="BE115" s="918">
        <f>'Energy NPV'!U41</f>
        <v>506.67238399999997</v>
      </c>
      <c r="BF115" s="197"/>
      <c r="BG115" s="197">
        <f t="shared" si="305"/>
        <v>506.67238399999997</v>
      </c>
      <c r="BH115" s="197">
        <f t="shared" si="282"/>
        <v>-107.07238400000006</v>
      </c>
      <c r="BI115" s="197">
        <f t="shared" si="283"/>
        <v>68.877615999999989</v>
      </c>
      <c r="BJ115" s="196">
        <f t="shared" si="306"/>
        <v>369.45266272189338</v>
      </c>
      <c r="BK115" s="197">
        <f t="shared" si="307"/>
        <v>162.67566568047334</v>
      </c>
      <c r="BL115" s="197">
        <f t="shared" si="308"/>
        <v>468.44710059171587</v>
      </c>
      <c r="BM115" s="197">
        <f t="shared" si="309"/>
        <v>-98.994437869822534</v>
      </c>
      <c r="BN115" s="199">
        <f t="shared" si="310"/>
        <v>63.681227810650867</v>
      </c>
      <c r="BO115" s="196">
        <f t="shared" ref="BO115:BO128" si="336">BO114+BJ115</f>
        <v>526.91804733727804</v>
      </c>
      <c r="BP115" s="197">
        <f t="shared" si="311"/>
        <v>507.80835798816565</v>
      </c>
      <c r="BQ115" s="197">
        <f t="shared" si="311"/>
        <v>3180.2428692071003</v>
      </c>
      <c r="BR115" s="197">
        <f t="shared" si="311"/>
        <v>-2653.3248218698222</v>
      </c>
      <c r="BS115" s="199">
        <f t="shared" si="311"/>
        <v>-2145.5164638816568</v>
      </c>
      <c r="BT115" s="197"/>
      <c r="BV115" s="204">
        <f t="shared" ref="BV115:BV128" si="337">BV114+1</f>
        <v>3</v>
      </c>
      <c r="BW115" s="760">
        <f>'Energy NPV'!$D41*$BX$109</f>
        <v>22.199999999999996</v>
      </c>
      <c r="BX115" s="197">
        <f>'Energy margins'!$L$12</f>
        <v>72</v>
      </c>
      <c r="BY115" s="197">
        <f t="shared" ref="BY115:BY128" si="338">BW115*BX115</f>
        <v>1598.3999999999996</v>
      </c>
      <c r="BZ115" s="197">
        <f>'Margins summary'!$S$14</f>
        <v>175.95</v>
      </c>
      <c r="CA115" s="197">
        <f t="shared" si="312"/>
        <v>1774.3499999999997</v>
      </c>
      <c r="CB115" s="197"/>
      <c r="CC115" s="918">
        <f>'Energy NPV'!U41</f>
        <v>506.67238399999997</v>
      </c>
      <c r="CD115" s="197"/>
      <c r="CE115" s="197">
        <f t="shared" si="313"/>
        <v>506.67238399999997</v>
      </c>
      <c r="CF115" s="197">
        <f t="shared" si="284"/>
        <v>1091.7276159999997</v>
      </c>
      <c r="CG115" s="197">
        <f t="shared" si="285"/>
        <v>1267.6776159999997</v>
      </c>
      <c r="CH115" s="196">
        <f t="shared" si="314"/>
        <v>1477.8106508875735</v>
      </c>
      <c r="CI115" s="197">
        <f t="shared" si="315"/>
        <v>162.67566568047334</v>
      </c>
      <c r="CJ115" s="197">
        <f t="shared" si="316"/>
        <v>468.44710059171587</v>
      </c>
      <c r="CK115" s="197">
        <f t="shared" si="317"/>
        <v>1009.3635502958575</v>
      </c>
      <c r="CL115" s="199">
        <f t="shared" si="318"/>
        <v>1172.039215976331</v>
      </c>
      <c r="CM115" s="196">
        <f t="shared" ref="CM115:CM128" si="339">CM114+CH115</f>
        <v>2107.6721893491122</v>
      </c>
      <c r="CN115" s="197">
        <f t="shared" si="319"/>
        <v>507.80835798816565</v>
      </c>
      <c r="CO115" s="197">
        <f t="shared" si="319"/>
        <v>3180.2428692071003</v>
      </c>
      <c r="CP115" s="197">
        <f t="shared" si="319"/>
        <v>-1072.5706798579884</v>
      </c>
      <c r="CQ115" s="199">
        <f t="shared" si="319"/>
        <v>-564.7623218698227</v>
      </c>
      <c r="CR115" s="197"/>
      <c r="CT115" s="204">
        <f t="shared" ref="CT115:CT128" si="340">CT114+1</f>
        <v>3</v>
      </c>
      <c r="CU115" s="760">
        <f>'Energy NPV'!$D41*$CV$109</f>
        <v>0</v>
      </c>
      <c r="CV115" s="197">
        <f>'Energy margins'!$L$12</f>
        <v>72</v>
      </c>
      <c r="CW115" s="197">
        <f t="shared" ref="CW115:CW128" si="341">CU115*CV115</f>
        <v>0</v>
      </c>
      <c r="CX115" s="197">
        <f>'Margins summary'!$S$14</f>
        <v>175.95</v>
      </c>
      <c r="CY115" s="197">
        <f t="shared" si="320"/>
        <v>175.95</v>
      </c>
      <c r="CZ115" s="197"/>
      <c r="DA115" s="918">
        <f>'Energy NPV'!U41</f>
        <v>506.67238399999997</v>
      </c>
      <c r="DB115" s="197"/>
      <c r="DC115" s="197">
        <f t="shared" si="321"/>
        <v>506.67238399999997</v>
      </c>
      <c r="DD115" s="197">
        <f t="shared" si="286"/>
        <v>-506.67238399999997</v>
      </c>
      <c r="DE115" s="197">
        <f t="shared" si="287"/>
        <v>-330.72238399999998</v>
      </c>
      <c r="DF115" s="196">
        <f t="shared" si="322"/>
        <v>0</v>
      </c>
      <c r="DG115" s="197">
        <f t="shared" si="323"/>
        <v>162.67566568047334</v>
      </c>
      <c r="DH115" s="197">
        <f t="shared" si="324"/>
        <v>468.44710059171587</v>
      </c>
      <c r="DI115" s="197">
        <f t="shared" si="325"/>
        <v>-468.44710059171587</v>
      </c>
      <c r="DJ115" s="199">
        <f t="shared" si="326"/>
        <v>-305.77143491124252</v>
      </c>
      <c r="DK115" s="196">
        <f t="shared" ref="DK115:DK128" si="342">DK114+DF115</f>
        <v>0</v>
      </c>
      <c r="DL115" s="197">
        <f t="shared" si="327"/>
        <v>507.80835798816565</v>
      </c>
      <c r="DM115" s="197">
        <f t="shared" si="327"/>
        <v>3180.2428692071003</v>
      </c>
      <c r="DN115" s="197">
        <f t="shared" si="327"/>
        <v>-3180.2428692071003</v>
      </c>
      <c r="DO115" s="199">
        <f t="shared" si="327"/>
        <v>-2672.4345112189349</v>
      </c>
    </row>
    <row r="116" spans="2:119" x14ac:dyDescent="0.3">
      <c r="B116" s="204">
        <f t="shared" si="328"/>
        <v>4</v>
      </c>
      <c r="C116" s="760">
        <f>'Energy NPV'!$D42*$E$109</f>
        <v>12.54</v>
      </c>
      <c r="D116" s="197">
        <f>'Energy margins'!$L$12</f>
        <v>72</v>
      </c>
      <c r="E116" s="197">
        <f t="shared" si="329"/>
        <v>902.87999999999988</v>
      </c>
      <c r="F116" s="197">
        <f>'Margins summary'!$S$14</f>
        <v>175.95</v>
      </c>
      <c r="G116" s="197">
        <f t="shared" si="288"/>
        <v>1078.83</v>
      </c>
      <c r="H116" s="197"/>
      <c r="I116" s="918">
        <f>'Energy NPV'!U42</f>
        <v>393.31078400000001</v>
      </c>
      <c r="J116" s="197"/>
      <c r="K116" s="197">
        <f t="shared" si="289"/>
        <v>393.31078400000001</v>
      </c>
      <c r="L116" s="197">
        <f t="shared" si="278"/>
        <v>509.56921599999987</v>
      </c>
      <c r="M116" s="197">
        <f t="shared" si="279"/>
        <v>685.51921599999991</v>
      </c>
      <c r="N116" s="196">
        <f t="shared" si="290"/>
        <v>802.65703231679549</v>
      </c>
      <c r="O116" s="197">
        <f t="shared" si="291"/>
        <v>156.41890930814745</v>
      </c>
      <c r="P116" s="197">
        <f t="shared" si="292"/>
        <v>349.65185480200273</v>
      </c>
      <c r="Q116" s="197">
        <f t="shared" si="293"/>
        <v>453.00517751479276</v>
      </c>
      <c r="R116" s="199">
        <f t="shared" si="294"/>
        <v>609.42408682294024</v>
      </c>
      <c r="S116" s="196">
        <f t="shared" si="330"/>
        <v>1856.4931269913516</v>
      </c>
      <c r="T116" s="197">
        <f t="shared" si="295"/>
        <v>664.22726729631313</v>
      </c>
      <c r="U116" s="197">
        <f t="shared" si="295"/>
        <v>3529.8947240091029</v>
      </c>
      <c r="V116" s="197">
        <f t="shared" si="295"/>
        <v>-1673.401597017752</v>
      </c>
      <c r="W116" s="199">
        <f t="shared" si="295"/>
        <v>-1009.1743297214385</v>
      </c>
      <c r="X116" s="197"/>
      <c r="Z116" s="204">
        <f t="shared" si="331"/>
        <v>4</v>
      </c>
      <c r="AA116" s="760">
        <f>'Energy NPV'!$D42*$AB$109</f>
        <v>18.809999999999999</v>
      </c>
      <c r="AB116" s="197">
        <f>'Energy margins'!$L$12</f>
        <v>72</v>
      </c>
      <c r="AC116" s="197">
        <f t="shared" si="332"/>
        <v>1354.32</v>
      </c>
      <c r="AD116" s="197">
        <f>'Margins summary'!$S$14</f>
        <v>175.95</v>
      </c>
      <c r="AE116" s="197">
        <f t="shared" si="296"/>
        <v>1530.27</v>
      </c>
      <c r="AF116" s="197"/>
      <c r="AG116" s="918">
        <f>'Energy NPV'!U42</f>
        <v>393.31078400000001</v>
      </c>
      <c r="AH116" s="197"/>
      <c r="AI116" s="197">
        <f t="shared" si="297"/>
        <v>393.31078400000001</v>
      </c>
      <c r="AJ116" s="197">
        <f t="shared" si="280"/>
        <v>961.00921599999992</v>
      </c>
      <c r="AK116" s="197">
        <f t="shared" si="281"/>
        <v>1136.959216</v>
      </c>
      <c r="AL116" s="196">
        <f t="shared" si="298"/>
        <v>1203.9855484751934</v>
      </c>
      <c r="AM116" s="197">
        <f t="shared" si="299"/>
        <v>156.41890930814745</v>
      </c>
      <c r="AN116" s="197">
        <f t="shared" si="300"/>
        <v>349.65185480200273</v>
      </c>
      <c r="AO116" s="197">
        <f t="shared" si="301"/>
        <v>854.33369367319062</v>
      </c>
      <c r="AP116" s="199">
        <f t="shared" si="302"/>
        <v>1010.7526029813381</v>
      </c>
      <c r="AQ116" s="196">
        <f t="shared" si="333"/>
        <v>2784.7396904870275</v>
      </c>
      <c r="AR116" s="197">
        <f t="shared" si="303"/>
        <v>664.22726729631313</v>
      </c>
      <c r="AS116" s="197">
        <f t="shared" si="303"/>
        <v>3529.8947240091029</v>
      </c>
      <c r="AT116" s="197">
        <f t="shared" si="303"/>
        <v>-745.15503352207554</v>
      </c>
      <c r="AU116" s="199">
        <f t="shared" si="303"/>
        <v>-80.927766225762412</v>
      </c>
      <c r="AV116" s="197"/>
      <c r="AX116" s="204">
        <f t="shared" si="334"/>
        <v>4</v>
      </c>
      <c r="AY116" s="760">
        <f>'Energy NPV'!$D42*$AZ$109</f>
        <v>6.27</v>
      </c>
      <c r="AZ116" s="197">
        <f>'Energy margins'!$L$12</f>
        <v>72</v>
      </c>
      <c r="BA116" s="197">
        <f t="shared" si="335"/>
        <v>451.43999999999994</v>
      </c>
      <c r="BB116" s="197">
        <f>'Margins summary'!$S$14</f>
        <v>175.95</v>
      </c>
      <c r="BC116" s="197">
        <f t="shared" si="304"/>
        <v>627.38999999999987</v>
      </c>
      <c r="BD116" s="197"/>
      <c r="BE116" s="918">
        <f>'Energy NPV'!U42</f>
        <v>393.31078400000001</v>
      </c>
      <c r="BF116" s="197"/>
      <c r="BG116" s="197">
        <f t="shared" si="305"/>
        <v>393.31078400000001</v>
      </c>
      <c r="BH116" s="197">
        <f t="shared" si="282"/>
        <v>58.129215999999928</v>
      </c>
      <c r="BI116" s="197">
        <f t="shared" si="283"/>
        <v>234.07921599999986</v>
      </c>
      <c r="BJ116" s="196">
        <f t="shared" si="306"/>
        <v>401.32851615839775</v>
      </c>
      <c r="BK116" s="197">
        <f t="shared" si="307"/>
        <v>156.41890930814745</v>
      </c>
      <c r="BL116" s="197">
        <f t="shared" si="308"/>
        <v>349.65185480200273</v>
      </c>
      <c r="BM116" s="197">
        <f t="shared" si="309"/>
        <v>51.676661356395016</v>
      </c>
      <c r="BN116" s="199">
        <f t="shared" si="310"/>
        <v>208.09557066454241</v>
      </c>
      <c r="BO116" s="196">
        <f t="shared" si="336"/>
        <v>928.24656349567579</v>
      </c>
      <c r="BP116" s="197">
        <f t="shared" si="311"/>
        <v>664.22726729631313</v>
      </c>
      <c r="BQ116" s="197">
        <f t="shared" si="311"/>
        <v>3529.8947240091029</v>
      </c>
      <c r="BR116" s="197">
        <f t="shared" si="311"/>
        <v>-2601.6481605134272</v>
      </c>
      <c r="BS116" s="199">
        <f t="shared" si="311"/>
        <v>-1937.4208932171143</v>
      </c>
      <c r="BT116" s="197"/>
      <c r="BV116" s="204">
        <f t="shared" si="337"/>
        <v>4</v>
      </c>
      <c r="BW116" s="760">
        <f>'Energy NPV'!$D42*$BX$109</f>
        <v>25.08</v>
      </c>
      <c r="BX116" s="197">
        <f>'Energy margins'!$L$12</f>
        <v>72</v>
      </c>
      <c r="BY116" s="197">
        <f t="shared" si="338"/>
        <v>1805.7599999999998</v>
      </c>
      <c r="BZ116" s="197">
        <f>'Margins summary'!$S$14</f>
        <v>175.95</v>
      </c>
      <c r="CA116" s="197">
        <f t="shared" si="312"/>
        <v>1981.7099999999998</v>
      </c>
      <c r="CB116" s="197"/>
      <c r="CC116" s="918">
        <f>'Energy NPV'!U42</f>
        <v>393.31078400000001</v>
      </c>
      <c r="CD116" s="197"/>
      <c r="CE116" s="197">
        <f t="shared" si="313"/>
        <v>393.31078400000001</v>
      </c>
      <c r="CF116" s="197">
        <f t="shared" si="284"/>
        <v>1412.4492159999998</v>
      </c>
      <c r="CG116" s="197">
        <f t="shared" si="285"/>
        <v>1588.3992159999998</v>
      </c>
      <c r="CH116" s="196">
        <f t="shared" si="314"/>
        <v>1605.314064633591</v>
      </c>
      <c r="CI116" s="197">
        <f t="shared" si="315"/>
        <v>156.41890930814745</v>
      </c>
      <c r="CJ116" s="197">
        <f t="shared" si="316"/>
        <v>349.65185480200273</v>
      </c>
      <c r="CK116" s="197">
        <f t="shared" si="317"/>
        <v>1255.6622098315881</v>
      </c>
      <c r="CL116" s="199">
        <f t="shared" si="318"/>
        <v>1412.0811191397356</v>
      </c>
      <c r="CM116" s="196">
        <f t="shared" si="339"/>
        <v>3712.9862539827031</v>
      </c>
      <c r="CN116" s="197">
        <f t="shared" si="319"/>
        <v>664.22726729631313</v>
      </c>
      <c r="CO116" s="197">
        <f t="shared" si="319"/>
        <v>3529.8947240091029</v>
      </c>
      <c r="CP116" s="197">
        <f t="shared" si="319"/>
        <v>183.09152997359979</v>
      </c>
      <c r="CQ116" s="199">
        <f t="shared" si="319"/>
        <v>847.31879726991292</v>
      </c>
      <c r="CR116" s="197"/>
      <c r="CT116" s="204">
        <f t="shared" si="340"/>
        <v>4</v>
      </c>
      <c r="CU116" s="760">
        <f>'Energy NPV'!$D42*$CV$109</f>
        <v>0</v>
      </c>
      <c r="CV116" s="197">
        <f>'Energy margins'!$L$12</f>
        <v>72</v>
      </c>
      <c r="CW116" s="197">
        <f t="shared" si="341"/>
        <v>0</v>
      </c>
      <c r="CX116" s="197">
        <f>'Margins summary'!$S$14</f>
        <v>175.95</v>
      </c>
      <c r="CY116" s="197">
        <f t="shared" si="320"/>
        <v>175.95</v>
      </c>
      <c r="CZ116" s="197"/>
      <c r="DA116" s="918">
        <f>'Energy NPV'!U42</f>
        <v>393.31078400000001</v>
      </c>
      <c r="DB116" s="197"/>
      <c r="DC116" s="197">
        <f t="shared" si="321"/>
        <v>393.31078400000001</v>
      </c>
      <c r="DD116" s="197">
        <f t="shared" si="286"/>
        <v>-393.31078400000001</v>
      </c>
      <c r="DE116" s="197">
        <f t="shared" si="287"/>
        <v>-217.36078400000002</v>
      </c>
      <c r="DF116" s="196">
        <f t="shared" si="322"/>
        <v>0</v>
      </c>
      <c r="DG116" s="197">
        <f t="shared" si="323"/>
        <v>156.41890930814745</v>
      </c>
      <c r="DH116" s="197">
        <f t="shared" si="324"/>
        <v>349.65185480200273</v>
      </c>
      <c r="DI116" s="197">
        <f t="shared" si="325"/>
        <v>-349.65185480200273</v>
      </c>
      <c r="DJ116" s="199">
        <f t="shared" si="326"/>
        <v>-193.23294549385525</v>
      </c>
      <c r="DK116" s="196">
        <f t="shared" si="342"/>
        <v>0</v>
      </c>
      <c r="DL116" s="197">
        <f t="shared" si="327"/>
        <v>664.22726729631313</v>
      </c>
      <c r="DM116" s="197">
        <f t="shared" si="327"/>
        <v>3529.8947240091029</v>
      </c>
      <c r="DN116" s="197">
        <f t="shared" si="327"/>
        <v>-3529.8947240091029</v>
      </c>
      <c r="DO116" s="199">
        <f t="shared" si="327"/>
        <v>-2865.6674567127902</v>
      </c>
    </row>
    <row r="117" spans="2:119" x14ac:dyDescent="0.3">
      <c r="B117" s="204">
        <f t="shared" si="328"/>
        <v>5</v>
      </c>
      <c r="C117" s="760">
        <f>'Energy NPV'!$D43*$E$109</f>
        <v>12.54</v>
      </c>
      <c r="D117" s="197">
        <f>'Energy margins'!$L$12</f>
        <v>72</v>
      </c>
      <c r="E117" s="197">
        <f t="shared" si="329"/>
        <v>902.87999999999988</v>
      </c>
      <c r="F117" s="197">
        <f>'Margins summary'!$S$14</f>
        <v>175.95</v>
      </c>
      <c r="G117" s="197">
        <f t="shared" si="288"/>
        <v>1078.83</v>
      </c>
      <c r="H117" s="197"/>
      <c r="I117" s="918">
        <f>'Energy NPV'!U43</f>
        <v>393.31078400000001</v>
      </c>
      <c r="J117" s="197"/>
      <c r="K117" s="197">
        <f t="shared" si="289"/>
        <v>393.31078400000001</v>
      </c>
      <c r="L117" s="197">
        <f t="shared" si="278"/>
        <v>509.56921599999987</v>
      </c>
      <c r="M117" s="197">
        <f t="shared" si="279"/>
        <v>685.51921599999991</v>
      </c>
      <c r="N117" s="196">
        <f t="shared" si="290"/>
        <v>771.78560799691866</v>
      </c>
      <c r="O117" s="197">
        <f t="shared" si="291"/>
        <v>150.40279741168024</v>
      </c>
      <c r="P117" s="197">
        <f t="shared" si="292"/>
        <v>336.2037065403872</v>
      </c>
      <c r="Q117" s="197">
        <f t="shared" si="293"/>
        <v>435.58190145653145</v>
      </c>
      <c r="R117" s="199">
        <f t="shared" si="294"/>
        <v>585.98469886821169</v>
      </c>
      <c r="S117" s="196">
        <f t="shared" si="330"/>
        <v>2628.2787349882701</v>
      </c>
      <c r="T117" s="197">
        <f t="shared" si="295"/>
        <v>814.63006470799337</v>
      </c>
      <c r="U117" s="197">
        <f t="shared" si="295"/>
        <v>3866.0984305494903</v>
      </c>
      <c r="V117" s="197">
        <f t="shared" si="295"/>
        <v>-1237.8196955612207</v>
      </c>
      <c r="W117" s="199">
        <f t="shared" si="295"/>
        <v>-423.18963085322684</v>
      </c>
      <c r="X117" s="197"/>
      <c r="Z117" s="204">
        <f t="shared" si="331"/>
        <v>5</v>
      </c>
      <c r="AA117" s="760">
        <f>'Energy NPV'!$D43*$AB$109</f>
        <v>18.809999999999999</v>
      </c>
      <c r="AB117" s="197">
        <f>'Energy margins'!$L$12</f>
        <v>72</v>
      </c>
      <c r="AC117" s="197">
        <f t="shared" si="332"/>
        <v>1354.32</v>
      </c>
      <c r="AD117" s="197">
        <f>'Margins summary'!$S$14</f>
        <v>175.95</v>
      </c>
      <c r="AE117" s="197">
        <f t="shared" si="296"/>
        <v>1530.27</v>
      </c>
      <c r="AF117" s="197"/>
      <c r="AG117" s="918">
        <f>'Energy NPV'!U43</f>
        <v>393.31078400000001</v>
      </c>
      <c r="AH117" s="197"/>
      <c r="AI117" s="197">
        <f t="shared" si="297"/>
        <v>393.31078400000001</v>
      </c>
      <c r="AJ117" s="197">
        <f t="shared" si="280"/>
        <v>961.00921599999992</v>
      </c>
      <c r="AK117" s="197">
        <f t="shared" si="281"/>
        <v>1136.959216</v>
      </c>
      <c r="AL117" s="196">
        <f t="shared" si="298"/>
        <v>1157.6784119953782</v>
      </c>
      <c r="AM117" s="197">
        <f t="shared" si="299"/>
        <v>150.40279741168024</v>
      </c>
      <c r="AN117" s="197">
        <f t="shared" si="300"/>
        <v>336.2037065403872</v>
      </c>
      <c r="AO117" s="197">
        <f t="shared" si="301"/>
        <v>821.47470545499084</v>
      </c>
      <c r="AP117" s="199">
        <f t="shared" si="302"/>
        <v>971.87750286667108</v>
      </c>
      <c r="AQ117" s="196">
        <f t="shared" si="333"/>
        <v>3942.4181024824056</v>
      </c>
      <c r="AR117" s="197">
        <f t="shared" si="303"/>
        <v>814.63006470799337</v>
      </c>
      <c r="AS117" s="197">
        <f t="shared" si="303"/>
        <v>3866.0984305494903</v>
      </c>
      <c r="AT117" s="197">
        <f t="shared" si="303"/>
        <v>76.319671932915298</v>
      </c>
      <c r="AU117" s="199">
        <f t="shared" si="303"/>
        <v>890.94973664090867</v>
      </c>
      <c r="AV117" s="197"/>
      <c r="AX117" s="204">
        <f t="shared" si="334"/>
        <v>5</v>
      </c>
      <c r="AY117" s="760">
        <f>'Energy NPV'!$D43*$AZ$109</f>
        <v>6.27</v>
      </c>
      <c r="AZ117" s="197">
        <f>'Energy margins'!$L$12</f>
        <v>72</v>
      </c>
      <c r="BA117" s="197">
        <f t="shared" si="335"/>
        <v>451.43999999999994</v>
      </c>
      <c r="BB117" s="197">
        <f>'Margins summary'!$S$14</f>
        <v>175.95</v>
      </c>
      <c r="BC117" s="197">
        <f t="shared" si="304"/>
        <v>627.38999999999987</v>
      </c>
      <c r="BD117" s="197"/>
      <c r="BE117" s="918">
        <f>'Energy NPV'!U43</f>
        <v>393.31078400000001</v>
      </c>
      <c r="BF117" s="197"/>
      <c r="BG117" s="197">
        <f t="shared" si="305"/>
        <v>393.31078400000001</v>
      </c>
      <c r="BH117" s="197">
        <f t="shared" si="282"/>
        <v>58.129215999999928</v>
      </c>
      <c r="BI117" s="197">
        <f t="shared" si="283"/>
        <v>234.07921599999986</v>
      </c>
      <c r="BJ117" s="196">
        <f t="shared" si="306"/>
        <v>385.89280399845933</v>
      </c>
      <c r="BK117" s="197">
        <f t="shared" si="307"/>
        <v>150.40279741168024</v>
      </c>
      <c r="BL117" s="197">
        <f t="shared" si="308"/>
        <v>336.2037065403872</v>
      </c>
      <c r="BM117" s="197">
        <f t="shared" si="309"/>
        <v>49.689097458072126</v>
      </c>
      <c r="BN117" s="199">
        <f t="shared" si="310"/>
        <v>200.09189486975231</v>
      </c>
      <c r="BO117" s="196">
        <f t="shared" si="336"/>
        <v>1314.1393674941351</v>
      </c>
      <c r="BP117" s="197">
        <f t="shared" si="311"/>
        <v>814.63006470799337</v>
      </c>
      <c r="BQ117" s="197">
        <f t="shared" si="311"/>
        <v>3866.0984305494903</v>
      </c>
      <c r="BR117" s="197">
        <f t="shared" si="311"/>
        <v>-2551.9590630553553</v>
      </c>
      <c r="BS117" s="199">
        <f t="shared" si="311"/>
        <v>-1737.3289983473619</v>
      </c>
      <c r="BT117" s="197"/>
      <c r="BV117" s="204">
        <f t="shared" si="337"/>
        <v>5</v>
      </c>
      <c r="BW117" s="760">
        <f>'Energy NPV'!$D43*$BX$109</f>
        <v>25.08</v>
      </c>
      <c r="BX117" s="197">
        <f>'Energy margins'!$L$12</f>
        <v>72</v>
      </c>
      <c r="BY117" s="197">
        <f t="shared" si="338"/>
        <v>1805.7599999999998</v>
      </c>
      <c r="BZ117" s="197">
        <f>'Margins summary'!$S$14</f>
        <v>175.95</v>
      </c>
      <c r="CA117" s="197">
        <f t="shared" si="312"/>
        <v>1981.7099999999998</v>
      </c>
      <c r="CB117" s="197"/>
      <c r="CC117" s="918">
        <f>'Energy NPV'!U43</f>
        <v>393.31078400000001</v>
      </c>
      <c r="CD117" s="197"/>
      <c r="CE117" s="197">
        <f t="shared" si="313"/>
        <v>393.31078400000001</v>
      </c>
      <c r="CF117" s="197">
        <f t="shared" si="284"/>
        <v>1412.4492159999998</v>
      </c>
      <c r="CG117" s="197">
        <f t="shared" si="285"/>
        <v>1588.3992159999998</v>
      </c>
      <c r="CH117" s="196">
        <f t="shared" si="314"/>
        <v>1543.5712159938373</v>
      </c>
      <c r="CI117" s="197">
        <f t="shared" si="315"/>
        <v>150.40279741168024</v>
      </c>
      <c r="CJ117" s="197">
        <f t="shared" si="316"/>
        <v>336.2037065403872</v>
      </c>
      <c r="CK117" s="197">
        <f t="shared" si="317"/>
        <v>1207.3675094534501</v>
      </c>
      <c r="CL117" s="199">
        <f t="shared" si="318"/>
        <v>1357.7703068651304</v>
      </c>
      <c r="CM117" s="196">
        <f t="shared" si="339"/>
        <v>5256.5574699765402</v>
      </c>
      <c r="CN117" s="197">
        <f t="shared" si="319"/>
        <v>814.63006470799337</v>
      </c>
      <c r="CO117" s="197">
        <f t="shared" si="319"/>
        <v>3866.0984305494903</v>
      </c>
      <c r="CP117" s="197">
        <f t="shared" si="319"/>
        <v>1390.4590394270499</v>
      </c>
      <c r="CQ117" s="199">
        <f t="shared" si="319"/>
        <v>2205.0891041350433</v>
      </c>
      <c r="CR117" s="197"/>
      <c r="CT117" s="204">
        <f t="shared" si="340"/>
        <v>5</v>
      </c>
      <c r="CU117" s="760">
        <f>'Energy NPV'!$D43*$CV$109</f>
        <v>0</v>
      </c>
      <c r="CV117" s="197">
        <f>'Energy margins'!$L$12</f>
        <v>72</v>
      </c>
      <c r="CW117" s="197">
        <f t="shared" si="341"/>
        <v>0</v>
      </c>
      <c r="CX117" s="197">
        <f>'Margins summary'!$S$14</f>
        <v>175.95</v>
      </c>
      <c r="CY117" s="197">
        <f t="shared" si="320"/>
        <v>175.95</v>
      </c>
      <c r="CZ117" s="197"/>
      <c r="DA117" s="918">
        <f>'Energy NPV'!U43</f>
        <v>393.31078400000001</v>
      </c>
      <c r="DB117" s="197"/>
      <c r="DC117" s="197">
        <f t="shared" si="321"/>
        <v>393.31078400000001</v>
      </c>
      <c r="DD117" s="197">
        <f t="shared" si="286"/>
        <v>-393.31078400000001</v>
      </c>
      <c r="DE117" s="197">
        <f t="shared" si="287"/>
        <v>-217.36078400000002</v>
      </c>
      <c r="DF117" s="196">
        <f t="shared" si="322"/>
        <v>0</v>
      </c>
      <c r="DG117" s="197">
        <f t="shared" si="323"/>
        <v>150.40279741168024</v>
      </c>
      <c r="DH117" s="197">
        <f t="shared" si="324"/>
        <v>336.2037065403872</v>
      </c>
      <c r="DI117" s="197">
        <f t="shared" si="325"/>
        <v>-336.2037065403872</v>
      </c>
      <c r="DJ117" s="199">
        <f t="shared" si="326"/>
        <v>-185.80090912870696</v>
      </c>
      <c r="DK117" s="196">
        <f t="shared" si="342"/>
        <v>0</v>
      </c>
      <c r="DL117" s="197">
        <f t="shared" si="327"/>
        <v>814.63006470799337</v>
      </c>
      <c r="DM117" s="197">
        <f t="shared" si="327"/>
        <v>3866.0984305494903</v>
      </c>
      <c r="DN117" s="197">
        <f t="shared" si="327"/>
        <v>-3866.0984305494903</v>
      </c>
      <c r="DO117" s="199">
        <f t="shared" si="327"/>
        <v>-3051.468365841497</v>
      </c>
    </row>
    <row r="118" spans="2:119" x14ac:dyDescent="0.3">
      <c r="B118" s="204">
        <f t="shared" si="328"/>
        <v>6</v>
      </c>
      <c r="C118" s="760">
        <f>'Energy NPV'!$D44*$E$109</f>
        <v>12.54</v>
      </c>
      <c r="D118" s="197">
        <f>'Energy margins'!$L$12</f>
        <v>72</v>
      </c>
      <c r="E118" s="197">
        <f t="shared" si="329"/>
        <v>902.87999999999988</v>
      </c>
      <c r="F118" s="197">
        <f>'Margins summary'!$S$14</f>
        <v>175.95</v>
      </c>
      <c r="G118" s="197">
        <f t="shared" si="288"/>
        <v>1078.83</v>
      </c>
      <c r="H118" s="197"/>
      <c r="I118" s="918">
        <f>'Energy NPV'!U44</f>
        <v>393.31078400000001</v>
      </c>
      <c r="J118" s="197"/>
      <c r="K118" s="197">
        <f t="shared" si="289"/>
        <v>393.31078400000001</v>
      </c>
      <c r="L118" s="197">
        <f t="shared" si="278"/>
        <v>509.56921599999987</v>
      </c>
      <c r="M118" s="197">
        <f t="shared" si="279"/>
        <v>685.51921599999991</v>
      </c>
      <c r="N118" s="196">
        <f t="shared" si="290"/>
        <v>742.10154615088322</v>
      </c>
      <c r="O118" s="197">
        <f t="shared" si="291"/>
        <v>144.61807443430789</v>
      </c>
      <c r="P118" s="197">
        <f t="shared" si="292"/>
        <v>323.27279475037227</v>
      </c>
      <c r="Q118" s="197">
        <f t="shared" si="293"/>
        <v>418.82875140051095</v>
      </c>
      <c r="R118" s="199">
        <f t="shared" si="294"/>
        <v>563.44682583481892</v>
      </c>
      <c r="S118" s="196">
        <f t="shared" si="330"/>
        <v>3370.3802811391533</v>
      </c>
      <c r="T118" s="197">
        <f t="shared" si="295"/>
        <v>959.24813914230128</v>
      </c>
      <c r="U118" s="197">
        <f t="shared" si="295"/>
        <v>4189.371225299863</v>
      </c>
      <c r="V118" s="197">
        <f t="shared" si="295"/>
        <v>-818.99094416070966</v>
      </c>
      <c r="W118" s="199">
        <f t="shared" si="295"/>
        <v>140.25719498159208</v>
      </c>
      <c r="X118" s="197"/>
      <c r="Z118" s="204">
        <f t="shared" si="331"/>
        <v>6</v>
      </c>
      <c r="AA118" s="760">
        <f>'Energy NPV'!$D44*$AB$109</f>
        <v>18.809999999999999</v>
      </c>
      <c r="AB118" s="197">
        <f>'Energy margins'!$L$12</f>
        <v>72</v>
      </c>
      <c r="AC118" s="197">
        <f t="shared" si="332"/>
        <v>1354.32</v>
      </c>
      <c r="AD118" s="197">
        <f>'Margins summary'!$S$14</f>
        <v>175.95</v>
      </c>
      <c r="AE118" s="197">
        <f t="shared" si="296"/>
        <v>1530.27</v>
      </c>
      <c r="AF118" s="197"/>
      <c r="AG118" s="918">
        <f>'Energy NPV'!U44</f>
        <v>393.31078400000001</v>
      </c>
      <c r="AH118" s="197"/>
      <c r="AI118" s="197">
        <f t="shared" si="297"/>
        <v>393.31078400000001</v>
      </c>
      <c r="AJ118" s="197">
        <f t="shared" si="280"/>
        <v>961.00921599999992</v>
      </c>
      <c r="AK118" s="197">
        <f t="shared" si="281"/>
        <v>1136.959216</v>
      </c>
      <c r="AL118" s="196">
        <f t="shared" si="298"/>
        <v>1113.1523192263248</v>
      </c>
      <c r="AM118" s="197">
        <f t="shared" si="299"/>
        <v>144.61807443430789</v>
      </c>
      <c r="AN118" s="197">
        <f t="shared" si="300"/>
        <v>323.27279475037227</v>
      </c>
      <c r="AO118" s="197">
        <f t="shared" si="301"/>
        <v>789.87952447595262</v>
      </c>
      <c r="AP118" s="199">
        <f t="shared" si="302"/>
        <v>934.49759891026065</v>
      </c>
      <c r="AQ118" s="196">
        <f t="shared" si="333"/>
        <v>5055.5704217087305</v>
      </c>
      <c r="AR118" s="197">
        <f t="shared" si="303"/>
        <v>959.24813914230128</v>
      </c>
      <c r="AS118" s="197">
        <f t="shared" si="303"/>
        <v>4189.371225299863</v>
      </c>
      <c r="AT118" s="197">
        <f t="shared" si="303"/>
        <v>866.19919640886792</v>
      </c>
      <c r="AU118" s="199">
        <f t="shared" si="303"/>
        <v>1825.4473355511693</v>
      </c>
      <c r="AV118" s="197"/>
      <c r="AX118" s="204">
        <f t="shared" si="334"/>
        <v>6</v>
      </c>
      <c r="AY118" s="760">
        <f>'Energy NPV'!$D44*$AZ$109</f>
        <v>6.27</v>
      </c>
      <c r="AZ118" s="197">
        <f>'Energy margins'!$L$12</f>
        <v>72</v>
      </c>
      <c r="BA118" s="197">
        <f t="shared" si="335"/>
        <v>451.43999999999994</v>
      </c>
      <c r="BB118" s="197">
        <f>'Margins summary'!$S$14</f>
        <v>175.95</v>
      </c>
      <c r="BC118" s="197">
        <f t="shared" si="304"/>
        <v>627.38999999999987</v>
      </c>
      <c r="BD118" s="197"/>
      <c r="BE118" s="918">
        <f>'Energy NPV'!U44</f>
        <v>393.31078400000001</v>
      </c>
      <c r="BF118" s="197"/>
      <c r="BG118" s="197">
        <f t="shared" si="305"/>
        <v>393.31078400000001</v>
      </c>
      <c r="BH118" s="197">
        <f t="shared" si="282"/>
        <v>58.129215999999928</v>
      </c>
      <c r="BI118" s="197">
        <f t="shared" si="283"/>
        <v>234.07921599999986</v>
      </c>
      <c r="BJ118" s="196">
        <f t="shared" si="306"/>
        <v>371.05077307544161</v>
      </c>
      <c r="BK118" s="197">
        <f t="shared" si="307"/>
        <v>144.61807443430789</v>
      </c>
      <c r="BL118" s="197">
        <f t="shared" si="308"/>
        <v>323.27279475037227</v>
      </c>
      <c r="BM118" s="197">
        <f t="shared" si="309"/>
        <v>47.777978325069348</v>
      </c>
      <c r="BN118" s="199">
        <f t="shared" si="310"/>
        <v>192.3960527593772</v>
      </c>
      <c r="BO118" s="196">
        <f t="shared" si="336"/>
        <v>1685.1901405695767</v>
      </c>
      <c r="BP118" s="197">
        <f t="shared" si="311"/>
        <v>959.24813914230128</v>
      </c>
      <c r="BQ118" s="197">
        <f t="shared" si="311"/>
        <v>4189.371225299863</v>
      </c>
      <c r="BR118" s="197">
        <f t="shared" si="311"/>
        <v>-2504.1810847302859</v>
      </c>
      <c r="BS118" s="199">
        <f t="shared" si="311"/>
        <v>-1544.9329455879847</v>
      </c>
      <c r="BT118" s="197"/>
      <c r="BV118" s="204">
        <f t="shared" si="337"/>
        <v>6</v>
      </c>
      <c r="BW118" s="760">
        <f>'Energy NPV'!$D44*$BX$109</f>
        <v>25.08</v>
      </c>
      <c r="BX118" s="197">
        <f>'Energy margins'!$L$12</f>
        <v>72</v>
      </c>
      <c r="BY118" s="197">
        <f t="shared" si="338"/>
        <v>1805.7599999999998</v>
      </c>
      <c r="BZ118" s="197">
        <f>'Margins summary'!$S$14</f>
        <v>175.95</v>
      </c>
      <c r="CA118" s="197">
        <f t="shared" si="312"/>
        <v>1981.7099999999998</v>
      </c>
      <c r="CB118" s="197"/>
      <c r="CC118" s="918">
        <f>'Energy NPV'!U44</f>
        <v>393.31078400000001</v>
      </c>
      <c r="CD118" s="197"/>
      <c r="CE118" s="197">
        <f t="shared" si="313"/>
        <v>393.31078400000001</v>
      </c>
      <c r="CF118" s="197">
        <f t="shared" si="284"/>
        <v>1412.4492159999998</v>
      </c>
      <c r="CG118" s="197">
        <f t="shared" si="285"/>
        <v>1588.3992159999998</v>
      </c>
      <c r="CH118" s="196">
        <f t="shared" si="314"/>
        <v>1484.2030923017664</v>
      </c>
      <c r="CI118" s="197">
        <f t="shared" si="315"/>
        <v>144.61807443430789</v>
      </c>
      <c r="CJ118" s="197">
        <f t="shared" si="316"/>
        <v>323.27279475037227</v>
      </c>
      <c r="CK118" s="197">
        <f t="shared" si="317"/>
        <v>1160.9302975513942</v>
      </c>
      <c r="CL118" s="199">
        <f t="shared" si="318"/>
        <v>1305.548371985702</v>
      </c>
      <c r="CM118" s="196">
        <f t="shared" si="339"/>
        <v>6740.7605622783067</v>
      </c>
      <c r="CN118" s="197">
        <f t="shared" si="319"/>
        <v>959.24813914230128</v>
      </c>
      <c r="CO118" s="197">
        <f t="shared" si="319"/>
        <v>4189.371225299863</v>
      </c>
      <c r="CP118" s="197">
        <f t="shared" si="319"/>
        <v>2551.3893369784441</v>
      </c>
      <c r="CQ118" s="199">
        <f t="shared" si="319"/>
        <v>3510.6374761207453</v>
      </c>
      <c r="CR118" s="197"/>
      <c r="CT118" s="204">
        <f t="shared" si="340"/>
        <v>6</v>
      </c>
      <c r="CU118" s="760">
        <f>'Energy NPV'!$D44*$CV$109</f>
        <v>0</v>
      </c>
      <c r="CV118" s="197">
        <f>'Energy margins'!$L$12</f>
        <v>72</v>
      </c>
      <c r="CW118" s="197">
        <f t="shared" si="341"/>
        <v>0</v>
      </c>
      <c r="CX118" s="197">
        <f>'Margins summary'!$S$14</f>
        <v>175.95</v>
      </c>
      <c r="CY118" s="197">
        <f t="shared" si="320"/>
        <v>175.95</v>
      </c>
      <c r="CZ118" s="197"/>
      <c r="DA118" s="918">
        <f>'Energy NPV'!U44</f>
        <v>393.31078400000001</v>
      </c>
      <c r="DB118" s="197"/>
      <c r="DC118" s="197">
        <f t="shared" si="321"/>
        <v>393.31078400000001</v>
      </c>
      <c r="DD118" s="197">
        <f t="shared" si="286"/>
        <v>-393.31078400000001</v>
      </c>
      <c r="DE118" s="197">
        <f t="shared" si="287"/>
        <v>-217.36078400000002</v>
      </c>
      <c r="DF118" s="196">
        <f t="shared" si="322"/>
        <v>0</v>
      </c>
      <c r="DG118" s="197">
        <f t="shared" si="323"/>
        <v>144.61807443430789</v>
      </c>
      <c r="DH118" s="197">
        <f t="shared" si="324"/>
        <v>323.27279475037227</v>
      </c>
      <c r="DI118" s="197">
        <f t="shared" si="325"/>
        <v>-323.27279475037227</v>
      </c>
      <c r="DJ118" s="199">
        <f t="shared" si="326"/>
        <v>-178.65472031606438</v>
      </c>
      <c r="DK118" s="196">
        <f t="shared" si="342"/>
        <v>0</v>
      </c>
      <c r="DL118" s="197">
        <f t="shared" si="327"/>
        <v>959.24813914230128</v>
      </c>
      <c r="DM118" s="197">
        <f t="shared" si="327"/>
        <v>4189.371225299863</v>
      </c>
      <c r="DN118" s="197">
        <f t="shared" si="327"/>
        <v>-4189.371225299863</v>
      </c>
      <c r="DO118" s="199">
        <f t="shared" si="327"/>
        <v>-3230.1230861575614</v>
      </c>
    </row>
    <row r="119" spans="2:119" x14ac:dyDescent="0.3">
      <c r="B119" s="204">
        <f t="shared" si="328"/>
        <v>7</v>
      </c>
      <c r="C119" s="760">
        <f>'Energy NPV'!$D45*$E$109</f>
        <v>12.54</v>
      </c>
      <c r="D119" s="197">
        <f>'Energy margins'!$L$12</f>
        <v>72</v>
      </c>
      <c r="E119" s="197">
        <f t="shared" si="329"/>
        <v>902.87999999999988</v>
      </c>
      <c r="F119" s="197">
        <f>'Margins summary'!$S$14</f>
        <v>175.95</v>
      </c>
      <c r="G119" s="197">
        <f t="shared" si="288"/>
        <v>1078.83</v>
      </c>
      <c r="H119" s="197"/>
      <c r="I119" s="918">
        <f>'Energy NPV'!U45</f>
        <v>393.31078400000001</v>
      </c>
      <c r="J119" s="197"/>
      <c r="K119" s="197">
        <f t="shared" si="289"/>
        <v>393.31078400000001</v>
      </c>
      <c r="L119" s="197">
        <f t="shared" si="278"/>
        <v>509.56921599999987</v>
      </c>
      <c r="M119" s="197">
        <f t="shared" si="279"/>
        <v>685.51921599999991</v>
      </c>
      <c r="N119" s="196">
        <f t="shared" si="290"/>
        <v>713.55917899123392</v>
      </c>
      <c r="O119" s="197">
        <f t="shared" si="291"/>
        <v>139.05584080221914</v>
      </c>
      <c r="P119" s="197">
        <f t="shared" si="292"/>
        <v>310.83922572151181</v>
      </c>
      <c r="Q119" s="197">
        <f t="shared" si="293"/>
        <v>402.71995326972205</v>
      </c>
      <c r="R119" s="199">
        <f t="shared" si="294"/>
        <v>541.77579407194128</v>
      </c>
      <c r="S119" s="196">
        <f t="shared" si="330"/>
        <v>4083.9394601303875</v>
      </c>
      <c r="T119" s="197">
        <f t="shared" si="295"/>
        <v>1098.3039799445205</v>
      </c>
      <c r="U119" s="197">
        <f t="shared" si="295"/>
        <v>4500.2104510213749</v>
      </c>
      <c r="V119" s="197">
        <f t="shared" si="295"/>
        <v>-416.2709908909876</v>
      </c>
      <c r="W119" s="199">
        <f t="shared" si="295"/>
        <v>682.03298905353336</v>
      </c>
      <c r="X119" s="197"/>
      <c r="Z119" s="204">
        <f t="shared" si="331"/>
        <v>7</v>
      </c>
      <c r="AA119" s="760">
        <f>'Energy NPV'!$D45*$AB$109</f>
        <v>18.809999999999999</v>
      </c>
      <c r="AB119" s="197">
        <f>'Energy margins'!$L$12</f>
        <v>72</v>
      </c>
      <c r="AC119" s="197">
        <f t="shared" si="332"/>
        <v>1354.32</v>
      </c>
      <c r="AD119" s="197">
        <f>'Margins summary'!$S$14</f>
        <v>175.95</v>
      </c>
      <c r="AE119" s="197">
        <f t="shared" si="296"/>
        <v>1530.27</v>
      </c>
      <c r="AF119" s="197"/>
      <c r="AG119" s="918">
        <f>'Energy NPV'!U45</f>
        <v>393.31078400000001</v>
      </c>
      <c r="AH119" s="197"/>
      <c r="AI119" s="197">
        <f t="shared" si="297"/>
        <v>393.31078400000001</v>
      </c>
      <c r="AJ119" s="197">
        <f t="shared" si="280"/>
        <v>961.00921599999992</v>
      </c>
      <c r="AK119" s="197">
        <f t="shared" si="281"/>
        <v>1136.959216</v>
      </c>
      <c r="AL119" s="196">
        <f t="shared" si="298"/>
        <v>1070.338768486851</v>
      </c>
      <c r="AM119" s="197">
        <f t="shared" si="299"/>
        <v>139.05584080221914</v>
      </c>
      <c r="AN119" s="197">
        <f t="shared" si="300"/>
        <v>310.83922572151181</v>
      </c>
      <c r="AO119" s="197">
        <f t="shared" si="301"/>
        <v>759.49954276533913</v>
      </c>
      <c r="AP119" s="199">
        <f t="shared" si="302"/>
        <v>898.55538356755824</v>
      </c>
      <c r="AQ119" s="196">
        <f t="shared" si="333"/>
        <v>6125.9091901955817</v>
      </c>
      <c r="AR119" s="197">
        <f t="shared" si="303"/>
        <v>1098.3039799445205</v>
      </c>
      <c r="AS119" s="197">
        <f t="shared" si="303"/>
        <v>4500.2104510213749</v>
      </c>
      <c r="AT119" s="197">
        <f t="shared" si="303"/>
        <v>1625.698739174207</v>
      </c>
      <c r="AU119" s="199">
        <f t="shared" si="303"/>
        <v>2724.0027191187273</v>
      </c>
      <c r="AV119" s="197"/>
      <c r="AX119" s="204">
        <f t="shared" si="334"/>
        <v>7</v>
      </c>
      <c r="AY119" s="760">
        <f>'Energy NPV'!$D45*$AZ$109</f>
        <v>6.27</v>
      </c>
      <c r="AZ119" s="197">
        <f>'Energy margins'!$L$12</f>
        <v>72</v>
      </c>
      <c r="BA119" s="197">
        <f t="shared" si="335"/>
        <v>451.43999999999994</v>
      </c>
      <c r="BB119" s="197">
        <f>'Margins summary'!$S$14</f>
        <v>175.95</v>
      </c>
      <c r="BC119" s="197">
        <f t="shared" si="304"/>
        <v>627.38999999999987</v>
      </c>
      <c r="BD119" s="197"/>
      <c r="BE119" s="918">
        <f>'Energy NPV'!U45</f>
        <v>393.31078400000001</v>
      </c>
      <c r="BF119" s="197"/>
      <c r="BG119" s="197">
        <f t="shared" si="305"/>
        <v>393.31078400000001</v>
      </c>
      <c r="BH119" s="197">
        <f t="shared" si="282"/>
        <v>58.129215999999928</v>
      </c>
      <c r="BI119" s="197">
        <f t="shared" si="283"/>
        <v>234.07921599999986</v>
      </c>
      <c r="BJ119" s="196">
        <f t="shared" si="306"/>
        <v>356.77958949561696</v>
      </c>
      <c r="BK119" s="197">
        <f t="shared" si="307"/>
        <v>139.05584080221914</v>
      </c>
      <c r="BL119" s="197">
        <f t="shared" si="308"/>
        <v>310.83922572151181</v>
      </c>
      <c r="BM119" s="197">
        <f t="shared" si="309"/>
        <v>45.940363774105144</v>
      </c>
      <c r="BN119" s="199">
        <f t="shared" si="310"/>
        <v>184.99620457632423</v>
      </c>
      <c r="BO119" s="196">
        <f t="shared" si="336"/>
        <v>2041.9697300651937</v>
      </c>
      <c r="BP119" s="197">
        <f t="shared" si="311"/>
        <v>1098.3039799445205</v>
      </c>
      <c r="BQ119" s="197">
        <f t="shared" si="311"/>
        <v>4500.2104510213749</v>
      </c>
      <c r="BR119" s="197">
        <f t="shared" si="311"/>
        <v>-2458.2407209561807</v>
      </c>
      <c r="BS119" s="199">
        <f t="shared" si="311"/>
        <v>-1359.9367410116604</v>
      </c>
      <c r="BT119" s="197"/>
      <c r="BV119" s="204">
        <f t="shared" si="337"/>
        <v>7</v>
      </c>
      <c r="BW119" s="760">
        <f>'Energy NPV'!$D45*$BX$109</f>
        <v>25.08</v>
      </c>
      <c r="BX119" s="197">
        <f>'Energy margins'!$L$12</f>
        <v>72</v>
      </c>
      <c r="BY119" s="197">
        <f t="shared" si="338"/>
        <v>1805.7599999999998</v>
      </c>
      <c r="BZ119" s="197">
        <f>'Margins summary'!$S$14</f>
        <v>175.95</v>
      </c>
      <c r="CA119" s="197">
        <f t="shared" si="312"/>
        <v>1981.7099999999998</v>
      </c>
      <c r="CB119" s="197"/>
      <c r="CC119" s="918">
        <f>'Energy NPV'!U45</f>
        <v>393.31078400000001</v>
      </c>
      <c r="CD119" s="197"/>
      <c r="CE119" s="197">
        <f t="shared" si="313"/>
        <v>393.31078400000001</v>
      </c>
      <c r="CF119" s="197">
        <f t="shared" si="284"/>
        <v>1412.4492159999998</v>
      </c>
      <c r="CG119" s="197">
        <f t="shared" si="285"/>
        <v>1588.3992159999998</v>
      </c>
      <c r="CH119" s="196">
        <f t="shared" si="314"/>
        <v>1427.1183579824678</v>
      </c>
      <c r="CI119" s="197">
        <f t="shared" si="315"/>
        <v>139.05584080221914</v>
      </c>
      <c r="CJ119" s="197">
        <f t="shared" si="316"/>
        <v>310.83922572151181</v>
      </c>
      <c r="CK119" s="197">
        <f t="shared" si="317"/>
        <v>1116.279132260956</v>
      </c>
      <c r="CL119" s="199">
        <f t="shared" si="318"/>
        <v>1255.3349730631751</v>
      </c>
      <c r="CM119" s="196">
        <f t="shared" si="339"/>
        <v>8167.878920260775</v>
      </c>
      <c r="CN119" s="197">
        <f t="shared" si="319"/>
        <v>1098.3039799445205</v>
      </c>
      <c r="CO119" s="197">
        <f t="shared" si="319"/>
        <v>4500.2104510213749</v>
      </c>
      <c r="CP119" s="197">
        <f t="shared" si="319"/>
        <v>3667.6684692394001</v>
      </c>
      <c r="CQ119" s="199">
        <f t="shared" si="319"/>
        <v>4765.9724491839206</v>
      </c>
      <c r="CR119" s="197"/>
      <c r="CT119" s="204">
        <f t="shared" si="340"/>
        <v>7</v>
      </c>
      <c r="CU119" s="760">
        <f>'Energy NPV'!$D45*$CV$109</f>
        <v>0</v>
      </c>
      <c r="CV119" s="197">
        <f>'Energy margins'!$L$12</f>
        <v>72</v>
      </c>
      <c r="CW119" s="197">
        <f t="shared" si="341"/>
        <v>0</v>
      </c>
      <c r="CX119" s="197">
        <f>'Margins summary'!$S$14</f>
        <v>175.95</v>
      </c>
      <c r="CY119" s="197">
        <f t="shared" si="320"/>
        <v>175.95</v>
      </c>
      <c r="CZ119" s="197"/>
      <c r="DA119" s="918">
        <f>'Energy NPV'!U45</f>
        <v>393.31078400000001</v>
      </c>
      <c r="DB119" s="197"/>
      <c r="DC119" s="197">
        <f t="shared" si="321"/>
        <v>393.31078400000001</v>
      </c>
      <c r="DD119" s="197">
        <f t="shared" si="286"/>
        <v>-393.31078400000001</v>
      </c>
      <c r="DE119" s="197">
        <f t="shared" si="287"/>
        <v>-217.36078400000002</v>
      </c>
      <c r="DF119" s="196">
        <f t="shared" si="322"/>
        <v>0</v>
      </c>
      <c r="DG119" s="197">
        <f t="shared" si="323"/>
        <v>139.05584080221914</v>
      </c>
      <c r="DH119" s="197">
        <f t="shared" si="324"/>
        <v>310.83922572151181</v>
      </c>
      <c r="DI119" s="197">
        <f t="shared" si="325"/>
        <v>-310.83922572151181</v>
      </c>
      <c r="DJ119" s="199">
        <f t="shared" si="326"/>
        <v>-171.78338491929267</v>
      </c>
      <c r="DK119" s="196">
        <f t="shared" si="342"/>
        <v>0</v>
      </c>
      <c r="DL119" s="197">
        <f t="shared" si="327"/>
        <v>1098.3039799445205</v>
      </c>
      <c r="DM119" s="197">
        <f t="shared" si="327"/>
        <v>4500.2104510213749</v>
      </c>
      <c r="DN119" s="197">
        <f t="shared" si="327"/>
        <v>-4500.2104510213749</v>
      </c>
      <c r="DO119" s="199">
        <f t="shared" si="327"/>
        <v>-3401.9064710768539</v>
      </c>
    </row>
    <row r="120" spans="2:119" x14ac:dyDescent="0.3">
      <c r="B120" s="204">
        <f t="shared" si="328"/>
        <v>8</v>
      </c>
      <c r="C120" s="760">
        <f>'Energy NPV'!$D46*$E$109</f>
        <v>12.54</v>
      </c>
      <c r="D120" s="197">
        <f>'Energy margins'!$L$12</f>
        <v>72</v>
      </c>
      <c r="E120" s="197">
        <f t="shared" si="329"/>
        <v>902.87999999999988</v>
      </c>
      <c r="F120" s="197">
        <f>'Margins summary'!$S$14</f>
        <v>175.95</v>
      </c>
      <c r="G120" s="197">
        <f t="shared" si="288"/>
        <v>1078.83</v>
      </c>
      <c r="H120" s="197"/>
      <c r="I120" s="918">
        <f>'Energy NPV'!U46</f>
        <v>393.31078400000001</v>
      </c>
      <c r="J120" s="197"/>
      <c r="K120" s="197">
        <f t="shared" si="289"/>
        <v>393.31078400000001</v>
      </c>
      <c r="L120" s="197">
        <f t="shared" si="278"/>
        <v>509.56921599999987</v>
      </c>
      <c r="M120" s="197">
        <f t="shared" si="279"/>
        <v>685.51921599999991</v>
      </c>
      <c r="N120" s="196">
        <f t="shared" si="290"/>
        <v>686.11459518387881</v>
      </c>
      <c r="O120" s="197">
        <f t="shared" si="291"/>
        <v>133.70753923290303</v>
      </c>
      <c r="P120" s="197">
        <f t="shared" si="292"/>
        <v>298.88387088606908</v>
      </c>
      <c r="Q120" s="197">
        <f t="shared" si="293"/>
        <v>387.23072429780973</v>
      </c>
      <c r="R120" s="199">
        <f t="shared" si="294"/>
        <v>520.93826353071279</v>
      </c>
      <c r="S120" s="196">
        <f t="shared" si="330"/>
        <v>4770.0540553142664</v>
      </c>
      <c r="T120" s="197">
        <f t="shared" si="295"/>
        <v>1232.0115191774235</v>
      </c>
      <c r="U120" s="197">
        <f t="shared" si="295"/>
        <v>4799.0943219074443</v>
      </c>
      <c r="V120" s="197">
        <f t="shared" si="295"/>
        <v>-29.040266593177876</v>
      </c>
      <c r="W120" s="199">
        <f t="shared" si="295"/>
        <v>1202.971252584246</v>
      </c>
      <c r="X120" s="197"/>
      <c r="Z120" s="204">
        <f t="shared" si="331"/>
        <v>8</v>
      </c>
      <c r="AA120" s="760">
        <f>'Energy NPV'!$D46*$AB$109</f>
        <v>18.809999999999999</v>
      </c>
      <c r="AB120" s="197">
        <f>'Energy margins'!$L$12</f>
        <v>72</v>
      </c>
      <c r="AC120" s="197">
        <f t="shared" si="332"/>
        <v>1354.32</v>
      </c>
      <c r="AD120" s="197">
        <f>'Margins summary'!$S$14</f>
        <v>175.95</v>
      </c>
      <c r="AE120" s="197">
        <f t="shared" si="296"/>
        <v>1530.27</v>
      </c>
      <c r="AF120" s="197"/>
      <c r="AG120" s="918">
        <f>'Energy NPV'!U46</f>
        <v>393.31078400000001</v>
      </c>
      <c r="AH120" s="197"/>
      <c r="AI120" s="197">
        <f t="shared" si="297"/>
        <v>393.31078400000001</v>
      </c>
      <c r="AJ120" s="197">
        <f t="shared" si="280"/>
        <v>961.00921599999992</v>
      </c>
      <c r="AK120" s="197">
        <f t="shared" si="281"/>
        <v>1136.959216</v>
      </c>
      <c r="AL120" s="196">
        <f t="shared" si="298"/>
        <v>1029.1718927758182</v>
      </c>
      <c r="AM120" s="197">
        <f t="shared" si="299"/>
        <v>133.70753923290303</v>
      </c>
      <c r="AN120" s="197">
        <f t="shared" si="300"/>
        <v>298.88387088606908</v>
      </c>
      <c r="AO120" s="197">
        <f t="shared" si="301"/>
        <v>730.28802188974919</v>
      </c>
      <c r="AP120" s="199">
        <f t="shared" si="302"/>
        <v>863.99556112265225</v>
      </c>
      <c r="AQ120" s="196">
        <f t="shared" si="333"/>
        <v>7155.0810829714001</v>
      </c>
      <c r="AR120" s="197">
        <f t="shared" si="303"/>
        <v>1232.0115191774235</v>
      </c>
      <c r="AS120" s="197">
        <f t="shared" si="303"/>
        <v>4799.0943219074443</v>
      </c>
      <c r="AT120" s="197">
        <f t="shared" si="303"/>
        <v>2355.9867610639562</v>
      </c>
      <c r="AU120" s="199">
        <f t="shared" si="303"/>
        <v>3587.9982802413797</v>
      </c>
      <c r="AV120" s="197"/>
      <c r="AX120" s="204">
        <f t="shared" si="334"/>
        <v>8</v>
      </c>
      <c r="AY120" s="760">
        <f>'Energy NPV'!$D46*$AZ$109</f>
        <v>6.27</v>
      </c>
      <c r="AZ120" s="197">
        <f>'Energy margins'!$L$12</f>
        <v>72</v>
      </c>
      <c r="BA120" s="197">
        <f t="shared" si="335"/>
        <v>451.43999999999994</v>
      </c>
      <c r="BB120" s="197">
        <f>'Margins summary'!$S$14</f>
        <v>175.95</v>
      </c>
      <c r="BC120" s="197">
        <f t="shared" si="304"/>
        <v>627.38999999999987</v>
      </c>
      <c r="BD120" s="197"/>
      <c r="BE120" s="918">
        <f>'Energy NPV'!U46</f>
        <v>393.31078400000001</v>
      </c>
      <c r="BF120" s="197"/>
      <c r="BG120" s="197">
        <f t="shared" si="305"/>
        <v>393.31078400000001</v>
      </c>
      <c r="BH120" s="197">
        <f t="shared" si="282"/>
        <v>58.129215999999928</v>
      </c>
      <c r="BI120" s="197">
        <f t="shared" si="283"/>
        <v>234.07921599999986</v>
      </c>
      <c r="BJ120" s="196">
        <f t="shared" si="306"/>
        <v>343.0572975919394</v>
      </c>
      <c r="BK120" s="197">
        <f t="shared" si="307"/>
        <v>133.70753923290303</v>
      </c>
      <c r="BL120" s="197">
        <f t="shared" si="308"/>
        <v>298.88387088606908</v>
      </c>
      <c r="BM120" s="197">
        <f t="shared" si="309"/>
        <v>44.173426705870334</v>
      </c>
      <c r="BN120" s="199">
        <f t="shared" si="310"/>
        <v>177.8809659387733</v>
      </c>
      <c r="BO120" s="196">
        <f t="shared" si="336"/>
        <v>2385.0270276571332</v>
      </c>
      <c r="BP120" s="197">
        <f t="shared" si="311"/>
        <v>1232.0115191774235</v>
      </c>
      <c r="BQ120" s="197">
        <f t="shared" si="311"/>
        <v>4799.0943219074443</v>
      </c>
      <c r="BR120" s="197">
        <f t="shared" si="311"/>
        <v>-2414.0672942503102</v>
      </c>
      <c r="BS120" s="199">
        <f t="shared" si="311"/>
        <v>-1182.0557750728872</v>
      </c>
      <c r="BT120" s="197"/>
      <c r="BV120" s="204">
        <f t="shared" si="337"/>
        <v>8</v>
      </c>
      <c r="BW120" s="760">
        <f>'Energy NPV'!$D46*$BX$109</f>
        <v>25.08</v>
      </c>
      <c r="BX120" s="197">
        <f>'Energy margins'!$L$12</f>
        <v>72</v>
      </c>
      <c r="BY120" s="197">
        <f t="shared" si="338"/>
        <v>1805.7599999999998</v>
      </c>
      <c r="BZ120" s="197">
        <f>'Margins summary'!$S$14</f>
        <v>175.95</v>
      </c>
      <c r="CA120" s="197">
        <f t="shared" si="312"/>
        <v>1981.7099999999998</v>
      </c>
      <c r="CB120" s="197"/>
      <c r="CC120" s="918">
        <f>'Energy NPV'!U46</f>
        <v>393.31078400000001</v>
      </c>
      <c r="CD120" s="197"/>
      <c r="CE120" s="197">
        <f t="shared" si="313"/>
        <v>393.31078400000001</v>
      </c>
      <c r="CF120" s="197">
        <f t="shared" si="284"/>
        <v>1412.4492159999998</v>
      </c>
      <c r="CG120" s="197">
        <f t="shared" si="285"/>
        <v>1588.3992159999998</v>
      </c>
      <c r="CH120" s="196">
        <f t="shared" si="314"/>
        <v>1372.2291903677576</v>
      </c>
      <c r="CI120" s="197">
        <f t="shared" si="315"/>
        <v>133.70753923290303</v>
      </c>
      <c r="CJ120" s="197">
        <f t="shared" si="316"/>
        <v>298.88387088606908</v>
      </c>
      <c r="CK120" s="197">
        <f t="shared" si="317"/>
        <v>1073.3453194816884</v>
      </c>
      <c r="CL120" s="199">
        <f t="shared" si="318"/>
        <v>1207.0528587145916</v>
      </c>
      <c r="CM120" s="196">
        <f t="shared" si="339"/>
        <v>9540.1081106285328</v>
      </c>
      <c r="CN120" s="197">
        <f t="shared" si="319"/>
        <v>1232.0115191774235</v>
      </c>
      <c r="CO120" s="197">
        <f t="shared" si="319"/>
        <v>4799.0943219074443</v>
      </c>
      <c r="CP120" s="197">
        <f t="shared" si="319"/>
        <v>4741.0137887210885</v>
      </c>
      <c r="CQ120" s="199">
        <f t="shared" si="319"/>
        <v>5973.0253078985124</v>
      </c>
      <c r="CR120" s="197"/>
      <c r="CT120" s="204">
        <f t="shared" si="340"/>
        <v>8</v>
      </c>
      <c r="CU120" s="760">
        <f>'Energy NPV'!$D46*$CV$109</f>
        <v>0</v>
      </c>
      <c r="CV120" s="197">
        <f>'Energy margins'!$L$12</f>
        <v>72</v>
      </c>
      <c r="CW120" s="197">
        <f t="shared" si="341"/>
        <v>0</v>
      </c>
      <c r="CX120" s="197">
        <f>'Margins summary'!$S$14</f>
        <v>175.95</v>
      </c>
      <c r="CY120" s="197">
        <f t="shared" si="320"/>
        <v>175.95</v>
      </c>
      <c r="CZ120" s="197"/>
      <c r="DA120" s="918">
        <f>'Energy NPV'!U46</f>
        <v>393.31078400000001</v>
      </c>
      <c r="DB120" s="197"/>
      <c r="DC120" s="197">
        <f t="shared" si="321"/>
        <v>393.31078400000001</v>
      </c>
      <c r="DD120" s="197">
        <f t="shared" si="286"/>
        <v>-393.31078400000001</v>
      </c>
      <c r="DE120" s="197">
        <f t="shared" si="287"/>
        <v>-217.36078400000002</v>
      </c>
      <c r="DF120" s="196">
        <f t="shared" si="322"/>
        <v>0</v>
      </c>
      <c r="DG120" s="197">
        <f t="shared" si="323"/>
        <v>133.70753923290303</v>
      </c>
      <c r="DH120" s="197">
        <f t="shared" si="324"/>
        <v>298.88387088606908</v>
      </c>
      <c r="DI120" s="197">
        <f t="shared" si="325"/>
        <v>-298.88387088606908</v>
      </c>
      <c r="DJ120" s="199">
        <f t="shared" si="326"/>
        <v>-165.17633165316605</v>
      </c>
      <c r="DK120" s="196">
        <f t="shared" si="342"/>
        <v>0</v>
      </c>
      <c r="DL120" s="197">
        <f t="shared" si="327"/>
        <v>1232.0115191774235</v>
      </c>
      <c r="DM120" s="197">
        <f t="shared" si="327"/>
        <v>4799.0943219074443</v>
      </c>
      <c r="DN120" s="197">
        <f t="shared" si="327"/>
        <v>-4799.0943219074443</v>
      </c>
      <c r="DO120" s="199">
        <f t="shared" si="327"/>
        <v>-3567.0828027300199</v>
      </c>
    </row>
    <row r="121" spans="2:119" x14ac:dyDescent="0.3">
      <c r="B121" s="204">
        <f t="shared" si="328"/>
        <v>9</v>
      </c>
      <c r="C121" s="760">
        <f>'Energy NPV'!$D47*$E$109</f>
        <v>12.54</v>
      </c>
      <c r="D121" s="197">
        <f>'Energy margins'!$L$12</f>
        <v>72</v>
      </c>
      <c r="E121" s="197">
        <f t="shared" si="329"/>
        <v>902.87999999999988</v>
      </c>
      <c r="F121" s="197">
        <f>'Margins summary'!$S$14</f>
        <v>175.95</v>
      </c>
      <c r="G121" s="197">
        <f t="shared" si="288"/>
        <v>1078.83</v>
      </c>
      <c r="H121" s="197"/>
      <c r="I121" s="918">
        <f>'Energy NPV'!U47</f>
        <v>393.31078400000001</v>
      </c>
      <c r="J121" s="197"/>
      <c r="K121" s="197">
        <f t="shared" si="289"/>
        <v>393.31078400000001</v>
      </c>
      <c r="L121" s="197">
        <f t="shared" si="278"/>
        <v>509.56921599999987</v>
      </c>
      <c r="M121" s="197">
        <f t="shared" si="279"/>
        <v>685.51921599999991</v>
      </c>
      <c r="N121" s="196">
        <f t="shared" si="290"/>
        <v>659.72557229219103</v>
      </c>
      <c r="O121" s="197">
        <f t="shared" si="291"/>
        <v>128.56494157009902</v>
      </c>
      <c r="P121" s="197">
        <f t="shared" si="292"/>
        <v>287.38833739045094</v>
      </c>
      <c r="Q121" s="197">
        <f t="shared" si="293"/>
        <v>372.33723490174003</v>
      </c>
      <c r="R121" s="199">
        <f t="shared" si="294"/>
        <v>500.90217647183914</v>
      </c>
      <c r="S121" s="196">
        <f t="shared" si="330"/>
        <v>5429.7796276064573</v>
      </c>
      <c r="T121" s="197">
        <f t="shared" si="295"/>
        <v>1360.5764607475226</v>
      </c>
      <c r="U121" s="197">
        <f t="shared" si="295"/>
        <v>5086.4826592978952</v>
      </c>
      <c r="V121" s="197">
        <f t="shared" si="295"/>
        <v>343.29696830856216</v>
      </c>
      <c r="W121" s="199">
        <f t="shared" si="295"/>
        <v>1703.8734290560851</v>
      </c>
      <c r="X121" s="197"/>
      <c r="Z121" s="204">
        <f t="shared" si="331"/>
        <v>9</v>
      </c>
      <c r="AA121" s="760">
        <f>'Energy NPV'!$D47*$AB$109</f>
        <v>18.809999999999999</v>
      </c>
      <c r="AB121" s="197">
        <f>'Energy margins'!$L$12</f>
        <v>72</v>
      </c>
      <c r="AC121" s="197">
        <f t="shared" si="332"/>
        <v>1354.32</v>
      </c>
      <c r="AD121" s="197">
        <f>'Margins summary'!$S$14</f>
        <v>175.95</v>
      </c>
      <c r="AE121" s="197">
        <f t="shared" si="296"/>
        <v>1530.27</v>
      </c>
      <c r="AF121" s="197"/>
      <c r="AG121" s="918">
        <f>'Energy NPV'!U47</f>
        <v>393.31078400000001</v>
      </c>
      <c r="AH121" s="197"/>
      <c r="AI121" s="197">
        <f t="shared" si="297"/>
        <v>393.31078400000001</v>
      </c>
      <c r="AJ121" s="197">
        <f t="shared" si="280"/>
        <v>961.00921599999992</v>
      </c>
      <c r="AK121" s="197">
        <f t="shared" si="281"/>
        <v>1136.959216</v>
      </c>
      <c r="AL121" s="196">
        <f t="shared" si="298"/>
        <v>989.5883584382866</v>
      </c>
      <c r="AM121" s="197">
        <f t="shared" si="299"/>
        <v>128.56494157009902</v>
      </c>
      <c r="AN121" s="197">
        <f t="shared" si="300"/>
        <v>287.38833739045094</v>
      </c>
      <c r="AO121" s="197">
        <f t="shared" si="301"/>
        <v>702.20002104783566</v>
      </c>
      <c r="AP121" s="199">
        <f t="shared" si="302"/>
        <v>830.76496261793477</v>
      </c>
      <c r="AQ121" s="196">
        <f t="shared" si="333"/>
        <v>8144.6694414096864</v>
      </c>
      <c r="AR121" s="197">
        <f t="shared" si="303"/>
        <v>1360.5764607475226</v>
      </c>
      <c r="AS121" s="197">
        <f t="shared" si="303"/>
        <v>5086.4826592978952</v>
      </c>
      <c r="AT121" s="197">
        <f t="shared" si="303"/>
        <v>3058.1867821117921</v>
      </c>
      <c r="AU121" s="199">
        <f t="shared" si="303"/>
        <v>4418.7632428593142</v>
      </c>
      <c r="AV121" s="197"/>
      <c r="AX121" s="204">
        <f t="shared" si="334"/>
        <v>9</v>
      </c>
      <c r="AY121" s="760">
        <f>'Energy NPV'!$D47*$AZ$109</f>
        <v>6.27</v>
      </c>
      <c r="AZ121" s="197">
        <f>'Energy margins'!$L$12</f>
        <v>72</v>
      </c>
      <c r="BA121" s="197">
        <f t="shared" si="335"/>
        <v>451.43999999999994</v>
      </c>
      <c r="BB121" s="197">
        <f>'Margins summary'!$S$14</f>
        <v>175.95</v>
      </c>
      <c r="BC121" s="197">
        <f t="shared" si="304"/>
        <v>627.38999999999987</v>
      </c>
      <c r="BD121" s="197"/>
      <c r="BE121" s="918">
        <f>'Energy NPV'!U47</f>
        <v>393.31078400000001</v>
      </c>
      <c r="BF121" s="197"/>
      <c r="BG121" s="197">
        <f t="shared" si="305"/>
        <v>393.31078400000001</v>
      </c>
      <c r="BH121" s="197">
        <f t="shared" si="282"/>
        <v>58.129215999999928</v>
      </c>
      <c r="BI121" s="197">
        <f t="shared" si="283"/>
        <v>234.07921599999986</v>
      </c>
      <c r="BJ121" s="196">
        <f t="shared" si="306"/>
        <v>329.86278614609552</v>
      </c>
      <c r="BK121" s="197">
        <f t="shared" si="307"/>
        <v>128.56494157009902</v>
      </c>
      <c r="BL121" s="197">
        <f t="shared" si="308"/>
        <v>287.38833739045094</v>
      </c>
      <c r="BM121" s="197">
        <f t="shared" si="309"/>
        <v>42.474448755644545</v>
      </c>
      <c r="BN121" s="199">
        <f t="shared" si="310"/>
        <v>171.03939032574354</v>
      </c>
      <c r="BO121" s="196">
        <f t="shared" si="336"/>
        <v>2714.8898138032287</v>
      </c>
      <c r="BP121" s="197">
        <f t="shared" si="311"/>
        <v>1360.5764607475226</v>
      </c>
      <c r="BQ121" s="197">
        <f t="shared" si="311"/>
        <v>5086.4826592978952</v>
      </c>
      <c r="BR121" s="197">
        <f t="shared" si="311"/>
        <v>-2371.5928454946657</v>
      </c>
      <c r="BS121" s="199">
        <f t="shared" si="311"/>
        <v>-1011.0163847471437</v>
      </c>
      <c r="BT121" s="197"/>
      <c r="BV121" s="204">
        <f t="shared" si="337"/>
        <v>9</v>
      </c>
      <c r="BW121" s="760">
        <f>'Energy NPV'!$D47*$BX$109</f>
        <v>25.08</v>
      </c>
      <c r="BX121" s="197">
        <f>'Energy margins'!$L$12</f>
        <v>72</v>
      </c>
      <c r="BY121" s="197">
        <f t="shared" si="338"/>
        <v>1805.7599999999998</v>
      </c>
      <c r="BZ121" s="197">
        <f>'Margins summary'!$S$14</f>
        <v>175.95</v>
      </c>
      <c r="CA121" s="197">
        <f t="shared" si="312"/>
        <v>1981.7099999999998</v>
      </c>
      <c r="CB121" s="197"/>
      <c r="CC121" s="918">
        <f>'Energy NPV'!U47</f>
        <v>393.31078400000001</v>
      </c>
      <c r="CD121" s="197"/>
      <c r="CE121" s="197">
        <f t="shared" si="313"/>
        <v>393.31078400000001</v>
      </c>
      <c r="CF121" s="197">
        <f t="shared" si="284"/>
        <v>1412.4492159999998</v>
      </c>
      <c r="CG121" s="197">
        <f t="shared" si="285"/>
        <v>1588.3992159999998</v>
      </c>
      <c r="CH121" s="196">
        <f t="shared" si="314"/>
        <v>1319.4511445843821</v>
      </c>
      <c r="CI121" s="197">
        <f t="shared" si="315"/>
        <v>128.56494157009902</v>
      </c>
      <c r="CJ121" s="197">
        <f t="shared" si="316"/>
        <v>287.38833739045094</v>
      </c>
      <c r="CK121" s="197">
        <f t="shared" si="317"/>
        <v>1032.0628071939311</v>
      </c>
      <c r="CL121" s="199">
        <f t="shared" si="318"/>
        <v>1160.6277487640302</v>
      </c>
      <c r="CM121" s="196">
        <f t="shared" si="339"/>
        <v>10859.559255212915</v>
      </c>
      <c r="CN121" s="197">
        <f t="shared" si="319"/>
        <v>1360.5764607475226</v>
      </c>
      <c r="CO121" s="197">
        <f t="shared" si="319"/>
        <v>5086.4826592978952</v>
      </c>
      <c r="CP121" s="197">
        <f t="shared" si="319"/>
        <v>5773.0765959150194</v>
      </c>
      <c r="CQ121" s="199">
        <f t="shared" si="319"/>
        <v>7133.6530566625424</v>
      </c>
      <c r="CR121" s="197"/>
      <c r="CT121" s="204">
        <f t="shared" si="340"/>
        <v>9</v>
      </c>
      <c r="CU121" s="760">
        <f>'Energy NPV'!$D47*$CV$109</f>
        <v>0</v>
      </c>
      <c r="CV121" s="197">
        <f>'Energy margins'!$L$12</f>
        <v>72</v>
      </c>
      <c r="CW121" s="197">
        <f t="shared" si="341"/>
        <v>0</v>
      </c>
      <c r="CX121" s="197">
        <f>'Margins summary'!$S$14</f>
        <v>175.95</v>
      </c>
      <c r="CY121" s="197">
        <f t="shared" si="320"/>
        <v>175.95</v>
      </c>
      <c r="CZ121" s="197"/>
      <c r="DA121" s="918">
        <f>'Energy NPV'!U47</f>
        <v>393.31078400000001</v>
      </c>
      <c r="DB121" s="197"/>
      <c r="DC121" s="197">
        <f t="shared" si="321"/>
        <v>393.31078400000001</v>
      </c>
      <c r="DD121" s="197">
        <f t="shared" si="286"/>
        <v>-393.31078400000001</v>
      </c>
      <c r="DE121" s="197">
        <f t="shared" si="287"/>
        <v>-217.36078400000002</v>
      </c>
      <c r="DF121" s="196">
        <f t="shared" si="322"/>
        <v>0</v>
      </c>
      <c r="DG121" s="197">
        <f t="shared" si="323"/>
        <v>128.56494157009902</v>
      </c>
      <c r="DH121" s="197">
        <f t="shared" si="324"/>
        <v>287.38833739045094</v>
      </c>
      <c r="DI121" s="197">
        <f t="shared" si="325"/>
        <v>-287.38833739045094</v>
      </c>
      <c r="DJ121" s="199">
        <f t="shared" si="326"/>
        <v>-158.82339582035192</v>
      </c>
      <c r="DK121" s="196">
        <f t="shared" si="342"/>
        <v>0</v>
      </c>
      <c r="DL121" s="197">
        <f t="shared" si="327"/>
        <v>1360.5764607475226</v>
      </c>
      <c r="DM121" s="197">
        <f t="shared" si="327"/>
        <v>5086.4826592978952</v>
      </c>
      <c r="DN121" s="197">
        <f t="shared" si="327"/>
        <v>-5086.4826592978952</v>
      </c>
      <c r="DO121" s="199">
        <f t="shared" si="327"/>
        <v>-3725.9061985503718</v>
      </c>
    </row>
    <row r="122" spans="2:119" x14ac:dyDescent="0.3">
      <c r="B122" s="204">
        <f t="shared" si="328"/>
        <v>10</v>
      </c>
      <c r="C122" s="760">
        <f>'Energy NPV'!$D48*$E$109</f>
        <v>12.54</v>
      </c>
      <c r="D122" s="197">
        <f>'Energy margins'!$L$12</f>
        <v>72</v>
      </c>
      <c r="E122" s="197">
        <f t="shared" si="329"/>
        <v>902.87999999999988</v>
      </c>
      <c r="F122" s="197">
        <f>'Margins summary'!$S$14</f>
        <v>175.95</v>
      </c>
      <c r="G122" s="197">
        <f t="shared" si="288"/>
        <v>1078.83</v>
      </c>
      <c r="H122" s="197"/>
      <c r="I122" s="918">
        <f>'Energy NPV'!U48</f>
        <v>393.31078400000001</v>
      </c>
      <c r="J122" s="197"/>
      <c r="K122" s="197">
        <f t="shared" si="289"/>
        <v>393.31078400000001</v>
      </c>
      <c r="L122" s="197">
        <f t="shared" si="278"/>
        <v>509.56921599999987</v>
      </c>
      <c r="M122" s="197">
        <f t="shared" si="279"/>
        <v>685.51921599999991</v>
      </c>
      <c r="N122" s="196">
        <f t="shared" si="290"/>
        <v>634.35151181941444</v>
      </c>
      <c r="O122" s="197">
        <f t="shared" si="291"/>
        <v>123.62013612509521</v>
      </c>
      <c r="P122" s="197">
        <f t="shared" si="292"/>
        <v>276.3349397985105</v>
      </c>
      <c r="Q122" s="197">
        <f t="shared" si="293"/>
        <v>358.01657202090388</v>
      </c>
      <c r="R122" s="199">
        <f t="shared" si="294"/>
        <v>481.63670814599914</v>
      </c>
      <c r="S122" s="196">
        <f t="shared" si="330"/>
        <v>6064.1311394258719</v>
      </c>
      <c r="T122" s="197">
        <f t="shared" si="295"/>
        <v>1484.1965968726179</v>
      </c>
      <c r="U122" s="197">
        <f t="shared" si="295"/>
        <v>5362.8175990964055</v>
      </c>
      <c r="V122" s="197">
        <f t="shared" si="295"/>
        <v>701.31354032946604</v>
      </c>
      <c r="W122" s="199">
        <f t="shared" si="295"/>
        <v>2185.5101372020845</v>
      </c>
      <c r="X122" s="197"/>
      <c r="Z122" s="204">
        <f t="shared" si="331"/>
        <v>10</v>
      </c>
      <c r="AA122" s="760">
        <f>'Energy NPV'!$D48*$AB$109</f>
        <v>18.809999999999999</v>
      </c>
      <c r="AB122" s="197">
        <f>'Energy margins'!$L$12</f>
        <v>72</v>
      </c>
      <c r="AC122" s="197">
        <f t="shared" si="332"/>
        <v>1354.32</v>
      </c>
      <c r="AD122" s="197">
        <f>'Margins summary'!$S$14</f>
        <v>175.95</v>
      </c>
      <c r="AE122" s="197">
        <f t="shared" si="296"/>
        <v>1530.27</v>
      </c>
      <c r="AF122" s="197"/>
      <c r="AG122" s="918">
        <f>'Energy NPV'!U48</f>
        <v>393.31078400000001</v>
      </c>
      <c r="AH122" s="197"/>
      <c r="AI122" s="197">
        <f t="shared" si="297"/>
        <v>393.31078400000001</v>
      </c>
      <c r="AJ122" s="197">
        <f t="shared" si="280"/>
        <v>961.00921599999992</v>
      </c>
      <c r="AK122" s="197">
        <f t="shared" si="281"/>
        <v>1136.959216</v>
      </c>
      <c r="AL122" s="196">
        <f t="shared" si="298"/>
        <v>951.52726772912172</v>
      </c>
      <c r="AM122" s="197">
        <f t="shared" si="299"/>
        <v>123.62013612509521</v>
      </c>
      <c r="AN122" s="197">
        <f t="shared" si="300"/>
        <v>276.3349397985105</v>
      </c>
      <c r="AO122" s="197">
        <f t="shared" si="301"/>
        <v>675.1923279306111</v>
      </c>
      <c r="AP122" s="199">
        <f t="shared" si="302"/>
        <v>798.81246405570641</v>
      </c>
      <c r="AQ122" s="196">
        <f t="shared" si="333"/>
        <v>9096.1967091388087</v>
      </c>
      <c r="AR122" s="197">
        <f t="shared" si="303"/>
        <v>1484.1965968726179</v>
      </c>
      <c r="AS122" s="197">
        <f t="shared" si="303"/>
        <v>5362.8175990964055</v>
      </c>
      <c r="AT122" s="197">
        <f t="shared" si="303"/>
        <v>3733.3791100424032</v>
      </c>
      <c r="AU122" s="199">
        <f t="shared" si="303"/>
        <v>5217.5757069150204</v>
      </c>
      <c r="AV122" s="197"/>
      <c r="AX122" s="204">
        <f t="shared" si="334"/>
        <v>10</v>
      </c>
      <c r="AY122" s="760">
        <f>'Energy NPV'!$D48*$AZ$109</f>
        <v>6.27</v>
      </c>
      <c r="AZ122" s="197">
        <f>'Energy margins'!$L$12</f>
        <v>72</v>
      </c>
      <c r="BA122" s="197">
        <f t="shared" si="335"/>
        <v>451.43999999999994</v>
      </c>
      <c r="BB122" s="197">
        <f>'Margins summary'!$S$14</f>
        <v>175.95</v>
      </c>
      <c r="BC122" s="197">
        <f t="shared" si="304"/>
        <v>627.38999999999987</v>
      </c>
      <c r="BD122" s="197"/>
      <c r="BE122" s="918">
        <f>'Energy NPV'!U48</f>
        <v>393.31078400000001</v>
      </c>
      <c r="BF122" s="197"/>
      <c r="BG122" s="197">
        <f t="shared" si="305"/>
        <v>393.31078400000001</v>
      </c>
      <c r="BH122" s="197">
        <f t="shared" si="282"/>
        <v>58.129215999999928</v>
      </c>
      <c r="BI122" s="197">
        <f t="shared" si="283"/>
        <v>234.07921599999986</v>
      </c>
      <c r="BJ122" s="196">
        <f t="shared" si="306"/>
        <v>317.17575590970722</v>
      </c>
      <c r="BK122" s="197">
        <f t="shared" si="307"/>
        <v>123.62013612509521</v>
      </c>
      <c r="BL122" s="197">
        <f t="shared" si="308"/>
        <v>276.3349397985105</v>
      </c>
      <c r="BM122" s="197">
        <f t="shared" si="309"/>
        <v>40.840816111196673</v>
      </c>
      <c r="BN122" s="199">
        <f t="shared" si="310"/>
        <v>164.46095223629186</v>
      </c>
      <c r="BO122" s="196">
        <f t="shared" si="336"/>
        <v>3032.0655697129359</v>
      </c>
      <c r="BP122" s="197">
        <f t="shared" si="311"/>
        <v>1484.1965968726179</v>
      </c>
      <c r="BQ122" s="197">
        <f t="shared" si="311"/>
        <v>5362.8175990964055</v>
      </c>
      <c r="BR122" s="197">
        <f t="shared" si="311"/>
        <v>-2330.7520293834691</v>
      </c>
      <c r="BS122" s="199">
        <f t="shared" si="311"/>
        <v>-846.5554325108518</v>
      </c>
      <c r="BT122" s="197"/>
      <c r="BV122" s="204">
        <f t="shared" si="337"/>
        <v>10</v>
      </c>
      <c r="BW122" s="760">
        <f>'Energy NPV'!$D48*$BX$109</f>
        <v>25.08</v>
      </c>
      <c r="BX122" s="197">
        <f>'Energy margins'!$L$12</f>
        <v>72</v>
      </c>
      <c r="BY122" s="197">
        <f t="shared" si="338"/>
        <v>1805.7599999999998</v>
      </c>
      <c r="BZ122" s="197">
        <f>'Margins summary'!$S$14</f>
        <v>175.95</v>
      </c>
      <c r="CA122" s="197">
        <f t="shared" si="312"/>
        <v>1981.7099999999998</v>
      </c>
      <c r="CB122" s="197"/>
      <c r="CC122" s="918">
        <f>'Energy NPV'!U48</f>
        <v>393.31078400000001</v>
      </c>
      <c r="CD122" s="197"/>
      <c r="CE122" s="197">
        <f t="shared" si="313"/>
        <v>393.31078400000001</v>
      </c>
      <c r="CF122" s="197">
        <f t="shared" si="284"/>
        <v>1412.4492159999998</v>
      </c>
      <c r="CG122" s="197">
        <f t="shared" si="285"/>
        <v>1588.3992159999998</v>
      </c>
      <c r="CH122" s="196">
        <f t="shared" si="314"/>
        <v>1268.7030236388289</v>
      </c>
      <c r="CI122" s="197">
        <f t="shared" si="315"/>
        <v>123.62013612509521</v>
      </c>
      <c r="CJ122" s="197">
        <f t="shared" si="316"/>
        <v>276.3349397985105</v>
      </c>
      <c r="CK122" s="197">
        <f t="shared" si="317"/>
        <v>992.36808384031826</v>
      </c>
      <c r="CL122" s="199">
        <f t="shared" si="318"/>
        <v>1115.9882199654135</v>
      </c>
      <c r="CM122" s="196">
        <f t="shared" si="339"/>
        <v>12128.262278851744</v>
      </c>
      <c r="CN122" s="197">
        <f t="shared" si="319"/>
        <v>1484.1965968726179</v>
      </c>
      <c r="CO122" s="197">
        <f t="shared" si="319"/>
        <v>5362.8175990964055</v>
      </c>
      <c r="CP122" s="197">
        <f t="shared" si="319"/>
        <v>6765.4446797553373</v>
      </c>
      <c r="CQ122" s="199">
        <f t="shared" si="319"/>
        <v>8249.6412766279554</v>
      </c>
      <c r="CR122" s="197"/>
      <c r="CT122" s="204">
        <f t="shared" si="340"/>
        <v>10</v>
      </c>
      <c r="CU122" s="760">
        <f>'Energy NPV'!$D48*$CV$109</f>
        <v>0</v>
      </c>
      <c r="CV122" s="197">
        <f>'Energy margins'!$L$12</f>
        <v>72</v>
      </c>
      <c r="CW122" s="197">
        <f t="shared" si="341"/>
        <v>0</v>
      </c>
      <c r="CX122" s="197">
        <f>'Margins summary'!$S$14</f>
        <v>175.95</v>
      </c>
      <c r="CY122" s="197">
        <f t="shared" si="320"/>
        <v>175.95</v>
      </c>
      <c r="CZ122" s="197"/>
      <c r="DA122" s="918">
        <f>'Energy NPV'!U48</f>
        <v>393.31078400000001</v>
      </c>
      <c r="DB122" s="197"/>
      <c r="DC122" s="197">
        <f t="shared" si="321"/>
        <v>393.31078400000001</v>
      </c>
      <c r="DD122" s="197">
        <f t="shared" si="286"/>
        <v>-393.31078400000001</v>
      </c>
      <c r="DE122" s="197">
        <f t="shared" si="287"/>
        <v>-217.36078400000002</v>
      </c>
      <c r="DF122" s="196">
        <f t="shared" si="322"/>
        <v>0</v>
      </c>
      <c r="DG122" s="197">
        <f t="shared" si="323"/>
        <v>123.62013612509521</v>
      </c>
      <c r="DH122" s="197">
        <f t="shared" si="324"/>
        <v>276.3349397985105</v>
      </c>
      <c r="DI122" s="197">
        <f t="shared" si="325"/>
        <v>-276.3349397985105</v>
      </c>
      <c r="DJ122" s="199">
        <f t="shared" si="326"/>
        <v>-152.7148036734153</v>
      </c>
      <c r="DK122" s="196">
        <f t="shared" si="342"/>
        <v>0</v>
      </c>
      <c r="DL122" s="197">
        <f t="shared" si="327"/>
        <v>1484.1965968726179</v>
      </c>
      <c r="DM122" s="197">
        <f t="shared" si="327"/>
        <v>5362.8175990964055</v>
      </c>
      <c r="DN122" s="197">
        <f t="shared" si="327"/>
        <v>-5362.8175990964055</v>
      </c>
      <c r="DO122" s="199">
        <f t="shared" si="327"/>
        <v>-3878.6210022237869</v>
      </c>
    </row>
    <row r="123" spans="2:119" x14ac:dyDescent="0.3">
      <c r="B123" s="204">
        <f t="shared" si="328"/>
        <v>11</v>
      </c>
      <c r="C123" s="760">
        <f>'Energy NPV'!$D49*$E$109</f>
        <v>12.54</v>
      </c>
      <c r="D123" s="197">
        <f>'Energy margins'!$L$12</f>
        <v>72</v>
      </c>
      <c r="E123" s="197">
        <f t="shared" si="329"/>
        <v>902.87999999999988</v>
      </c>
      <c r="F123" s="197">
        <f>'Margins summary'!$S$14</f>
        <v>175.95</v>
      </c>
      <c r="G123" s="197">
        <f t="shared" si="288"/>
        <v>1078.83</v>
      </c>
      <c r="H123" s="197"/>
      <c r="I123" s="918">
        <f>'Energy NPV'!U49</f>
        <v>393.31078400000001</v>
      </c>
      <c r="J123" s="197"/>
      <c r="K123" s="197">
        <f t="shared" si="289"/>
        <v>393.31078400000001</v>
      </c>
      <c r="L123" s="197">
        <f t="shared" si="278"/>
        <v>509.56921599999987</v>
      </c>
      <c r="M123" s="197">
        <f t="shared" si="279"/>
        <v>685.51921599999991</v>
      </c>
      <c r="N123" s="196">
        <f t="shared" si="290"/>
        <v>609.95337674943687</v>
      </c>
      <c r="O123" s="197">
        <f t="shared" si="291"/>
        <v>118.86551550489925</v>
      </c>
      <c r="P123" s="197">
        <f t="shared" si="292"/>
        <v>265.70667288318322</v>
      </c>
      <c r="Q123" s="197">
        <f t="shared" si="293"/>
        <v>344.24670386625371</v>
      </c>
      <c r="R123" s="199">
        <f t="shared" si="294"/>
        <v>463.112219371153</v>
      </c>
      <c r="S123" s="196">
        <f t="shared" si="330"/>
        <v>6674.0845161753086</v>
      </c>
      <c r="T123" s="197">
        <f t="shared" si="295"/>
        <v>1603.0621123775172</v>
      </c>
      <c r="U123" s="197">
        <f t="shared" si="295"/>
        <v>5628.5242719795888</v>
      </c>
      <c r="V123" s="197">
        <f t="shared" si="295"/>
        <v>1045.5602441957199</v>
      </c>
      <c r="W123" s="199">
        <f t="shared" si="295"/>
        <v>2648.6223565732375</v>
      </c>
      <c r="X123" s="197"/>
      <c r="Z123" s="204">
        <f t="shared" si="331"/>
        <v>11</v>
      </c>
      <c r="AA123" s="760">
        <f>'Energy NPV'!$D49*$AB$109</f>
        <v>18.809999999999999</v>
      </c>
      <c r="AB123" s="197">
        <f>'Energy margins'!$L$12</f>
        <v>72</v>
      </c>
      <c r="AC123" s="197">
        <f t="shared" si="332"/>
        <v>1354.32</v>
      </c>
      <c r="AD123" s="197">
        <f>'Margins summary'!$S$14</f>
        <v>175.95</v>
      </c>
      <c r="AE123" s="197">
        <f t="shared" si="296"/>
        <v>1530.27</v>
      </c>
      <c r="AF123" s="197"/>
      <c r="AG123" s="918">
        <f>'Energy NPV'!U49</f>
        <v>393.31078400000001</v>
      </c>
      <c r="AH123" s="197"/>
      <c r="AI123" s="197">
        <f t="shared" si="297"/>
        <v>393.31078400000001</v>
      </c>
      <c r="AJ123" s="197">
        <f t="shared" si="280"/>
        <v>961.00921599999992</v>
      </c>
      <c r="AK123" s="197">
        <f t="shared" si="281"/>
        <v>1136.959216</v>
      </c>
      <c r="AL123" s="196">
        <f t="shared" si="298"/>
        <v>914.93006512415548</v>
      </c>
      <c r="AM123" s="197">
        <f t="shared" si="299"/>
        <v>118.86551550489925</v>
      </c>
      <c r="AN123" s="197">
        <f t="shared" si="300"/>
        <v>265.70667288318322</v>
      </c>
      <c r="AO123" s="197">
        <f t="shared" si="301"/>
        <v>649.2233922409722</v>
      </c>
      <c r="AP123" s="199">
        <f t="shared" si="302"/>
        <v>768.08890774587155</v>
      </c>
      <c r="AQ123" s="196">
        <f t="shared" si="333"/>
        <v>10011.126774262964</v>
      </c>
      <c r="AR123" s="197">
        <f t="shared" si="303"/>
        <v>1603.0621123775172</v>
      </c>
      <c r="AS123" s="197">
        <f t="shared" si="303"/>
        <v>5628.5242719795888</v>
      </c>
      <c r="AT123" s="197">
        <f t="shared" si="303"/>
        <v>4382.6025022833755</v>
      </c>
      <c r="AU123" s="199">
        <f t="shared" si="303"/>
        <v>5985.6646146608919</v>
      </c>
      <c r="AV123" s="197"/>
      <c r="AX123" s="204">
        <f t="shared" si="334"/>
        <v>11</v>
      </c>
      <c r="AY123" s="760">
        <f>'Energy NPV'!$D49*$AZ$109</f>
        <v>6.27</v>
      </c>
      <c r="AZ123" s="197">
        <f>'Energy margins'!$L$12</f>
        <v>72</v>
      </c>
      <c r="BA123" s="197">
        <f t="shared" si="335"/>
        <v>451.43999999999994</v>
      </c>
      <c r="BB123" s="197">
        <f>'Margins summary'!$S$14</f>
        <v>175.95</v>
      </c>
      <c r="BC123" s="197">
        <f t="shared" si="304"/>
        <v>627.38999999999987</v>
      </c>
      <c r="BD123" s="197"/>
      <c r="BE123" s="918">
        <f>'Energy NPV'!U49</f>
        <v>393.31078400000001</v>
      </c>
      <c r="BF123" s="197"/>
      <c r="BG123" s="197">
        <f t="shared" si="305"/>
        <v>393.31078400000001</v>
      </c>
      <c r="BH123" s="197">
        <f t="shared" si="282"/>
        <v>58.129215999999928</v>
      </c>
      <c r="BI123" s="197">
        <f t="shared" si="283"/>
        <v>234.07921599999986</v>
      </c>
      <c r="BJ123" s="196">
        <f t="shared" si="306"/>
        <v>304.97668837471844</v>
      </c>
      <c r="BK123" s="197">
        <f t="shared" si="307"/>
        <v>118.86551550489925</v>
      </c>
      <c r="BL123" s="197">
        <f t="shared" si="308"/>
        <v>265.70667288318322</v>
      </c>
      <c r="BM123" s="197">
        <f t="shared" si="309"/>
        <v>39.270015491535261</v>
      </c>
      <c r="BN123" s="199">
        <f t="shared" si="310"/>
        <v>158.13553099643448</v>
      </c>
      <c r="BO123" s="196">
        <f t="shared" si="336"/>
        <v>3337.0422580876543</v>
      </c>
      <c r="BP123" s="197">
        <f t="shared" si="311"/>
        <v>1603.0621123775172</v>
      </c>
      <c r="BQ123" s="197">
        <f t="shared" si="311"/>
        <v>5628.5242719795888</v>
      </c>
      <c r="BR123" s="197">
        <f t="shared" si="311"/>
        <v>-2291.482013891934</v>
      </c>
      <c r="BS123" s="199">
        <f t="shared" si="311"/>
        <v>-688.41990151441735</v>
      </c>
      <c r="BT123" s="197"/>
      <c r="BV123" s="204">
        <f t="shared" si="337"/>
        <v>11</v>
      </c>
      <c r="BW123" s="760">
        <f>'Energy NPV'!$D49*$BX$109</f>
        <v>25.08</v>
      </c>
      <c r="BX123" s="197">
        <f>'Energy margins'!$L$12</f>
        <v>72</v>
      </c>
      <c r="BY123" s="197">
        <f t="shared" si="338"/>
        <v>1805.7599999999998</v>
      </c>
      <c r="BZ123" s="197">
        <f>'Margins summary'!$S$14</f>
        <v>175.95</v>
      </c>
      <c r="CA123" s="197">
        <f t="shared" si="312"/>
        <v>1981.7099999999998</v>
      </c>
      <c r="CB123" s="197"/>
      <c r="CC123" s="918">
        <f>'Energy NPV'!U49</f>
        <v>393.31078400000001</v>
      </c>
      <c r="CD123" s="197"/>
      <c r="CE123" s="197">
        <f t="shared" si="313"/>
        <v>393.31078400000001</v>
      </c>
      <c r="CF123" s="197">
        <f t="shared" si="284"/>
        <v>1412.4492159999998</v>
      </c>
      <c r="CG123" s="197">
        <f t="shared" si="285"/>
        <v>1588.3992159999998</v>
      </c>
      <c r="CH123" s="196">
        <f t="shared" si="314"/>
        <v>1219.9067534988737</v>
      </c>
      <c r="CI123" s="197">
        <f t="shared" si="315"/>
        <v>118.86551550489925</v>
      </c>
      <c r="CJ123" s="197">
        <f t="shared" si="316"/>
        <v>265.70667288318322</v>
      </c>
      <c r="CK123" s="197">
        <f t="shared" si="317"/>
        <v>954.20008061569069</v>
      </c>
      <c r="CL123" s="199">
        <f t="shared" si="318"/>
        <v>1073.0655961205898</v>
      </c>
      <c r="CM123" s="196">
        <f t="shared" si="339"/>
        <v>13348.169032350617</v>
      </c>
      <c r="CN123" s="197">
        <f t="shared" si="319"/>
        <v>1603.0621123775172</v>
      </c>
      <c r="CO123" s="197">
        <f t="shared" si="319"/>
        <v>5628.5242719795888</v>
      </c>
      <c r="CP123" s="197">
        <f t="shared" si="319"/>
        <v>7719.6447603710276</v>
      </c>
      <c r="CQ123" s="199">
        <f t="shared" si="319"/>
        <v>9322.7068727485457</v>
      </c>
      <c r="CR123" s="197"/>
      <c r="CT123" s="204">
        <f t="shared" si="340"/>
        <v>11</v>
      </c>
      <c r="CU123" s="760">
        <f>'Energy NPV'!$D49*$CV$109</f>
        <v>0</v>
      </c>
      <c r="CV123" s="197">
        <f>'Energy margins'!$L$12</f>
        <v>72</v>
      </c>
      <c r="CW123" s="197">
        <f t="shared" si="341"/>
        <v>0</v>
      </c>
      <c r="CX123" s="197">
        <f>'Margins summary'!$S$14</f>
        <v>175.95</v>
      </c>
      <c r="CY123" s="197">
        <f t="shared" si="320"/>
        <v>175.95</v>
      </c>
      <c r="CZ123" s="197"/>
      <c r="DA123" s="918">
        <f>'Energy NPV'!U49</f>
        <v>393.31078400000001</v>
      </c>
      <c r="DB123" s="197"/>
      <c r="DC123" s="197">
        <f t="shared" si="321"/>
        <v>393.31078400000001</v>
      </c>
      <c r="DD123" s="197">
        <f t="shared" si="286"/>
        <v>-393.31078400000001</v>
      </c>
      <c r="DE123" s="197">
        <f t="shared" si="287"/>
        <v>-217.36078400000002</v>
      </c>
      <c r="DF123" s="196">
        <f t="shared" si="322"/>
        <v>0</v>
      </c>
      <c r="DG123" s="197">
        <f t="shared" si="323"/>
        <v>118.86551550489925</v>
      </c>
      <c r="DH123" s="197">
        <f t="shared" si="324"/>
        <v>265.70667288318322</v>
      </c>
      <c r="DI123" s="197">
        <f t="shared" si="325"/>
        <v>-265.70667288318322</v>
      </c>
      <c r="DJ123" s="199">
        <f t="shared" si="326"/>
        <v>-146.84115737828395</v>
      </c>
      <c r="DK123" s="196">
        <f t="shared" si="342"/>
        <v>0</v>
      </c>
      <c r="DL123" s="197">
        <f t="shared" si="327"/>
        <v>1603.0621123775172</v>
      </c>
      <c r="DM123" s="197">
        <f t="shared" si="327"/>
        <v>5628.5242719795888</v>
      </c>
      <c r="DN123" s="197">
        <f t="shared" si="327"/>
        <v>-5628.5242719795888</v>
      </c>
      <c r="DO123" s="199">
        <f t="shared" si="327"/>
        <v>-4025.4621596020711</v>
      </c>
    </row>
    <row r="124" spans="2:119" x14ac:dyDescent="0.3">
      <c r="B124" s="204">
        <f t="shared" si="328"/>
        <v>12</v>
      </c>
      <c r="C124" s="760">
        <f>'Energy NPV'!$D50*$E$109</f>
        <v>12.54</v>
      </c>
      <c r="D124" s="197">
        <f>'Energy margins'!$L$12</f>
        <v>72</v>
      </c>
      <c r="E124" s="197">
        <f t="shared" si="329"/>
        <v>902.87999999999988</v>
      </c>
      <c r="F124" s="197">
        <f>'Margins summary'!$S$14</f>
        <v>175.95</v>
      </c>
      <c r="G124" s="197">
        <f t="shared" si="288"/>
        <v>1078.83</v>
      </c>
      <c r="H124" s="197"/>
      <c r="I124" s="918">
        <f>'Energy NPV'!U50</f>
        <v>393.31078400000001</v>
      </c>
      <c r="J124" s="197"/>
      <c r="K124" s="197">
        <f t="shared" si="289"/>
        <v>393.31078400000001</v>
      </c>
      <c r="L124" s="197">
        <f t="shared" si="278"/>
        <v>509.56921599999987</v>
      </c>
      <c r="M124" s="197">
        <f t="shared" si="279"/>
        <v>685.51921599999991</v>
      </c>
      <c r="N124" s="196">
        <f t="shared" si="290"/>
        <v>586.49363148984321</v>
      </c>
      <c r="O124" s="197">
        <f t="shared" si="291"/>
        <v>114.29376490855698</v>
      </c>
      <c r="P124" s="197">
        <f t="shared" si="292"/>
        <v>255.48718546459924</v>
      </c>
      <c r="Q124" s="197">
        <f t="shared" si="293"/>
        <v>331.00644602524397</v>
      </c>
      <c r="R124" s="199">
        <f t="shared" si="294"/>
        <v>445.300210933801</v>
      </c>
      <c r="S124" s="196">
        <f t="shared" si="330"/>
        <v>7260.5781476651518</v>
      </c>
      <c r="T124" s="197">
        <f t="shared" si="295"/>
        <v>1717.3558772860742</v>
      </c>
      <c r="U124" s="197">
        <f t="shared" si="295"/>
        <v>5884.0114574441877</v>
      </c>
      <c r="V124" s="197">
        <f t="shared" si="295"/>
        <v>1376.5666902209639</v>
      </c>
      <c r="W124" s="199">
        <f t="shared" si="295"/>
        <v>3093.9225675070384</v>
      </c>
      <c r="X124" s="197"/>
      <c r="Z124" s="204">
        <f t="shared" si="331"/>
        <v>12</v>
      </c>
      <c r="AA124" s="760">
        <f>'Energy NPV'!$D50*$AB$109</f>
        <v>18.809999999999999</v>
      </c>
      <c r="AB124" s="197">
        <f>'Energy margins'!$L$12</f>
        <v>72</v>
      </c>
      <c r="AC124" s="197">
        <f t="shared" si="332"/>
        <v>1354.32</v>
      </c>
      <c r="AD124" s="197">
        <f>'Margins summary'!$S$14</f>
        <v>175.95</v>
      </c>
      <c r="AE124" s="197">
        <f t="shared" si="296"/>
        <v>1530.27</v>
      </c>
      <c r="AF124" s="197"/>
      <c r="AG124" s="918">
        <f>'Energy NPV'!U50</f>
        <v>393.31078400000001</v>
      </c>
      <c r="AH124" s="197"/>
      <c r="AI124" s="197">
        <f t="shared" si="297"/>
        <v>393.31078400000001</v>
      </c>
      <c r="AJ124" s="197">
        <f t="shared" si="280"/>
        <v>961.00921599999992</v>
      </c>
      <c r="AK124" s="197">
        <f t="shared" si="281"/>
        <v>1136.959216</v>
      </c>
      <c r="AL124" s="196">
        <f t="shared" si="298"/>
        <v>879.74044723476493</v>
      </c>
      <c r="AM124" s="197">
        <f t="shared" si="299"/>
        <v>114.29376490855698</v>
      </c>
      <c r="AN124" s="197">
        <f t="shared" si="300"/>
        <v>255.48718546459924</v>
      </c>
      <c r="AO124" s="197">
        <f t="shared" si="301"/>
        <v>624.25326177016564</v>
      </c>
      <c r="AP124" s="199">
        <f t="shared" si="302"/>
        <v>738.54702667872266</v>
      </c>
      <c r="AQ124" s="196">
        <f t="shared" si="333"/>
        <v>10890.867221497729</v>
      </c>
      <c r="AR124" s="197">
        <f t="shared" si="303"/>
        <v>1717.3558772860742</v>
      </c>
      <c r="AS124" s="197">
        <f t="shared" si="303"/>
        <v>5884.0114574441877</v>
      </c>
      <c r="AT124" s="197">
        <f t="shared" si="303"/>
        <v>5006.855764053541</v>
      </c>
      <c r="AU124" s="199">
        <f t="shared" si="303"/>
        <v>6724.2116413396143</v>
      </c>
      <c r="AV124" s="197"/>
      <c r="AX124" s="204">
        <f t="shared" si="334"/>
        <v>12</v>
      </c>
      <c r="AY124" s="760">
        <f>'Energy NPV'!$D50*$AZ$109</f>
        <v>6.27</v>
      </c>
      <c r="AZ124" s="197">
        <f>'Energy margins'!$L$12</f>
        <v>72</v>
      </c>
      <c r="BA124" s="197">
        <f t="shared" si="335"/>
        <v>451.43999999999994</v>
      </c>
      <c r="BB124" s="197">
        <f>'Margins summary'!$S$14</f>
        <v>175.95</v>
      </c>
      <c r="BC124" s="197">
        <f t="shared" si="304"/>
        <v>627.38999999999987</v>
      </c>
      <c r="BD124" s="197"/>
      <c r="BE124" s="918">
        <f>'Energy NPV'!U50</f>
        <v>393.31078400000001</v>
      </c>
      <c r="BF124" s="197"/>
      <c r="BG124" s="197">
        <f t="shared" si="305"/>
        <v>393.31078400000001</v>
      </c>
      <c r="BH124" s="197">
        <f t="shared" si="282"/>
        <v>58.129215999999928</v>
      </c>
      <c r="BI124" s="197">
        <f t="shared" si="283"/>
        <v>234.07921599999986</v>
      </c>
      <c r="BJ124" s="196">
        <f t="shared" si="306"/>
        <v>293.24681574492161</v>
      </c>
      <c r="BK124" s="197">
        <f t="shared" si="307"/>
        <v>114.29376490855698</v>
      </c>
      <c r="BL124" s="197">
        <f t="shared" si="308"/>
        <v>255.48718546459924</v>
      </c>
      <c r="BM124" s="197">
        <f t="shared" si="309"/>
        <v>37.759630280322369</v>
      </c>
      <c r="BN124" s="199">
        <f t="shared" si="310"/>
        <v>152.05339518887931</v>
      </c>
      <c r="BO124" s="196">
        <f t="shared" si="336"/>
        <v>3630.2890738325759</v>
      </c>
      <c r="BP124" s="197">
        <f t="shared" si="311"/>
        <v>1717.3558772860742</v>
      </c>
      <c r="BQ124" s="197">
        <f t="shared" si="311"/>
        <v>5884.0114574441877</v>
      </c>
      <c r="BR124" s="197">
        <f t="shared" si="311"/>
        <v>-2253.7223836116118</v>
      </c>
      <c r="BS124" s="199">
        <f t="shared" si="311"/>
        <v>-536.36650632553801</v>
      </c>
      <c r="BT124" s="197"/>
      <c r="BV124" s="204">
        <f t="shared" si="337"/>
        <v>12</v>
      </c>
      <c r="BW124" s="760">
        <f>'Energy NPV'!$D50*$BX$109</f>
        <v>25.08</v>
      </c>
      <c r="BX124" s="197">
        <f>'Energy margins'!$L$12</f>
        <v>72</v>
      </c>
      <c r="BY124" s="197">
        <f t="shared" si="338"/>
        <v>1805.7599999999998</v>
      </c>
      <c r="BZ124" s="197">
        <f>'Margins summary'!$S$14</f>
        <v>175.95</v>
      </c>
      <c r="CA124" s="197">
        <f t="shared" si="312"/>
        <v>1981.7099999999998</v>
      </c>
      <c r="CB124" s="197"/>
      <c r="CC124" s="918">
        <f>'Energy NPV'!U50</f>
        <v>393.31078400000001</v>
      </c>
      <c r="CD124" s="197"/>
      <c r="CE124" s="197">
        <f t="shared" si="313"/>
        <v>393.31078400000001</v>
      </c>
      <c r="CF124" s="197">
        <f t="shared" si="284"/>
        <v>1412.4492159999998</v>
      </c>
      <c r="CG124" s="197">
        <f t="shared" si="285"/>
        <v>1588.3992159999998</v>
      </c>
      <c r="CH124" s="196">
        <f t="shared" si="314"/>
        <v>1172.9872629796864</v>
      </c>
      <c r="CI124" s="197">
        <f t="shared" si="315"/>
        <v>114.29376490855698</v>
      </c>
      <c r="CJ124" s="197">
        <f t="shared" si="316"/>
        <v>255.48718546459924</v>
      </c>
      <c r="CK124" s="197">
        <f t="shared" si="317"/>
        <v>917.50007751508724</v>
      </c>
      <c r="CL124" s="199">
        <f t="shared" si="318"/>
        <v>1031.7938424236443</v>
      </c>
      <c r="CM124" s="196">
        <f t="shared" si="339"/>
        <v>14521.156295330304</v>
      </c>
      <c r="CN124" s="197">
        <f t="shared" si="319"/>
        <v>1717.3558772860742</v>
      </c>
      <c r="CO124" s="197">
        <f t="shared" si="319"/>
        <v>5884.0114574441877</v>
      </c>
      <c r="CP124" s="197">
        <f t="shared" si="319"/>
        <v>8637.1448378861151</v>
      </c>
      <c r="CQ124" s="199">
        <f t="shared" si="319"/>
        <v>10354.500715172189</v>
      </c>
      <c r="CR124" s="197"/>
      <c r="CT124" s="204">
        <f t="shared" si="340"/>
        <v>12</v>
      </c>
      <c r="CU124" s="760">
        <f>'Energy NPV'!$D50*$CV$109</f>
        <v>0</v>
      </c>
      <c r="CV124" s="197">
        <f>'Energy margins'!$L$12</f>
        <v>72</v>
      </c>
      <c r="CW124" s="197">
        <f t="shared" si="341"/>
        <v>0</v>
      </c>
      <c r="CX124" s="197">
        <f>'Margins summary'!$S$14</f>
        <v>175.95</v>
      </c>
      <c r="CY124" s="197">
        <f t="shared" si="320"/>
        <v>175.95</v>
      </c>
      <c r="CZ124" s="197"/>
      <c r="DA124" s="918">
        <f>'Energy NPV'!U50</f>
        <v>393.31078400000001</v>
      </c>
      <c r="DB124" s="197"/>
      <c r="DC124" s="197">
        <f t="shared" si="321"/>
        <v>393.31078400000001</v>
      </c>
      <c r="DD124" s="197">
        <f t="shared" si="286"/>
        <v>-393.31078400000001</v>
      </c>
      <c r="DE124" s="197">
        <f t="shared" si="287"/>
        <v>-217.36078400000002</v>
      </c>
      <c r="DF124" s="196">
        <f t="shared" si="322"/>
        <v>0</v>
      </c>
      <c r="DG124" s="197">
        <f t="shared" si="323"/>
        <v>114.29376490855698</v>
      </c>
      <c r="DH124" s="197">
        <f t="shared" si="324"/>
        <v>255.48718546459924</v>
      </c>
      <c r="DI124" s="197">
        <f t="shared" si="325"/>
        <v>-255.48718546459924</v>
      </c>
      <c r="DJ124" s="199">
        <f t="shared" si="326"/>
        <v>-141.19342055604227</v>
      </c>
      <c r="DK124" s="196">
        <f t="shared" si="342"/>
        <v>0</v>
      </c>
      <c r="DL124" s="197">
        <f t="shared" si="327"/>
        <v>1717.3558772860742</v>
      </c>
      <c r="DM124" s="197">
        <f t="shared" si="327"/>
        <v>5884.0114574441877</v>
      </c>
      <c r="DN124" s="197">
        <f t="shared" si="327"/>
        <v>-5884.0114574441877</v>
      </c>
      <c r="DO124" s="199">
        <f t="shared" si="327"/>
        <v>-4166.6555801581135</v>
      </c>
    </row>
    <row r="125" spans="2:119" x14ac:dyDescent="0.3">
      <c r="B125" s="204">
        <f t="shared" si="328"/>
        <v>13</v>
      </c>
      <c r="C125" s="760">
        <f>'Energy NPV'!$D51*$E$109</f>
        <v>12.54</v>
      </c>
      <c r="D125" s="197">
        <f>'Energy margins'!$L$12</f>
        <v>72</v>
      </c>
      <c r="E125" s="197">
        <f t="shared" si="329"/>
        <v>902.87999999999988</v>
      </c>
      <c r="F125" s="197">
        <f>'Margins summary'!$S$14</f>
        <v>175.95</v>
      </c>
      <c r="G125" s="197">
        <f t="shared" si="288"/>
        <v>1078.83</v>
      </c>
      <c r="H125" s="197"/>
      <c r="I125" s="918">
        <f>'Energy NPV'!U51</f>
        <v>393.31078400000001</v>
      </c>
      <c r="J125" s="197"/>
      <c r="K125" s="197">
        <f t="shared" si="289"/>
        <v>393.31078400000001</v>
      </c>
      <c r="L125" s="197">
        <f t="shared" si="278"/>
        <v>509.56921599999987</v>
      </c>
      <c r="M125" s="197">
        <f t="shared" si="279"/>
        <v>685.51921599999991</v>
      </c>
      <c r="N125" s="196">
        <f t="shared" si="290"/>
        <v>563.93618412484909</v>
      </c>
      <c r="O125" s="197">
        <f t="shared" si="291"/>
        <v>109.89785087361246</v>
      </c>
      <c r="P125" s="197">
        <f t="shared" si="292"/>
        <v>245.6607552544223</v>
      </c>
      <c r="Q125" s="197">
        <f t="shared" si="293"/>
        <v>318.27542887042682</v>
      </c>
      <c r="R125" s="199">
        <f t="shared" si="294"/>
        <v>428.17327974403935</v>
      </c>
      <c r="S125" s="196">
        <f t="shared" si="330"/>
        <v>7824.5143317900011</v>
      </c>
      <c r="T125" s="197">
        <f t="shared" si="295"/>
        <v>1827.2537281596867</v>
      </c>
      <c r="U125" s="197">
        <f t="shared" si="295"/>
        <v>6129.6722126986097</v>
      </c>
      <c r="V125" s="197">
        <f t="shared" si="295"/>
        <v>1694.8421190913907</v>
      </c>
      <c r="W125" s="199">
        <f t="shared" si="295"/>
        <v>3522.0958472510779</v>
      </c>
      <c r="X125" s="197"/>
      <c r="Z125" s="204">
        <f t="shared" si="331"/>
        <v>13</v>
      </c>
      <c r="AA125" s="760">
        <f>'Energy NPV'!$D51*$AB$109</f>
        <v>18.809999999999999</v>
      </c>
      <c r="AB125" s="197">
        <f>'Energy margins'!$L$12</f>
        <v>72</v>
      </c>
      <c r="AC125" s="197">
        <f t="shared" si="332"/>
        <v>1354.32</v>
      </c>
      <c r="AD125" s="197">
        <f>'Margins summary'!$S$14</f>
        <v>175.95</v>
      </c>
      <c r="AE125" s="197">
        <f t="shared" si="296"/>
        <v>1530.27</v>
      </c>
      <c r="AF125" s="197"/>
      <c r="AG125" s="918">
        <f>'Energy NPV'!U51</f>
        <v>393.31078400000001</v>
      </c>
      <c r="AH125" s="197"/>
      <c r="AI125" s="197">
        <f t="shared" si="297"/>
        <v>393.31078400000001</v>
      </c>
      <c r="AJ125" s="197">
        <f t="shared" si="280"/>
        <v>961.00921599999992</v>
      </c>
      <c r="AK125" s="197">
        <f t="shared" si="281"/>
        <v>1136.959216</v>
      </c>
      <c r="AL125" s="196">
        <f t="shared" si="298"/>
        <v>845.90427618727381</v>
      </c>
      <c r="AM125" s="197">
        <f t="shared" si="299"/>
        <v>109.89785087361246</v>
      </c>
      <c r="AN125" s="197">
        <f t="shared" si="300"/>
        <v>245.6607552544223</v>
      </c>
      <c r="AO125" s="197">
        <f t="shared" si="301"/>
        <v>600.24352093285142</v>
      </c>
      <c r="AP125" s="199">
        <f t="shared" si="302"/>
        <v>710.14137180646401</v>
      </c>
      <c r="AQ125" s="196">
        <f t="shared" si="333"/>
        <v>11736.771497685002</v>
      </c>
      <c r="AR125" s="197">
        <f t="shared" si="303"/>
        <v>1827.2537281596867</v>
      </c>
      <c r="AS125" s="197">
        <f t="shared" si="303"/>
        <v>6129.6722126986097</v>
      </c>
      <c r="AT125" s="197">
        <f t="shared" si="303"/>
        <v>5607.0992849863924</v>
      </c>
      <c r="AU125" s="199">
        <f t="shared" si="303"/>
        <v>7434.3530131460784</v>
      </c>
      <c r="AV125" s="197"/>
      <c r="AX125" s="204">
        <f t="shared" si="334"/>
        <v>13</v>
      </c>
      <c r="AY125" s="760">
        <f>'Energy NPV'!$D51*$AZ$109</f>
        <v>6.27</v>
      </c>
      <c r="AZ125" s="197">
        <f>'Energy margins'!$L$12</f>
        <v>72</v>
      </c>
      <c r="BA125" s="197">
        <f t="shared" si="335"/>
        <v>451.43999999999994</v>
      </c>
      <c r="BB125" s="197">
        <f>'Margins summary'!$S$14</f>
        <v>175.95</v>
      </c>
      <c r="BC125" s="197">
        <f t="shared" si="304"/>
        <v>627.38999999999987</v>
      </c>
      <c r="BD125" s="197"/>
      <c r="BE125" s="918">
        <f>'Energy NPV'!U51</f>
        <v>393.31078400000001</v>
      </c>
      <c r="BF125" s="197"/>
      <c r="BG125" s="197">
        <f t="shared" si="305"/>
        <v>393.31078400000001</v>
      </c>
      <c r="BH125" s="197">
        <f t="shared" si="282"/>
        <v>58.129215999999928</v>
      </c>
      <c r="BI125" s="197">
        <f t="shared" si="283"/>
        <v>234.07921599999986</v>
      </c>
      <c r="BJ125" s="196">
        <f t="shared" si="306"/>
        <v>281.96809206242455</v>
      </c>
      <c r="BK125" s="197">
        <f t="shared" si="307"/>
        <v>109.89785087361246</v>
      </c>
      <c r="BL125" s="197">
        <f t="shared" si="308"/>
        <v>245.6607552544223</v>
      </c>
      <c r="BM125" s="197">
        <f t="shared" si="309"/>
        <v>36.307336808002269</v>
      </c>
      <c r="BN125" s="199">
        <f t="shared" si="310"/>
        <v>146.20518768161469</v>
      </c>
      <c r="BO125" s="196">
        <f t="shared" si="336"/>
        <v>3912.2571658950005</v>
      </c>
      <c r="BP125" s="197">
        <f t="shared" si="311"/>
        <v>1827.2537281596867</v>
      </c>
      <c r="BQ125" s="197">
        <f t="shared" si="311"/>
        <v>6129.6722126986097</v>
      </c>
      <c r="BR125" s="197">
        <f t="shared" si="311"/>
        <v>-2217.4150468036096</v>
      </c>
      <c r="BS125" s="199">
        <f t="shared" si="311"/>
        <v>-390.16131864392332</v>
      </c>
      <c r="BT125" s="197"/>
      <c r="BV125" s="204">
        <f t="shared" si="337"/>
        <v>13</v>
      </c>
      <c r="BW125" s="760">
        <f>'Energy NPV'!$D51*$BX$109</f>
        <v>25.08</v>
      </c>
      <c r="BX125" s="197">
        <f>'Energy margins'!$L$12</f>
        <v>72</v>
      </c>
      <c r="BY125" s="197">
        <f t="shared" si="338"/>
        <v>1805.7599999999998</v>
      </c>
      <c r="BZ125" s="197">
        <f>'Margins summary'!$S$14</f>
        <v>175.95</v>
      </c>
      <c r="CA125" s="197">
        <f t="shared" si="312"/>
        <v>1981.7099999999998</v>
      </c>
      <c r="CB125" s="197"/>
      <c r="CC125" s="918">
        <f>'Energy NPV'!U51</f>
        <v>393.31078400000001</v>
      </c>
      <c r="CD125" s="197"/>
      <c r="CE125" s="197">
        <f t="shared" si="313"/>
        <v>393.31078400000001</v>
      </c>
      <c r="CF125" s="197">
        <f t="shared" si="284"/>
        <v>1412.4492159999998</v>
      </c>
      <c r="CG125" s="197">
        <f t="shared" si="285"/>
        <v>1588.3992159999998</v>
      </c>
      <c r="CH125" s="196">
        <f t="shared" si="314"/>
        <v>1127.8723682496982</v>
      </c>
      <c r="CI125" s="197">
        <f t="shared" si="315"/>
        <v>109.89785087361246</v>
      </c>
      <c r="CJ125" s="197">
        <f t="shared" si="316"/>
        <v>245.6607552544223</v>
      </c>
      <c r="CK125" s="197">
        <f t="shared" si="317"/>
        <v>882.21161299527603</v>
      </c>
      <c r="CL125" s="199">
        <f t="shared" si="318"/>
        <v>992.1094638688885</v>
      </c>
      <c r="CM125" s="196">
        <f t="shared" si="339"/>
        <v>15649.028663580002</v>
      </c>
      <c r="CN125" s="197">
        <f t="shared" si="319"/>
        <v>1827.2537281596867</v>
      </c>
      <c r="CO125" s="197">
        <f t="shared" si="319"/>
        <v>6129.6722126986097</v>
      </c>
      <c r="CP125" s="197">
        <f t="shared" si="319"/>
        <v>9519.3564508813906</v>
      </c>
      <c r="CQ125" s="199">
        <f t="shared" si="319"/>
        <v>11346.610179041078</v>
      </c>
      <c r="CR125" s="197"/>
      <c r="CT125" s="204">
        <f t="shared" si="340"/>
        <v>13</v>
      </c>
      <c r="CU125" s="760">
        <f>'Energy NPV'!$D51*$CV$109</f>
        <v>0</v>
      </c>
      <c r="CV125" s="197">
        <f>'Energy margins'!$L$12</f>
        <v>72</v>
      </c>
      <c r="CW125" s="197">
        <f t="shared" si="341"/>
        <v>0</v>
      </c>
      <c r="CX125" s="197">
        <f>'Margins summary'!$S$14</f>
        <v>175.95</v>
      </c>
      <c r="CY125" s="197">
        <f t="shared" si="320"/>
        <v>175.95</v>
      </c>
      <c r="CZ125" s="197"/>
      <c r="DA125" s="918">
        <f>'Energy NPV'!U51</f>
        <v>393.31078400000001</v>
      </c>
      <c r="DB125" s="197"/>
      <c r="DC125" s="197">
        <f t="shared" si="321"/>
        <v>393.31078400000001</v>
      </c>
      <c r="DD125" s="197">
        <f t="shared" si="286"/>
        <v>-393.31078400000001</v>
      </c>
      <c r="DE125" s="197">
        <f t="shared" si="287"/>
        <v>-217.36078400000002</v>
      </c>
      <c r="DF125" s="196">
        <f t="shared" si="322"/>
        <v>0</v>
      </c>
      <c r="DG125" s="197">
        <f t="shared" si="323"/>
        <v>109.89785087361246</v>
      </c>
      <c r="DH125" s="197">
        <f t="shared" si="324"/>
        <v>245.6607552544223</v>
      </c>
      <c r="DI125" s="197">
        <f t="shared" si="325"/>
        <v>-245.6607552544223</v>
      </c>
      <c r="DJ125" s="199">
        <f t="shared" si="326"/>
        <v>-135.76290438080986</v>
      </c>
      <c r="DK125" s="196">
        <f t="shared" si="342"/>
        <v>0</v>
      </c>
      <c r="DL125" s="197">
        <f t="shared" si="327"/>
        <v>1827.2537281596867</v>
      </c>
      <c r="DM125" s="197">
        <f t="shared" si="327"/>
        <v>6129.6722126986097</v>
      </c>
      <c r="DN125" s="197">
        <f t="shared" si="327"/>
        <v>-6129.6722126986097</v>
      </c>
      <c r="DO125" s="199">
        <f t="shared" si="327"/>
        <v>-4302.4184845389236</v>
      </c>
    </row>
    <row r="126" spans="2:119" x14ac:dyDescent="0.3">
      <c r="B126" s="204">
        <f t="shared" si="328"/>
        <v>14</v>
      </c>
      <c r="C126" s="760">
        <f>'Energy NPV'!$D52*$E$109</f>
        <v>12.54</v>
      </c>
      <c r="D126" s="197">
        <f>'Energy margins'!$L$12</f>
        <v>72</v>
      </c>
      <c r="E126" s="197">
        <f t="shared" si="329"/>
        <v>902.87999999999988</v>
      </c>
      <c r="F126" s="197">
        <f>'Margins summary'!$S$14</f>
        <v>175.95</v>
      </c>
      <c r="G126" s="197">
        <f t="shared" si="288"/>
        <v>1078.83</v>
      </c>
      <c r="H126" s="197"/>
      <c r="I126" s="918">
        <f>'Energy NPV'!U52</f>
        <v>393.31078400000001</v>
      </c>
      <c r="J126" s="197"/>
      <c r="K126" s="197">
        <f t="shared" si="289"/>
        <v>393.31078400000001</v>
      </c>
      <c r="L126" s="197">
        <f t="shared" si="278"/>
        <v>509.56921599999987</v>
      </c>
      <c r="M126" s="197">
        <f t="shared" si="279"/>
        <v>685.51921599999991</v>
      </c>
      <c r="N126" s="196">
        <f t="shared" si="290"/>
        <v>542.24633088927806</v>
      </c>
      <c r="O126" s="197">
        <f t="shared" si="291"/>
        <v>105.67101045539658</v>
      </c>
      <c r="P126" s="197">
        <f t="shared" si="292"/>
        <v>236.21226466771375</v>
      </c>
      <c r="Q126" s="197">
        <f t="shared" si="293"/>
        <v>306.03406622156427</v>
      </c>
      <c r="R126" s="199">
        <f t="shared" si="294"/>
        <v>411.70507667696086</v>
      </c>
      <c r="S126" s="196">
        <f t="shared" si="330"/>
        <v>8366.7606626792785</v>
      </c>
      <c r="T126" s="197">
        <f t="shared" si="295"/>
        <v>1932.9247386150832</v>
      </c>
      <c r="U126" s="197">
        <f t="shared" si="295"/>
        <v>6365.8844773663232</v>
      </c>
      <c r="V126" s="197">
        <f t="shared" si="295"/>
        <v>2000.8761853129549</v>
      </c>
      <c r="W126" s="199">
        <f t="shared" si="295"/>
        <v>3933.8009239280386</v>
      </c>
      <c r="X126" s="197"/>
      <c r="Z126" s="204">
        <f t="shared" si="331"/>
        <v>14</v>
      </c>
      <c r="AA126" s="760">
        <f>'Energy NPV'!$D52*$AB$109</f>
        <v>18.809999999999999</v>
      </c>
      <c r="AB126" s="197">
        <f>'Energy margins'!$L$12</f>
        <v>72</v>
      </c>
      <c r="AC126" s="197">
        <f t="shared" si="332"/>
        <v>1354.32</v>
      </c>
      <c r="AD126" s="197">
        <f>'Margins summary'!$S$14</f>
        <v>175.95</v>
      </c>
      <c r="AE126" s="197">
        <f t="shared" si="296"/>
        <v>1530.27</v>
      </c>
      <c r="AF126" s="197"/>
      <c r="AG126" s="918">
        <f>'Energy NPV'!U52</f>
        <v>393.31078400000001</v>
      </c>
      <c r="AH126" s="197"/>
      <c r="AI126" s="197">
        <f t="shared" si="297"/>
        <v>393.31078400000001</v>
      </c>
      <c r="AJ126" s="197">
        <f t="shared" si="280"/>
        <v>961.00921599999992</v>
      </c>
      <c r="AK126" s="197">
        <f t="shared" si="281"/>
        <v>1136.959216</v>
      </c>
      <c r="AL126" s="196">
        <f t="shared" si="298"/>
        <v>813.36949633391703</v>
      </c>
      <c r="AM126" s="197">
        <f t="shared" si="299"/>
        <v>105.67101045539658</v>
      </c>
      <c r="AN126" s="197">
        <f t="shared" si="300"/>
        <v>236.21226466771375</v>
      </c>
      <c r="AO126" s="197">
        <f t="shared" si="301"/>
        <v>577.1572316662033</v>
      </c>
      <c r="AP126" s="199">
        <f t="shared" si="302"/>
        <v>682.82824212159994</v>
      </c>
      <c r="AQ126" s="196">
        <f t="shared" si="333"/>
        <v>12550.140994018919</v>
      </c>
      <c r="AR126" s="197">
        <f t="shared" si="303"/>
        <v>1932.9247386150832</v>
      </c>
      <c r="AS126" s="197">
        <f t="shared" si="303"/>
        <v>6365.8844773663232</v>
      </c>
      <c r="AT126" s="197">
        <f t="shared" si="303"/>
        <v>6184.2565166525956</v>
      </c>
      <c r="AU126" s="199">
        <f t="shared" si="303"/>
        <v>8117.1812552676784</v>
      </c>
      <c r="AV126" s="197"/>
      <c r="AX126" s="204">
        <f t="shared" si="334"/>
        <v>14</v>
      </c>
      <c r="AY126" s="760">
        <f>'Energy NPV'!$D52*$AZ$109</f>
        <v>6.27</v>
      </c>
      <c r="AZ126" s="197">
        <f>'Energy margins'!$L$12</f>
        <v>72</v>
      </c>
      <c r="BA126" s="197">
        <f t="shared" si="335"/>
        <v>451.43999999999994</v>
      </c>
      <c r="BB126" s="197">
        <f>'Margins summary'!$S$14</f>
        <v>175.95</v>
      </c>
      <c r="BC126" s="197">
        <f t="shared" si="304"/>
        <v>627.38999999999987</v>
      </c>
      <c r="BD126" s="197"/>
      <c r="BE126" s="918">
        <f>'Energy NPV'!U52</f>
        <v>393.31078400000001</v>
      </c>
      <c r="BF126" s="197"/>
      <c r="BG126" s="197">
        <f t="shared" si="305"/>
        <v>393.31078400000001</v>
      </c>
      <c r="BH126" s="197">
        <f t="shared" si="282"/>
        <v>58.129215999999928</v>
      </c>
      <c r="BI126" s="197">
        <f t="shared" si="283"/>
        <v>234.07921599999986</v>
      </c>
      <c r="BJ126" s="196">
        <f t="shared" si="306"/>
        <v>271.12316544463903</v>
      </c>
      <c r="BK126" s="197">
        <f t="shared" si="307"/>
        <v>105.67101045539658</v>
      </c>
      <c r="BL126" s="197">
        <f t="shared" si="308"/>
        <v>236.21226466771375</v>
      </c>
      <c r="BM126" s="197">
        <f t="shared" si="309"/>
        <v>34.91090077692526</v>
      </c>
      <c r="BN126" s="199">
        <f t="shared" si="310"/>
        <v>140.5819112323218</v>
      </c>
      <c r="BO126" s="196">
        <f t="shared" si="336"/>
        <v>4183.3803313396393</v>
      </c>
      <c r="BP126" s="197">
        <f t="shared" si="311"/>
        <v>1932.9247386150832</v>
      </c>
      <c r="BQ126" s="197">
        <f t="shared" si="311"/>
        <v>6365.8844773663232</v>
      </c>
      <c r="BR126" s="197">
        <f t="shared" si="311"/>
        <v>-2182.5041460266843</v>
      </c>
      <c r="BS126" s="199">
        <f t="shared" si="311"/>
        <v>-249.57940741160152</v>
      </c>
      <c r="BT126" s="197"/>
      <c r="BV126" s="204">
        <f t="shared" si="337"/>
        <v>14</v>
      </c>
      <c r="BW126" s="760">
        <f>'Energy NPV'!$D52*$BX$109</f>
        <v>25.08</v>
      </c>
      <c r="BX126" s="197">
        <f>'Energy margins'!$L$12</f>
        <v>72</v>
      </c>
      <c r="BY126" s="197">
        <f t="shared" si="338"/>
        <v>1805.7599999999998</v>
      </c>
      <c r="BZ126" s="197">
        <f>'Margins summary'!$S$14</f>
        <v>175.95</v>
      </c>
      <c r="CA126" s="197">
        <f t="shared" si="312"/>
        <v>1981.7099999999998</v>
      </c>
      <c r="CB126" s="197"/>
      <c r="CC126" s="918">
        <f>'Energy NPV'!U52</f>
        <v>393.31078400000001</v>
      </c>
      <c r="CD126" s="197"/>
      <c r="CE126" s="197">
        <f t="shared" si="313"/>
        <v>393.31078400000001</v>
      </c>
      <c r="CF126" s="197">
        <f t="shared" si="284"/>
        <v>1412.4492159999998</v>
      </c>
      <c r="CG126" s="197">
        <f t="shared" si="285"/>
        <v>1588.3992159999998</v>
      </c>
      <c r="CH126" s="196">
        <f t="shared" si="314"/>
        <v>1084.4926617785561</v>
      </c>
      <c r="CI126" s="197">
        <f t="shared" si="315"/>
        <v>105.67101045539658</v>
      </c>
      <c r="CJ126" s="197">
        <f t="shared" si="316"/>
        <v>236.21226466771375</v>
      </c>
      <c r="CK126" s="197">
        <f t="shared" si="317"/>
        <v>848.28039711084227</v>
      </c>
      <c r="CL126" s="199">
        <f t="shared" si="318"/>
        <v>953.95140756623891</v>
      </c>
      <c r="CM126" s="196">
        <f t="shared" si="339"/>
        <v>16733.521325358557</v>
      </c>
      <c r="CN126" s="197">
        <f t="shared" si="319"/>
        <v>1932.9247386150832</v>
      </c>
      <c r="CO126" s="197">
        <f t="shared" si="319"/>
        <v>6365.8844773663232</v>
      </c>
      <c r="CP126" s="197">
        <f t="shared" si="319"/>
        <v>10367.636847992233</v>
      </c>
      <c r="CQ126" s="199">
        <f t="shared" si="319"/>
        <v>12300.561586607317</v>
      </c>
      <c r="CR126" s="197"/>
      <c r="CT126" s="204">
        <f t="shared" si="340"/>
        <v>14</v>
      </c>
      <c r="CU126" s="760">
        <f>'Energy NPV'!$D52*$CV$109</f>
        <v>0</v>
      </c>
      <c r="CV126" s="197">
        <f>'Energy margins'!$L$12</f>
        <v>72</v>
      </c>
      <c r="CW126" s="197">
        <f t="shared" si="341"/>
        <v>0</v>
      </c>
      <c r="CX126" s="197">
        <f>'Margins summary'!$S$14</f>
        <v>175.95</v>
      </c>
      <c r="CY126" s="197">
        <f t="shared" si="320"/>
        <v>175.95</v>
      </c>
      <c r="CZ126" s="197"/>
      <c r="DA126" s="918">
        <f>'Energy NPV'!U52</f>
        <v>393.31078400000001</v>
      </c>
      <c r="DB126" s="197"/>
      <c r="DC126" s="197">
        <f t="shared" si="321"/>
        <v>393.31078400000001</v>
      </c>
      <c r="DD126" s="197">
        <f t="shared" si="286"/>
        <v>-393.31078400000001</v>
      </c>
      <c r="DE126" s="197">
        <f t="shared" si="287"/>
        <v>-217.36078400000002</v>
      </c>
      <c r="DF126" s="196">
        <f t="shared" si="322"/>
        <v>0</v>
      </c>
      <c r="DG126" s="197">
        <f t="shared" si="323"/>
        <v>105.67101045539658</v>
      </c>
      <c r="DH126" s="197">
        <f t="shared" si="324"/>
        <v>236.21226466771375</v>
      </c>
      <c r="DI126" s="197">
        <f t="shared" si="325"/>
        <v>-236.21226466771375</v>
      </c>
      <c r="DJ126" s="199">
        <f t="shared" si="326"/>
        <v>-130.54125421231714</v>
      </c>
      <c r="DK126" s="196">
        <f t="shared" si="342"/>
        <v>0</v>
      </c>
      <c r="DL126" s="197">
        <f t="shared" si="327"/>
        <v>1932.9247386150832</v>
      </c>
      <c r="DM126" s="197">
        <f t="shared" si="327"/>
        <v>6365.8844773663232</v>
      </c>
      <c r="DN126" s="197">
        <f t="shared" si="327"/>
        <v>-6365.8844773663232</v>
      </c>
      <c r="DO126" s="199">
        <f t="shared" si="327"/>
        <v>-4432.9597387512404</v>
      </c>
    </row>
    <row r="127" spans="2:119" x14ac:dyDescent="0.3">
      <c r="B127" s="204">
        <f t="shared" si="328"/>
        <v>15</v>
      </c>
      <c r="C127" s="760">
        <f>'Energy NPV'!$D53*$E$109</f>
        <v>12.54</v>
      </c>
      <c r="D127" s="197">
        <f>'Energy margins'!$L$12</f>
        <v>72</v>
      </c>
      <c r="E127" s="197">
        <f t="shared" si="329"/>
        <v>902.87999999999988</v>
      </c>
      <c r="F127" s="197">
        <f>'Margins summary'!$S$14</f>
        <v>175.95</v>
      </c>
      <c r="G127" s="197">
        <f t="shared" si="288"/>
        <v>1078.83</v>
      </c>
      <c r="H127" s="197"/>
      <c r="I127" s="918">
        <f>'Energy NPV'!U53</f>
        <v>393.31078400000001</v>
      </c>
      <c r="J127" s="197"/>
      <c r="K127" s="197">
        <f t="shared" si="289"/>
        <v>393.31078400000001</v>
      </c>
      <c r="L127" s="197">
        <f t="shared" si="278"/>
        <v>509.56921599999987</v>
      </c>
      <c r="M127" s="197">
        <f t="shared" si="279"/>
        <v>685.51921599999991</v>
      </c>
      <c r="N127" s="196">
        <f t="shared" si="290"/>
        <v>521.39070277815199</v>
      </c>
      <c r="O127" s="197">
        <f t="shared" si="291"/>
        <v>101.60674082249672</v>
      </c>
      <c r="P127" s="197">
        <f t="shared" si="292"/>
        <v>227.12717756510938</v>
      </c>
      <c r="Q127" s="197">
        <f t="shared" si="293"/>
        <v>294.26352521304256</v>
      </c>
      <c r="R127" s="199">
        <f t="shared" si="294"/>
        <v>395.87026603553932</v>
      </c>
      <c r="S127" s="196">
        <f t="shared" si="330"/>
        <v>8888.1513654574301</v>
      </c>
      <c r="T127" s="197">
        <f t="shared" si="295"/>
        <v>2034.5314794375799</v>
      </c>
      <c r="U127" s="197">
        <f t="shared" si="295"/>
        <v>6593.0116549314325</v>
      </c>
      <c r="V127" s="197">
        <f t="shared" si="295"/>
        <v>2295.1397105259975</v>
      </c>
      <c r="W127" s="199">
        <f t="shared" si="295"/>
        <v>4329.6711899635775</v>
      </c>
      <c r="X127" s="197"/>
      <c r="Z127" s="204">
        <f t="shared" si="331"/>
        <v>15</v>
      </c>
      <c r="AA127" s="760">
        <f>'Energy NPV'!$D53*$AB$109</f>
        <v>18.809999999999999</v>
      </c>
      <c r="AB127" s="197">
        <f>'Energy margins'!$L$12</f>
        <v>72</v>
      </c>
      <c r="AC127" s="197">
        <f t="shared" si="332"/>
        <v>1354.32</v>
      </c>
      <c r="AD127" s="197">
        <f>'Margins summary'!$S$14</f>
        <v>175.95</v>
      </c>
      <c r="AE127" s="197">
        <f t="shared" si="296"/>
        <v>1530.27</v>
      </c>
      <c r="AF127" s="197"/>
      <c r="AG127" s="918">
        <f>'Energy NPV'!U53</f>
        <v>393.31078400000001</v>
      </c>
      <c r="AH127" s="197"/>
      <c r="AI127" s="197">
        <f t="shared" si="297"/>
        <v>393.31078400000001</v>
      </c>
      <c r="AJ127" s="197">
        <f t="shared" si="280"/>
        <v>961.00921599999992</v>
      </c>
      <c r="AK127" s="197">
        <f t="shared" si="281"/>
        <v>1136.959216</v>
      </c>
      <c r="AL127" s="196">
        <f t="shared" si="298"/>
        <v>782.08605416722799</v>
      </c>
      <c r="AM127" s="197">
        <f t="shared" si="299"/>
        <v>101.60674082249672</v>
      </c>
      <c r="AN127" s="197">
        <f t="shared" si="300"/>
        <v>227.12717756510938</v>
      </c>
      <c r="AO127" s="197">
        <f t="shared" si="301"/>
        <v>554.95887660211861</v>
      </c>
      <c r="AP127" s="199">
        <f t="shared" si="302"/>
        <v>656.56561742461531</v>
      </c>
      <c r="AQ127" s="196">
        <f t="shared" si="333"/>
        <v>13332.227048186147</v>
      </c>
      <c r="AR127" s="197">
        <f t="shared" si="303"/>
        <v>2034.5314794375799</v>
      </c>
      <c r="AS127" s="197">
        <f t="shared" si="303"/>
        <v>6593.0116549314325</v>
      </c>
      <c r="AT127" s="197">
        <f t="shared" si="303"/>
        <v>6739.2153932547144</v>
      </c>
      <c r="AU127" s="199">
        <f t="shared" si="303"/>
        <v>8773.7468726922943</v>
      </c>
      <c r="AV127" s="197"/>
      <c r="AX127" s="204">
        <f t="shared" si="334"/>
        <v>15</v>
      </c>
      <c r="AY127" s="760">
        <f>'Energy NPV'!$D53*$AZ$109</f>
        <v>6.27</v>
      </c>
      <c r="AZ127" s="197">
        <f>'Energy margins'!$L$12</f>
        <v>72</v>
      </c>
      <c r="BA127" s="197">
        <f t="shared" si="335"/>
        <v>451.43999999999994</v>
      </c>
      <c r="BB127" s="197">
        <f>'Margins summary'!$S$14</f>
        <v>175.95</v>
      </c>
      <c r="BC127" s="197">
        <f t="shared" si="304"/>
        <v>627.38999999999987</v>
      </c>
      <c r="BD127" s="197"/>
      <c r="BE127" s="918">
        <f>'Energy NPV'!U53</f>
        <v>393.31078400000001</v>
      </c>
      <c r="BF127" s="197"/>
      <c r="BG127" s="197">
        <f t="shared" si="305"/>
        <v>393.31078400000001</v>
      </c>
      <c r="BH127" s="197">
        <f t="shared" si="282"/>
        <v>58.129215999999928</v>
      </c>
      <c r="BI127" s="197">
        <f t="shared" si="283"/>
        <v>234.07921599999986</v>
      </c>
      <c r="BJ127" s="196">
        <f t="shared" si="306"/>
        <v>260.695351389076</v>
      </c>
      <c r="BK127" s="197">
        <f t="shared" si="307"/>
        <v>101.60674082249672</v>
      </c>
      <c r="BL127" s="197">
        <f t="shared" si="308"/>
        <v>227.12717756510938</v>
      </c>
      <c r="BM127" s="197">
        <f t="shared" si="309"/>
        <v>33.568173823966596</v>
      </c>
      <c r="BN127" s="199">
        <f t="shared" si="310"/>
        <v>135.17491464646329</v>
      </c>
      <c r="BO127" s="196">
        <f t="shared" si="336"/>
        <v>4444.075682728715</v>
      </c>
      <c r="BP127" s="197">
        <f t="shared" si="311"/>
        <v>2034.5314794375799</v>
      </c>
      <c r="BQ127" s="197">
        <f t="shared" si="311"/>
        <v>6593.0116549314325</v>
      </c>
      <c r="BR127" s="197">
        <f t="shared" si="311"/>
        <v>-2148.9359722027179</v>
      </c>
      <c r="BS127" s="199">
        <f t="shared" si="311"/>
        <v>-114.40449276513823</v>
      </c>
      <c r="BT127" s="197"/>
      <c r="BV127" s="204">
        <f t="shared" si="337"/>
        <v>15</v>
      </c>
      <c r="BW127" s="760">
        <f>'Energy NPV'!$D53*$BX$109</f>
        <v>25.08</v>
      </c>
      <c r="BX127" s="197">
        <f>'Energy margins'!$L$12</f>
        <v>72</v>
      </c>
      <c r="BY127" s="197">
        <f t="shared" si="338"/>
        <v>1805.7599999999998</v>
      </c>
      <c r="BZ127" s="197">
        <f>'Margins summary'!$S$14</f>
        <v>175.95</v>
      </c>
      <c r="CA127" s="197">
        <f t="shared" si="312"/>
        <v>1981.7099999999998</v>
      </c>
      <c r="CB127" s="197"/>
      <c r="CC127" s="918">
        <f>'Energy NPV'!U53</f>
        <v>393.31078400000001</v>
      </c>
      <c r="CD127" s="197"/>
      <c r="CE127" s="197">
        <f t="shared" si="313"/>
        <v>393.31078400000001</v>
      </c>
      <c r="CF127" s="197">
        <f t="shared" si="284"/>
        <v>1412.4492159999998</v>
      </c>
      <c r="CG127" s="197">
        <f t="shared" si="285"/>
        <v>1588.3992159999998</v>
      </c>
      <c r="CH127" s="196">
        <f t="shared" si="314"/>
        <v>1042.781405556304</v>
      </c>
      <c r="CI127" s="197">
        <f t="shared" si="315"/>
        <v>101.60674082249672</v>
      </c>
      <c r="CJ127" s="197">
        <f t="shared" si="316"/>
        <v>227.12717756510938</v>
      </c>
      <c r="CK127" s="197">
        <f t="shared" si="317"/>
        <v>815.65422799119449</v>
      </c>
      <c r="CL127" s="199">
        <f t="shared" si="318"/>
        <v>917.26096881369131</v>
      </c>
      <c r="CM127" s="196">
        <f t="shared" si="339"/>
        <v>17776.30273091486</v>
      </c>
      <c r="CN127" s="197">
        <f t="shared" si="319"/>
        <v>2034.5314794375799</v>
      </c>
      <c r="CO127" s="197">
        <f t="shared" si="319"/>
        <v>6593.0116549314325</v>
      </c>
      <c r="CP127" s="197">
        <f t="shared" si="319"/>
        <v>11183.291075983427</v>
      </c>
      <c r="CQ127" s="199">
        <f t="shared" si="319"/>
        <v>13217.822555421008</v>
      </c>
      <c r="CR127" s="197"/>
      <c r="CT127" s="204">
        <f t="shared" si="340"/>
        <v>15</v>
      </c>
      <c r="CU127" s="760">
        <f>'Energy NPV'!$D53*$CV$109</f>
        <v>0</v>
      </c>
      <c r="CV127" s="197">
        <f>'Energy margins'!$L$12</f>
        <v>72</v>
      </c>
      <c r="CW127" s="197">
        <f t="shared" si="341"/>
        <v>0</v>
      </c>
      <c r="CX127" s="197">
        <f>'Margins summary'!$S$14</f>
        <v>175.95</v>
      </c>
      <c r="CY127" s="197">
        <f t="shared" si="320"/>
        <v>175.95</v>
      </c>
      <c r="CZ127" s="197"/>
      <c r="DA127" s="918">
        <f>'Energy NPV'!U53</f>
        <v>393.31078400000001</v>
      </c>
      <c r="DB127" s="197"/>
      <c r="DC127" s="197">
        <f t="shared" si="321"/>
        <v>393.31078400000001</v>
      </c>
      <c r="DD127" s="197">
        <f t="shared" si="286"/>
        <v>-393.31078400000001</v>
      </c>
      <c r="DE127" s="197">
        <f t="shared" si="287"/>
        <v>-217.36078400000002</v>
      </c>
      <c r="DF127" s="196">
        <f t="shared" si="322"/>
        <v>0</v>
      </c>
      <c r="DG127" s="197">
        <f t="shared" si="323"/>
        <v>101.60674082249672</v>
      </c>
      <c r="DH127" s="197">
        <f t="shared" si="324"/>
        <v>227.12717756510938</v>
      </c>
      <c r="DI127" s="197">
        <f t="shared" si="325"/>
        <v>-227.12717756510938</v>
      </c>
      <c r="DJ127" s="199">
        <f t="shared" si="326"/>
        <v>-125.52043674261265</v>
      </c>
      <c r="DK127" s="196">
        <f t="shared" si="342"/>
        <v>0</v>
      </c>
      <c r="DL127" s="197">
        <f t="shared" si="327"/>
        <v>2034.5314794375799</v>
      </c>
      <c r="DM127" s="197">
        <f t="shared" si="327"/>
        <v>6593.0116549314325</v>
      </c>
      <c r="DN127" s="197">
        <f t="shared" si="327"/>
        <v>-6593.0116549314325</v>
      </c>
      <c r="DO127" s="199">
        <f t="shared" si="327"/>
        <v>-4558.4801754938526</v>
      </c>
    </row>
    <row r="128" spans="2:119" x14ac:dyDescent="0.3">
      <c r="B128" s="206">
        <f t="shared" si="328"/>
        <v>16</v>
      </c>
      <c r="C128" s="761">
        <f>'Energy NPV'!$D54*$E$109</f>
        <v>12.54</v>
      </c>
      <c r="D128" s="207">
        <f>'Energy margins'!$L$12</f>
        <v>72</v>
      </c>
      <c r="E128" s="207">
        <f t="shared" si="329"/>
        <v>902.87999999999988</v>
      </c>
      <c r="F128" s="207">
        <f>'Margins summary'!$S$14</f>
        <v>175.95</v>
      </c>
      <c r="G128" s="207">
        <f t="shared" si="288"/>
        <v>1078.83</v>
      </c>
      <c r="H128" s="207"/>
      <c r="I128" s="919">
        <f>'Energy NPV'!U54</f>
        <v>393.31078400000001</v>
      </c>
      <c r="J128" s="207">
        <f>'Energy margins'!$Q$67</f>
        <v>192.1</v>
      </c>
      <c r="K128" s="207">
        <f t="shared" si="289"/>
        <v>585.41078400000004</v>
      </c>
      <c r="L128" s="207">
        <f t="shared" si="278"/>
        <v>317.46921599999985</v>
      </c>
      <c r="M128" s="207">
        <f t="shared" si="279"/>
        <v>493.41921599999989</v>
      </c>
      <c r="N128" s="208">
        <f>E128/((1+$B$4)^(B128-1))</f>
        <v>501.3372142097615</v>
      </c>
      <c r="O128" s="207">
        <f>F128/((1+$B$4)^(B128-1))</f>
        <v>97.698789252400701</v>
      </c>
      <c r="P128" s="207">
        <f>K128/((1+$B$4)^(B128-1))</f>
        <v>325.05782786074838</v>
      </c>
      <c r="Q128" s="207">
        <f>L128/((1+$B$4)^(B128-1))</f>
        <v>176.27938634901315</v>
      </c>
      <c r="R128" s="209">
        <f>M128/((1+$B$4)^(B128-1))</f>
        <v>273.97817560141385</v>
      </c>
      <c r="S128" s="208">
        <f t="shared" si="330"/>
        <v>9389.4885796671915</v>
      </c>
      <c r="T128" s="207">
        <f t="shared" si="295"/>
        <v>2132.2302686899807</v>
      </c>
      <c r="U128" s="207">
        <f t="shared" si="295"/>
        <v>6918.0694827921807</v>
      </c>
      <c r="V128" s="207">
        <f t="shared" si="295"/>
        <v>2471.4190968750108</v>
      </c>
      <c r="W128" s="209">
        <f t="shared" si="295"/>
        <v>4603.6493655649911</v>
      </c>
      <c r="X128" s="197"/>
      <c r="Z128" s="206">
        <f t="shared" si="331"/>
        <v>16</v>
      </c>
      <c r="AA128" s="761">
        <f>'Energy NPV'!$D54*$AB$109</f>
        <v>18.809999999999999</v>
      </c>
      <c r="AB128" s="207">
        <f>'Energy margins'!$L$12</f>
        <v>72</v>
      </c>
      <c r="AC128" s="207">
        <f t="shared" si="332"/>
        <v>1354.32</v>
      </c>
      <c r="AD128" s="207">
        <f>'Margins summary'!$S$14</f>
        <v>175.95</v>
      </c>
      <c r="AE128" s="207">
        <f t="shared" si="296"/>
        <v>1530.27</v>
      </c>
      <c r="AF128" s="207"/>
      <c r="AG128" s="919">
        <f>'Energy NPV'!U54</f>
        <v>393.31078400000001</v>
      </c>
      <c r="AH128" s="207">
        <f>'Energy margins'!$Q$67</f>
        <v>192.1</v>
      </c>
      <c r="AI128" s="207">
        <f t="shared" si="297"/>
        <v>585.41078400000004</v>
      </c>
      <c r="AJ128" s="207">
        <f t="shared" si="280"/>
        <v>768.9092159999999</v>
      </c>
      <c r="AK128" s="207">
        <f t="shared" si="281"/>
        <v>944.85921599999995</v>
      </c>
      <c r="AL128" s="208">
        <f>AC128/((1+$B$4)^(Z128-1))</f>
        <v>752.00582131464228</v>
      </c>
      <c r="AM128" s="207">
        <f>AD128/((1+$B$4)^(Z128-1))</f>
        <v>97.698789252400701</v>
      </c>
      <c r="AN128" s="207">
        <f>AI128/((1+$B$4)^(Z128-1))</f>
        <v>325.05782786074838</v>
      </c>
      <c r="AO128" s="207">
        <f>AJ128/((1+$B$4)^(Z128-1))</f>
        <v>426.94799345389396</v>
      </c>
      <c r="AP128" s="209">
        <f>AK128/((1+$B$4)^(Z128-1))</f>
        <v>524.64678270629463</v>
      </c>
      <c r="AQ128" s="208">
        <f>AQ127+AL128</f>
        <v>14084.232869500789</v>
      </c>
      <c r="AR128" s="207">
        <f t="shared" si="303"/>
        <v>2132.2302686899807</v>
      </c>
      <c r="AS128" s="207">
        <f t="shared" si="303"/>
        <v>6918.0694827921807</v>
      </c>
      <c r="AT128" s="207">
        <f t="shared" si="303"/>
        <v>7166.1633867086084</v>
      </c>
      <c r="AU128" s="209">
        <f t="shared" si="303"/>
        <v>9298.3936553985895</v>
      </c>
      <c r="AV128" s="197"/>
      <c r="AX128" s="206">
        <f t="shared" si="334"/>
        <v>16</v>
      </c>
      <c r="AY128" s="761">
        <f>'Energy NPV'!$D54*$AZ$109</f>
        <v>6.27</v>
      </c>
      <c r="AZ128" s="207">
        <f>'Energy margins'!$L$12</f>
        <v>72</v>
      </c>
      <c r="BA128" s="207">
        <f t="shared" si="335"/>
        <v>451.43999999999994</v>
      </c>
      <c r="BB128" s="207">
        <f>'Margins summary'!$S$14</f>
        <v>175.95</v>
      </c>
      <c r="BC128" s="207">
        <f t="shared" si="304"/>
        <v>627.38999999999987</v>
      </c>
      <c r="BD128" s="207"/>
      <c r="BE128" s="919">
        <f>'Energy NPV'!U54</f>
        <v>393.31078400000001</v>
      </c>
      <c r="BF128" s="207">
        <f>'Energy margins'!$Q$67</f>
        <v>192.1</v>
      </c>
      <c r="BG128" s="207">
        <f t="shared" si="305"/>
        <v>585.41078400000004</v>
      </c>
      <c r="BH128" s="207">
        <f t="shared" si="282"/>
        <v>-133.97078400000009</v>
      </c>
      <c r="BI128" s="207">
        <f t="shared" si="283"/>
        <v>41.979215999999838</v>
      </c>
      <c r="BJ128" s="208">
        <f>BA128/((1+$B$4)^(AX128-1))</f>
        <v>250.66860710488075</v>
      </c>
      <c r="BK128" s="207">
        <f>BB128/((1+$B$4)^(AX128-1))</f>
        <v>97.698789252400701</v>
      </c>
      <c r="BL128" s="207">
        <f>BG128/((1+$B$4)^(AX128-1))</f>
        <v>325.05782786074838</v>
      </c>
      <c r="BM128" s="207">
        <f>BH128/((1+$B$4)^(AX128-1))</f>
        <v>-74.389220755867612</v>
      </c>
      <c r="BN128" s="209">
        <f>BI128/((1+$B$4)^(AX128-1))</f>
        <v>23.309568496533061</v>
      </c>
      <c r="BO128" s="208">
        <f t="shared" si="336"/>
        <v>4694.7442898335958</v>
      </c>
      <c r="BP128" s="207">
        <f t="shared" si="311"/>
        <v>2132.2302686899807</v>
      </c>
      <c r="BQ128" s="207">
        <f>BQ127+BL128</f>
        <v>6918.0694827921807</v>
      </c>
      <c r="BR128" s="207">
        <f t="shared" si="311"/>
        <v>-2223.3251929585854</v>
      </c>
      <c r="BS128" s="209">
        <f t="shared" si="311"/>
        <v>-91.094924268605169</v>
      </c>
      <c r="BT128" s="197"/>
      <c r="BV128" s="206">
        <f t="shared" si="337"/>
        <v>16</v>
      </c>
      <c r="BW128" s="761">
        <f>'Energy NPV'!$D54*$BX$109</f>
        <v>25.08</v>
      </c>
      <c r="BX128" s="207">
        <f>'Energy margins'!$L$12</f>
        <v>72</v>
      </c>
      <c r="BY128" s="207">
        <f t="shared" si="338"/>
        <v>1805.7599999999998</v>
      </c>
      <c r="BZ128" s="207">
        <f>'Margins summary'!$S$14</f>
        <v>175.95</v>
      </c>
      <c r="CA128" s="207">
        <f t="shared" si="312"/>
        <v>1981.7099999999998</v>
      </c>
      <c r="CB128" s="207"/>
      <c r="CC128" s="919">
        <f>'Energy NPV'!U54</f>
        <v>393.31078400000001</v>
      </c>
      <c r="CD128" s="207">
        <f>'Energy margins'!$Q$67</f>
        <v>192.1</v>
      </c>
      <c r="CE128" s="207">
        <f t="shared" si="313"/>
        <v>585.41078400000004</v>
      </c>
      <c r="CF128" s="207">
        <f t="shared" si="284"/>
        <v>1220.3492159999996</v>
      </c>
      <c r="CG128" s="207">
        <f t="shared" si="285"/>
        <v>1396.2992159999999</v>
      </c>
      <c r="CH128" s="208">
        <f>BY128/((1+$B$4)^(BV128-1))</f>
        <v>1002.674428419523</v>
      </c>
      <c r="CI128" s="207">
        <f>BZ128/((1+$B$4)^(BV128-1))</f>
        <v>97.698789252400701</v>
      </c>
      <c r="CJ128" s="207">
        <f>CE128/((1+$B$4)^(BV128-1))</f>
        <v>325.05782786074838</v>
      </c>
      <c r="CK128" s="207">
        <f>CF128/((1+$B$4)^(BV128-1))</f>
        <v>677.61660055877462</v>
      </c>
      <c r="CL128" s="209">
        <f>CG128/((1+$B$4)^(BV128-1))</f>
        <v>775.31538981117546</v>
      </c>
      <c r="CM128" s="208">
        <f t="shared" si="339"/>
        <v>18778.977159334383</v>
      </c>
      <c r="CN128" s="207">
        <f t="shared" si="319"/>
        <v>2132.2302686899807</v>
      </c>
      <c r="CO128" s="207">
        <f t="shared" si="319"/>
        <v>6918.0694827921807</v>
      </c>
      <c r="CP128" s="207">
        <f t="shared" si="319"/>
        <v>11860.907676542201</v>
      </c>
      <c r="CQ128" s="209">
        <f t="shared" si="319"/>
        <v>13993.137945232183</v>
      </c>
      <c r="CR128" s="197"/>
      <c r="CT128" s="206">
        <f t="shared" si="340"/>
        <v>16</v>
      </c>
      <c r="CU128" s="761">
        <f>'Energy NPV'!$D54*$CV$109</f>
        <v>0</v>
      </c>
      <c r="CV128" s="207">
        <f>'Energy margins'!$L$12</f>
        <v>72</v>
      </c>
      <c r="CW128" s="207">
        <f t="shared" si="341"/>
        <v>0</v>
      </c>
      <c r="CX128" s="207">
        <f>'Margins summary'!$S$14</f>
        <v>175.95</v>
      </c>
      <c r="CY128" s="207">
        <f t="shared" si="320"/>
        <v>175.95</v>
      </c>
      <c r="CZ128" s="207"/>
      <c r="DA128" s="919">
        <f>'Energy NPV'!U54</f>
        <v>393.31078400000001</v>
      </c>
      <c r="DB128" s="207">
        <f>'Energy margins'!$Q$67</f>
        <v>192.1</v>
      </c>
      <c r="DC128" s="207">
        <f t="shared" si="321"/>
        <v>585.41078400000004</v>
      </c>
      <c r="DD128" s="207">
        <f t="shared" si="286"/>
        <v>-585.41078400000004</v>
      </c>
      <c r="DE128" s="207">
        <f t="shared" si="287"/>
        <v>-409.46078400000005</v>
      </c>
      <c r="DF128" s="208">
        <f>CW128/((1+$B$4)^(CT128-1))</f>
        <v>0</v>
      </c>
      <c r="DG128" s="207">
        <f>CX128/((1+$B$4)^(CT128-1))</f>
        <v>97.698789252400701</v>
      </c>
      <c r="DH128" s="207">
        <f>DC128/((1+$B$4)^(CT128-1))</f>
        <v>325.05782786074838</v>
      </c>
      <c r="DI128" s="207">
        <f>DD128/((1+$B$4)^(CT128-1))</f>
        <v>-325.05782786074838</v>
      </c>
      <c r="DJ128" s="209">
        <f>DE128/((1+$B$4)^(CT128-1))</f>
        <v>-227.35903860834765</v>
      </c>
      <c r="DK128" s="208">
        <f t="shared" si="342"/>
        <v>0</v>
      </c>
      <c r="DL128" s="207">
        <f t="shared" si="327"/>
        <v>2132.2302686899807</v>
      </c>
      <c r="DM128" s="207">
        <f t="shared" si="327"/>
        <v>6918.0694827921807</v>
      </c>
      <c r="DN128" s="207">
        <f t="shared" si="327"/>
        <v>-6918.0694827921807</v>
      </c>
      <c r="DO128" s="209">
        <f t="shared" si="327"/>
        <v>-4785.8392141022005</v>
      </c>
    </row>
    <row r="134" spans="2:118" x14ac:dyDescent="0.3">
      <c r="B134" s="212" t="s">
        <v>260</v>
      </c>
      <c r="C134" s="763" t="s">
        <v>418</v>
      </c>
      <c r="D134" s="269" t="s">
        <v>405</v>
      </c>
      <c r="E134" s="913">
        <v>1</v>
      </c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Z134" s="212" t="s">
        <v>260</v>
      </c>
      <c r="AA134" s="763" t="s">
        <v>410</v>
      </c>
      <c r="AB134" s="269" t="s">
        <v>405</v>
      </c>
      <c r="AC134" s="913">
        <v>1.5</v>
      </c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X134" s="212" t="s">
        <v>260</v>
      </c>
      <c r="AY134" s="763" t="s">
        <v>411</v>
      </c>
      <c r="AZ134" s="269" t="s">
        <v>405</v>
      </c>
      <c r="BA134" s="913">
        <v>0.5</v>
      </c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V134" s="212" t="s">
        <v>260</v>
      </c>
      <c r="BW134" s="763" t="s">
        <v>412</v>
      </c>
      <c r="BX134" s="269" t="s">
        <v>405</v>
      </c>
      <c r="BY134" s="913">
        <v>2</v>
      </c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T134" s="212" t="s">
        <v>260</v>
      </c>
      <c r="CU134" s="763" t="s">
        <v>413</v>
      </c>
      <c r="CV134" s="269" t="s">
        <v>405</v>
      </c>
      <c r="CW134" s="913">
        <v>0</v>
      </c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</row>
    <row r="135" spans="2:118" x14ac:dyDescent="0.3">
      <c r="B135" s="203"/>
      <c r="D135" s="158"/>
      <c r="E135" s="758"/>
      <c r="F135" s="758"/>
      <c r="G135" s="758"/>
      <c r="H135" s="148"/>
      <c r="I135" s="148"/>
      <c r="J135" s="758"/>
      <c r="K135" s="148"/>
      <c r="L135" s="148"/>
      <c r="M135" s="894" t="s">
        <v>275</v>
      </c>
      <c r="N135" s="895"/>
      <c r="O135" s="895"/>
      <c r="P135" s="895"/>
      <c r="Q135" s="896"/>
      <c r="R135" s="894" t="s">
        <v>276</v>
      </c>
      <c r="S135" s="895"/>
      <c r="T135" s="895"/>
      <c r="U135" s="895"/>
      <c r="V135" s="896"/>
      <c r="Z135" s="203"/>
      <c r="AB135" s="158"/>
      <c r="AC135" s="758"/>
      <c r="AD135" s="758"/>
      <c r="AE135" s="758"/>
      <c r="AF135" s="148"/>
      <c r="AG135" s="148"/>
      <c r="AH135" s="758"/>
      <c r="AI135" s="148"/>
      <c r="AJ135" s="148"/>
      <c r="AK135" s="894" t="s">
        <v>275</v>
      </c>
      <c r="AL135" s="895"/>
      <c r="AM135" s="895"/>
      <c r="AN135" s="895"/>
      <c r="AO135" s="896"/>
      <c r="AP135" s="894" t="s">
        <v>276</v>
      </c>
      <c r="AQ135" s="895"/>
      <c r="AR135" s="895"/>
      <c r="AS135" s="895"/>
      <c r="AT135" s="896"/>
      <c r="AX135" s="203"/>
      <c r="AZ135" s="158"/>
      <c r="BA135" s="758"/>
      <c r="BB135" s="758"/>
      <c r="BC135" s="758"/>
      <c r="BD135" s="148"/>
      <c r="BE135" s="148"/>
      <c r="BF135" s="758"/>
      <c r="BG135" s="148"/>
      <c r="BH135" s="148"/>
      <c r="BI135" s="894" t="s">
        <v>275</v>
      </c>
      <c r="BJ135" s="895"/>
      <c r="BK135" s="895"/>
      <c r="BL135" s="895"/>
      <c r="BM135" s="896"/>
      <c r="BN135" s="894" t="s">
        <v>276</v>
      </c>
      <c r="BO135" s="895"/>
      <c r="BP135" s="895"/>
      <c r="BQ135" s="895"/>
      <c r="BR135" s="896"/>
      <c r="BV135" s="203"/>
      <c r="BX135" s="158"/>
      <c r="BY135" s="758"/>
      <c r="BZ135" s="758"/>
      <c r="CA135" s="758"/>
      <c r="CB135" s="148"/>
      <c r="CC135" s="148"/>
      <c r="CD135" s="758"/>
      <c r="CE135" s="148"/>
      <c r="CF135" s="148"/>
      <c r="CG135" s="894" t="s">
        <v>275</v>
      </c>
      <c r="CH135" s="895"/>
      <c r="CI135" s="895"/>
      <c r="CJ135" s="895"/>
      <c r="CK135" s="896"/>
      <c r="CL135" s="894" t="s">
        <v>276</v>
      </c>
      <c r="CM135" s="895"/>
      <c r="CN135" s="895"/>
      <c r="CO135" s="895"/>
      <c r="CP135" s="896"/>
      <c r="CT135" s="203"/>
      <c r="CV135" s="158"/>
      <c r="CW135" s="758"/>
      <c r="CX135" s="758"/>
      <c r="CY135" s="758"/>
      <c r="CZ135" s="148"/>
      <c r="DA135" s="148"/>
      <c r="DB135" s="758"/>
      <c r="DC135" s="148"/>
      <c r="DD135" s="148"/>
      <c r="DE135" s="894" t="s">
        <v>275</v>
      </c>
      <c r="DF135" s="895"/>
      <c r="DG135" s="895"/>
      <c r="DH135" s="895"/>
      <c r="DI135" s="896"/>
      <c r="DJ135" s="894" t="s">
        <v>276</v>
      </c>
      <c r="DK135" s="895"/>
      <c r="DL135" s="895"/>
      <c r="DM135" s="895"/>
      <c r="DN135" s="896"/>
    </row>
    <row r="136" spans="2:118" ht="51" x14ac:dyDescent="0.3">
      <c r="B136" s="204" t="s">
        <v>277</v>
      </c>
      <c r="C136" s="205" t="s">
        <v>303</v>
      </c>
      <c r="D136" s="205" t="s">
        <v>304</v>
      </c>
      <c r="E136" s="171" t="s">
        <v>675</v>
      </c>
      <c r="F136" s="171" t="s">
        <v>666</v>
      </c>
      <c r="G136" s="171" t="s">
        <v>676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283</v>
      </c>
      <c r="K136" s="171" t="s">
        <v>677</v>
      </c>
      <c r="L136" s="171" t="s">
        <v>678</v>
      </c>
      <c r="M136" s="195" t="s">
        <v>286</v>
      </c>
      <c r="N136" s="171" t="s">
        <v>679</v>
      </c>
      <c r="O136" s="171" t="s">
        <v>288</v>
      </c>
      <c r="P136" s="171" t="s">
        <v>680</v>
      </c>
      <c r="Q136" s="198" t="s">
        <v>290</v>
      </c>
      <c r="R136" s="195" t="s">
        <v>291</v>
      </c>
      <c r="S136" s="171" t="s">
        <v>681</v>
      </c>
      <c r="T136" s="171" t="s">
        <v>293</v>
      </c>
      <c r="U136" s="171" t="s">
        <v>682</v>
      </c>
      <c r="V136" s="198" t="s">
        <v>295</v>
      </c>
      <c r="Z136" s="204" t="s">
        <v>277</v>
      </c>
      <c r="AA136" s="205" t="s">
        <v>303</v>
      </c>
      <c r="AB136" s="205" t="s">
        <v>304</v>
      </c>
      <c r="AC136" s="171" t="s">
        <v>675</v>
      </c>
      <c r="AD136" s="171" t="s">
        <v>666</v>
      </c>
      <c r="AE136" s="171" t="s">
        <v>676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283</v>
      </c>
      <c r="AI136" s="171" t="s">
        <v>677</v>
      </c>
      <c r="AJ136" s="171" t="s">
        <v>678</v>
      </c>
      <c r="AK136" s="195" t="s">
        <v>286</v>
      </c>
      <c r="AL136" s="171" t="s">
        <v>679</v>
      </c>
      <c r="AM136" s="171" t="s">
        <v>288</v>
      </c>
      <c r="AN136" s="171" t="s">
        <v>680</v>
      </c>
      <c r="AO136" s="198" t="s">
        <v>290</v>
      </c>
      <c r="AP136" s="195" t="s">
        <v>291</v>
      </c>
      <c r="AQ136" s="171" t="s">
        <v>681</v>
      </c>
      <c r="AR136" s="171" t="s">
        <v>293</v>
      </c>
      <c r="AS136" s="171" t="s">
        <v>682</v>
      </c>
      <c r="AT136" s="198" t="s">
        <v>295</v>
      </c>
      <c r="AX136" s="204" t="s">
        <v>277</v>
      </c>
      <c r="AY136" s="205" t="s">
        <v>303</v>
      </c>
      <c r="AZ136" s="205" t="s">
        <v>304</v>
      </c>
      <c r="BA136" s="171" t="s">
        <v>675</v>
      </c>
      <c r="BB136" s="171" t="s">
        <v>666</v>
      </c>
      <c r="BC136" s="171" t="s">
        <v>676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283</v>
      </c>
      <c r="BG136" s="171" t="s">
        <v>677</v>
      </c>
      <c r="BH136" s="171" t="s">
        <v>678</v>
      </c>
      <c r="BI136" s="195" t="s">
        <v>286</v>
      </c>
      <c r="BJ136" s="171" t="s">
        <v>679</v>
      </c>
      <c r="BK136" s="171" t="s">
        <v>288</v>
      </c>
      <c r="BL136" s="171" t="s">
        <v>680</v>
      </c>
      <c r="BM136" s="198" t="s">
        <v>290</v>
      </c>
      <c r="BN136" s="195" t="s">
        <v>291</v>
      </c>
      <c r="BO136" s="171" t="s">
        <v>681</v>
      </c>
      <c r="BP136" s="171" t="s">
        <v>293</v>
      </c>
      <c r="BQ136" s="171" t="s">
        <v>682</v>
      </c>
      <c r="BR136" s="198" t="s">
        <v>295</v>
      </c>
      <c r="BV136" s="204" t="s">
        <v>277</v>
      </c>
      <c r="BW136" s="205" t="s">
        <v>303</v>
      </c>
      <c r="BX136" s="205" t="s">
        <v>304</v>
      </c>
      <c r="BY136" s="171" t="s">
        <v>675</v>
      </c>
      <c r="BZ136" s="171" t="s">
        <v>666</v>
      </c>
      <c r="CA136" s="171" t="s">
        <v>676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283</v>
      </c>
      <c r="CE136" s="171" t="s">
        <v>677</v>
      </c>
      <c r="CF136" s="171" t="s">
        <v>678</v>
      </c>
      <c r="CG136" s="195" t="s">
        <v>286</v>
      </c>
      <c r="CH136" s="171" t="s">
        <v>679</v>
      </c>
      <c r="CI136" s="171" t="s">
        <v>288</v>
      </c>
      <c r="CJ136" s="171" t="s">
        <v>680</v>
      </c>
      <c r="CK136" s="198" t="s">
        <v>290</v>
      </c>
      <c r="CL136" s="195" t="s">
        <v>291</v>
      </c>
      <c r="CM136" s="171" t="s">
        <v>681</v>
      </c>
      <c r="CN136" s="171" t="s">
        <v>293</v>
      </c>
      <c r="CO136" s="171" t="s">
        <v>682</v>
      </c>
      <c r="CP136" s="198" t="s">
        <v>295</v>
      </c>
      <c r="CT136" s="204" t="s">
        <v>277</v>
      </c>
      <c r="CU136" s="205" t="s">
        <v>303</v>
      </c>
      <c r="CV136" s="205" t="s">
        <v>304</v>
      </c>
      <c r="CW136" s="171" t="s">
        <v>675</v>
      </c>
      <c r="CX136" s="171" t="s">
        <v>666</v>
      </c>
      <c r="CY136" s="171" t="s">
        <v>676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283</v>
      </c>
      <c r="DC136" s="171" t="s">
        <v>677</v>
      </c>
      <c r="DD136" s="171" t="s">
        <v>678</v>
      </c>
      <c r="DE136" s="195" t="s">
        <v>286</v>
      </c>
      <c r="DF136" s="171" t="s">
        <v>679</v>
      </c>
      <c r="DG136" s="171" t="s">
        <v>288</v>
      </c>
      <c r="DH136" s="171" t="s">
        <v>680</v>
      </c>
      <c r="DI136" s="198" t="s">
        <v>290</v>
      </c>
      <c r="DJ136" s="195" t="s">
        <v>291</v>
      </c>
      <c r="DK136" s="171" t="s">
        <v>681</v>
      </c>
      <c r="DL136" s="171" t="s">
        <v>293</v>
      </c>
      <c r="DM136" s="171" t="s">
        <v>682</v>
      </c>
      <c r="DN136" s="198" t="s">
        <v>295</v>
      </c>
    </row>
    <row r="137" spans="2:118" x14ac:dyDescent="0.3">
      <c r="B137" s="173"/>
      <c r="C137" s="226" t="s">
        <v>341</v>
      </c>
      <c r="D137" s="226" t="s">
        <v>601</v>
      </c>
      <c r="E137" s="201" t="s">
        <v>599</v>
      </c>
      <c r="F137" s="201" t="s">
        <v>599</v>
      </c>
      <c r="G137" s="201" t="s">
        <v>599</v>
      </c>
      <c r="H137" s="201" t="s">
        <v>599</v>
      </c>
      <c r="I137" s="201" t="s">
        <v>599</v>
      </c>
      <c r="J137" s="201" t="s">
        <v>599</v>
      </c>
      <c r="K137" s="201" t="s">
        <v>599</v>
      </c>
      <c r="L137" s="202" t="s">
        <v>599</v>
      </c>
      <c r="M137" s="201" t="s">
        <v>599</v>
      </c>
      <c r="N137" s="201" t="s">
        <v>599</v>
      </c>
      <c r="O137" s="201" t="s">
        <v>599</v>
      </c>
      <c r="P137" s="201" t="s">
        <v>599</v>
      </c>
      <c r="Q137" s="202" t="s">
        <v>599</v>
      </c>
      <c r="R137" s="201" t="s">
        <v>599</v>
      </c>
      <c r="S137" s="201" t="s">
        <v>599</v>
      </c>
      <c r="T137" s="201" t="s">
        <v>599</v>
      </c>
      <c r="U137" s="201" t="s">
        <v>599</v>
      </c>
      <c r="V137" s="202" t="s">
        <v>599</v>
      </c>
      <c r="Z137" s="173"/>
      <c r="AA137" s="226" t="s">
        <v>341</v>
      </c>
      <c r="AB137" s="226" t="s">
        <v>601</v>
      </c>
      <c r="AC137" s="201" t="s">
        <v>599</v>
      </c>
      <c r="AD137" s="201" t="s">
        <v>599</v>
      </c>
      <c r="AE137" s="201" t="s">
        <v>599</v>
      </c>
      <c r="AF137" s="201" t="s">
        <v>599</v>
      </c>
      <c r="AG137" s="201" t="s">
        <v>599</v>
      </c>
      <c r="AH137" s="201" t="s">
        <v>599</v>
      </c>
      <c r="AI137" s="201" t="s">
        <v>599</v>
      </c>
      <c r="AJ137" s="202" t="s">
        <v>599</v>
      </c>
      <c r="AK137" s="201" t="s">
        <v>599</v>
      </c>
      <c r="AL137" s="201" t="s">
        <v>599</v>
      </c>
      <c r="AM137" s="201" t="s">
        <v>599</v>
      </c>
      <c r="AN137" s="201" t="s">
        <v>599</v>
      </c>
      <c r="AO137" s="202" t="s">
        <v>599</v>
      </c>
      <c r="AP137" s="201" t="s">
        <v>599</v>
      </c>
      <c r="AQ137" s="201" t="s">
        <v>599</v>
      </c>
      <c r="AR137" s="201" t="s">
        <v>599</v>
      </c>
      <c r="AS137" s="201" t="s">
        <v>599</v>
      </c>
      <c r="AT137" s="202" t="s">
        <v>599</v>
      </c>
      <c r="AX137" s="173"/>
      <c r="AY137" s="226" t="s">
        <v>341</v>
      </c>
      <c r="AZ137" s="226" t="s">
        <v>601</v>
      </c>
      <c r="BA137" s="201" t="s">
        <v>599</v>
      </c>
      <c r="BB137" s="201" t="s">
        <v>599</v>
      </c>
      <c r="BC137" s="201" t="s">
        <v>599</v>
      </c>
      <c r="BD137" s="201" t="s">
        <v>599</v>
      </c>
      <c r="BE137" s="201" t="s">
        <v>599</v>
      </c>
      <c r="BF137" s="201" t="s">
        <v>599</v>
      </c>
      <c r="BG137" s="201" t="s">
        <v>599</v>
      </c>
      <c r="BH137" s="202" t="s">
        <v>599</v>
      </c>
      <c r="BI137" s="201" t="s">
        <v>599</v>
      </c>
      <c r="BJ137" s="201" t="s">
        <v>599</v>
      </c>
      <c r="BK137" s="201" t="s">
        <v>599</v>
      </c>
      <c r="BL137" s="201" t="s">
        <v>599</v>
      </c>
      <c r="BM137" s="202" t="s">
        <v>599</v>
      </c>
      <c r="BN137" s="201" t="s">
        <v>599</v>
      </c>
      <c r="BO137" s="201" t="s">
        <v>599</v>
      </c>
      <c r="BP137" s="201" t="s">
        <v>599</v>
      </c>
      <c r="BQ137" s="201" t="s">
        <v>599</v>
      </c>
      <c r="BR137" s="202" t="s">
        <v>599</v>
      </c>
      <c r="BV137" s="173"/>
      <c r="BW137" s="226" t="s">
        <v>341</v>
      </c>
      <c r="BX137" s="226" t="s">
        <v>601</v>
      </c>
      <c r="BY137" s="201" t="s">
        <v>599</v>
      </c>
      <c r="BZ137" s="201" t="s">
        <v>599</v>
      </c>
      <c r="CA137" s="201" t="s">
        <v>599</v>
      </c>
      <c r="CB137" s="201" t="s">
        <v>599</v>
      </c>
      <c r="CC137" s="201" t="s">
        <v>599</v>
      </c>
      <c r="CD137" s="201" t="s">
        <v>599</v>
      </c>
      <c r="CE137" s="201" t="s">
        <v>599</v>
      </c>
      <c r="CF137" s="202" t="s">
        <v>599</v>
      </c>
      <c r="CG137" s="201" t="s">
        <v>599</v>
      </c>
      <c r="CH137" s="201" t="s">
        <v>599</v>
      </c>
      <c r="CI137" s="201" t="s">
        <v>599</v>
      </c>
      <c r="CJ137" s="201" t="s">
        <v>599</v>
      </c>
      <c r="CK137" s="202" t="s">
        <v>599</v>
      </c>
      <c r="CL137" s="201" t="s">
        <v>599</v>
      </c>
      <c r="CM137" s="201" t="s">
        <v>599</v>
      </c>
      <c r="CN137" s="201" t="s">
        <v>599</v>
      </c>
      <c r="CO137" s="201" t="s">
        <v>599</v>
      </c>
      <c r="CP137" s="202" t="s">
        <v>599</v>
      </c>
      <c r="CT137" s="173"/>
      <c r="CU137" s="226" t="s">
        <v>341</v>
      </c>
      <c r="CV137" s="226" t="s">
        <v>601</v>
      </c>
      <c r="CW137" s="201" t="s">
        <v>599</v>
      </c>
      <c r="CX137" s="201" t="s">
        <v>599</v>
      </c>
      <c r="CY137" s="201" t="s">
        <v>599</v>
      </c>
      <c r="CZ137" s="201" t="s">
        <v>599</v>
      </c>
      <c r="DA137" s="201" t="s">
        <v>599</v>
      </c>
      <c r="DB137" s="201" t="s">
        <v>599</v>
      </c>
      <c r="DC137" s="201" t="s">
        <v>599</v>
      </c>
      <c r="DD137" s="202" t="s">
        <v>599</v>
      </c>
      <c r="DE137" s="201" t="s">
        <v>599</v>
      </c>
      <c r="DF137" s="201" t="s">
        <v>599</v>
      </c>
      <c r="DG137" s="201" t="s">
        <v>599</v>
      </c>
      <c r="DH137" s="201" t="s">
        <v>599</v>
      </c>
      <c r="DI137" s="202" t="s">
        <v>599</v>
      </c>
      <c r="DJ137" s="201" t="s">
        <v>599</v>
      </c>
      <c r="DK137" s="201" t="s">
        <v>599</v>
      </c>
      <c r="DL137" s="201" t="s">
        <v>599</v>
      </c>
      <c r="DM137" s="201" t="s">
        <v>599</v>
      </c>
      <c r="DN137" s="202" t="s">
        <v>599</v>
      </c>
    </row>
    <row r="138" spans="2:118" x14ac:dyDescent="0.3">
      <c r="B138" s="899">
        <v>1</v>
      </c>
      <c r="C138" s="911">
        <f>'Arable Inputs'!$H$18*$E$134</f>
        <v>8.14</v>
      </c>
      <c r="D138" s="760">
        <f>'Arable Inputs'!$H$25</f>
        <v>182.8</v>
      </c>
      <c r="E138" s="762">
        <f>C138*D138</f>
        <v>1487.9920000000002</v>
      </c>
      <c r="F138" s="197">
        <f>'Arable NPV'!$D117</f>
        <v>175.95</v>
      </c>
      <c r="G138" s="197">
        <f>E138+F138</f>
        <v>1663.9420000000002</v>
      </c>
      <c r="H138" s="197">
        <f>'Arable NPV'!$F117</f>
        <v>574.23049999999989</v>
      </c>
      <c r="I138" s="197">
        <f>'Arable NPV'!$G117</f>
        <v>636.366536</v>
      </c>
      <c r="J138" s="197">
        <f>H138+I138</f>
        <v>1210.5970359999999</v>
      </c>
      <c r="K138" s="197">
        <f>E138-J138</f>
        <v>277.3949640000003</v>
      </c>
      <c r="L138" s="197">
        <f>G138-J138</f>
        <v>453.34496400000035</v>
      </c>
      <c r="M138" s="196">
        <f>E138/(1+$B$4)^(B138-1)</f>
        <v>1487.9920000000002</v>
      </c>
      <c r="N138" s="197">
        <f>F138/(1+$B$4)^(B138-1)</f>
        <v>175.95</v>
      </c>
      <c r="O138" s="197">
        <f>J138/(1+$B$4)^(B138-1)</f>
        <v>1210.5970359999999</v>
      </c>
      <c r="P138" s="197">
        <f>K138/(1+$B$4)^(B138-1)</f>
        <v>277.3949640000003</v>
      </c>
      <c r="Q138" s="197">
        <f>L138/(1+$B$4)^(B138-1)</f>
        <v>453.34496400000035</v>
      </c>
      <c r="R138" s="196">
        <f>M138</f>
        <v>1487.9920000000002</v>
      </c>
      <c r="S138" s="197">
        <f>N138</f>
        <v>175.95</v>
      </c>
      <c r="T138" s="197">
        <f>O138</f>
        <v>1210.5970359999999</v>
      </c>
      <c r="U138" s="197">
        <f>P138</f>
        <v>277.3949640000003</v>
      </c>
      <c r="V138" s="199">
        <f>Q138</f>
        <v>453.34496400000035</v>
      </c>
      <c r="Z138" s="899">
        <v>1</v>
      </c>
      <c r="AA138" s="911">
        <f>'Arable Inputs'!$H$18*$AC$134</f>
        <v>12.21</v>
      </c>
      <c r="AB138" s="760">
        <f>'Arable Inputs'!$H$25</f>
        <v>182.8</v>
      </c>
      <c r="AC138" s="762">
        <f>AA138*AB138</f>
        <v>2231.9880000000003</v>
      </c>
      <c r="AD138" s="197">
        <f>'Arable NPV'!$D117</f>
        <v>175.95</v>
      </c>
      <c r="AE138" s="197">
        <f>AC138+AD138</f>
        <v>2407.9380000000001</v>
      </c>
      <c r="AF138" s="197">
        <f>'Arable NPV'!$F117</f>
        <v>574.23049999999989</v>
      </c>
      <c r="AG138" s="197">
        <f>'Arable NPV'!$G117</f>
        <v>636.366536</v>
      </c>
      <c r="AH138" s="197">
        <f>AF138+AG138</f>
        <v>1210.5970359999999</v>
      </c>
      <c r="AI138" s="197">
        <f>AC138-AH138</f>
        <v>1021.3909640000004</v>
      </c>
      <c r="AJ138" s="197">
        <f>AE138-AH138</f>
        <v>1197.3409640000002</v>
      </c>
      <c r="AK138" s="196">
        <f>AC138/(1+$B$4)^(Z138-1)</f>
        <v>2231.9880000000003</v>
      </c>
      <c r="AL138" s="197">
        <f>AD138/(1+$B$4)^(Z138-1)</f>
        <v>175.95</v>
      </c>
      <c r="AM138" s="197">
        <f>AH138/(1+$B$4)^(Z138-1)</f>
        <v>1210.5970359999999</v>
      </c>
      <c r="AN138" s="197">
        <f>AI138/(1+$B$4)^(Z138-1)</f>
        <v>1021.3909640000004</v>
      </c>
      <c r="AO138" s="197">
        <f>AJ138/(1+$B$4)^(Z138-1)</f>
        <v>1197.3409640000002</v>
      </c>
      <c r="AP138" s="196">
        <f>AK138</f>
        <v>2231.9880000000003</v>
      </c>
      <c r="AQ138" s="197">
        <f>AL138</f>
        <v>175.95</v>
      </c>
      <c r="AR138" s="197">
        <f>AM138</f>
        <v>1210.5970359999999</v>
      </c>
      <c r="AS138" s="197">
        <f>AN138</f>
        <v>1021.3909640000004</v>
      </c>
      <c r="AT138" s="199">
        <f>AO138</f>
        <v>1197.3409640000002</v>
      </c>
      <c r="AX138" s="899">
        <v>1</v>
      </c>
      <c r="AY138" s="911">
        <f>'Arable Inputs'!$H$18*$BA$134</f>
        <v>4.07</v>
      </c>
      <c r="AZ138" s="760">
        <f>'Arable Inputs'!$H$25</f>
        <v>182.8</v>
      </c>
      <c r="BA138" s="762">
        <f>AY138*AZ138</f>
        <v>743.99600000000009</v>
      </c>
      <c r="BB138" s="197">
        <f>'Arable NPV'!$D117</f>
        <v>175.95</v>
      </c>
      <c r="BC138" s="197">
        <f>BA138+BB138</f>
        <v>919.94600000000014</v>
      </c>
      <c r="BD138" s="197">
        <f>'Arable NPV'!$F117</f>
        <v>574.23049999999989</v>
      </c>
      <c r="BE138" s="197">
        <f>'Arable NPV'!$G117</f>
        <v>636.366536</v>
      </c>
      <c r="BF138" s="197">
        <f>BD138+BE138</f>
        <v>1210.5970359999999</v>
      </c>
      <c r="BG138" s="197">
        <f>BA138-BF138</f>
        <v>-466.60103599999979</v>
      </c>
      <c r="BH138" s="197">
        <f>BC138-BF138</f>
        <v>-290.65103599999975</v>
      </c>
      <c r="BI138" s="196">
        <f>BA138/(1+$B$4)^(AX138-1)</f>
        <v>743.99600000000009</v>
      </c>
      <c r="BJ138" s="197">
        <f>BB138/(1+$B$4)^(AX138-1)</f>
        <v>175.95</v>
      </c>
      <c r="BK138" s="197">
        <f>BF138/(1+$B$4)^(AX138-1)</f>
        <v>1210.5970359999999</v>
      </c>
      <c r="BL138" s="197">
        <f>BG138/(1+$B$4)^(AX138-1)</f>
        <v>-466.60103599999979</v>
      </c>
      <c r="BM138" s="197">
        <f>BH138/(1+$B$4)^(AX138-1)</f>
        <v>-290.65103599999975</v>
      </c>
      <c r="BN138" s="196">
        <f>BI138</f>
        <v>743.99600000000009</v>
      </c>
      <c r="BO138" s="197">
        <f>BJ138</f>
        <v>175.95</v>
      </c>
      <c r="BP138" s="197">
        <f>BK138</f>
        <v>1210.5970359999999</v>
      </c>
      <c r="BQ138" s="197">
        <f>BL138</f>
        <v>-466.60103599999979</v>
      </c>
      <c r="BR138" s="199">
        <f>BM138</f>
        <v>-290.65103599999975</v>
      </c>
      <c r="BV138" s="899">
        <v>1</v>
      </c>
      <c r="BW138" s="911">
        <f>'Arable Inputs'!$H$18*$BY$134</f>
        <v>16.28</v>
      </c>
      <c r="BX138" s="760">
        <f>'Arable Inputs'!$H$25</f>
        <v>182.8</v>
      </c>
      <c r="BY138" s="762">
        <f>BW138*BX138</f>
        <v>2975.9840000000004</v>
      </c>
      <c r="BZ138" s="197">
        <f>'Arable NPV'!$D117</f>
        <v>175.95</v>
      </c>
      <c r="CA138" s="197">
        <f>BY138+BZ138</f>
        <v>3151.9340000000002</v>
      </c>
      <c r="CB138" s="197">
        <f>'Arable NPV'!$F117</f>
        <v>574.23049999999989</v>
      </c>
      <c r="CC138" s="197">
        <f>'Arable NPV'!$G117</f>
        <v>636.366536</v>
      </c>
      <c r="CD138" s="197">
        <f>CB138+CC138</f>
        <v>1210.5970359999999</v>
      </c>
      <c r="CE138" s="197">
        <f>BY138-CD138</f>
        <v>1765.3869640000005</v>
      </c>
      <c r="CF138" s="197">
        <f>CA138-CD138</f>
        <v>1941.3369640000003</v>
      </c>
      <c r="CG138" s="196">
        <f>BY138/(1+$B$4)^(BV138-1)</f>
        <v>2975.9840000000004</v>
      </c>
      <c r="CH138" s="197">
        <f>BZ138/(1+$B$4)^(BV138-1)</f>
        <v>175.95</v>
      </c>
      <c r="CI138" s="197">
        <f>CD138/(1+$B$4)^(BV138-1)</f>
        <v>1210.5970359999999</v>
      </c>
      <c r="CJ138" s="197">
        <f>CE138/(1+$B$4)^(BV138-1)</f>
        <v>1765.3869640000005</v>
      </c>
      <c r="CK138" s="197">
        <f>CF138/(1+$B$4)^(BV138-1)</f>
        <v>1941.3369640000003</v>
      </c>
      <c r="CL138" s="196">
        <f>CG138</f>
        <v>2975.9840000000004</v>
      </c>
      <c r="CM138" s="197">
        <f>CH138</f>
        <v>175.95</v>
      </c>
      <c r="CN138" s="197">
        <f>CI138</f>
        <v>1210.5970359999999</v>
      </c>
      <c r="CO138" s="197">
        <f>CJ138</f>
        <v>1765.3869640000005</v>
      </c>
      <c r="CP138" s="199">
        <f>CK138</f>
        <v>1941.3369640000003</v>
      </c>
      <c r="CT138" s="899">
        <v>1</v>
      </c>
      <c r="CU138" s="911">
        <f>'Arable Inputs'!$H$18*$CW$134</f>
        <v>0</v>
      </c>
      <c r="CV138" s="760">
        <f>'Arable Inputs'!$H$25</f>
        <v>182.8</v>
      </c>
      <c r="CW138" s="762">
        <f>CU138*CV138</f>
        <v>0</v>
      </c>
      <c r="CX138" s="197">
        <f>'Arable NPV'!$D117</f>
        <v>175.95</v>
      </c>
      <c r="CY138" s="197">
        <f>CW138+CX138</f>
        <v>175.95</v>
      </c>
      <c r="CZ138" s="197">
        <f>'Arable NPV'!$F117</f>
        <v>574.23049999999989</v>
      </c>
      <c r="DA138" s="197">
        <f>'Arable NPV'!$G117</f>
        <v>636.366536</v>
      </c>
      <c r="DB138" s="197">
        <f>CZ138+DA138</f>
        <v>1210.5970359999999</v>
      </c>
      <c r="DC138" s="197">
        <f>CW138-DB138</f>
        <v>-1210.5970359999999</v>
      </c>
      <c r="DD138" s="197">
        <f>CY138-DB138</f>
        <v>-1034.6470359999998</v>
      </c>
      <c r="DE138" s="196">
        <f>CW138/(1+$B$4)^(CT138-1)</f>
        <v>0</v>
      </c>
      <c r="DF138" s="197">
        <f>CX138/(1+$B$4)^(CT138-1)</f>
        <v>175.95</v>
      </c>
      <c r="DG138" s="197">
        <f>DB138/(1+$B$4)^(CT138-1)</f>
        <v>1210.5970359999999</v>
      </c>
      <c r="DH138" s="197">
        <f>DC138/(1+$B$4)^(CT138-1)</f>
        <v>-1210.5970359999999</v>
      </c>
      <c r="DI138" s="197">
        <f>DD138/(1+$B$4)^(CT138-1)</f>
        <v>-1034.6470359999998</v>
      </c>
      <c r="DJ138" s="196">
        <f>DE138</f>
        <v>0</v>
      </c>
      <c r="DK138" s="197">
        <f>DF138</f>
        <v>175.95</v>
      </c>
      <c r="DL138" s="197">
        <f>DG138</f>
        <v>1210.5970359999999</v>
      </c>
      <c r="DM138" s="197">
        <f>DH138</f>
        <v>-1210.5970359999999</v>
      </c>
      <c r="DN138" s="199">
        <f>DI138</f>
        <v>-1034.6470359999998</v>
      </c>
    </row>
    <row r="139" spans="2:118" x14ac:dyDescent="0.3">
      <c r="B139" s="900">
        <v>2</v>
      </c>
      <c r="C139" s="911">
        <f>'Arable Inputs'!$H$18*$E$134</f>
        <v>8.14</v>
      </c>
      <c r="D139" s="760">
        <f>'Arable Inputs'!$H$25</f>
        <v>182.8</v>
      </c>
      <c r="E139" s="762">
        <f t="shared" ref="E139:E153" si="343">C139*D139</f>
        <v>1487.9920000000002</v>
      </c>
      <c r="F139" s="197">
        <f>'Arable NPV'!$D118</f>
        <v>175.95</v>
      </c>
      <c r="G139" s="197">
        <f>E139+F139</f>
        <v>1663.9420000000002</v>
      </c>
      <c r="H139" s="197">
        <f>'Arable NPV'!$F118</f>
        <v>574.23049999999989</v>
      </c>
      <c r="I139" s="197">
        <f>'Arable NPV'!$G118</f>
        <v>636.366536</v>
      </c>
      <c r="J139" s="197">
        <f>H139+I139</f>
        <v>1210.5970359999999</v>
      </c>
      <c r="K139" s="197">
        <f t="shared" ref="K139:K153" si="344">E139-J139</f>
        <v>277.3949640000003</v>
      </c>
      <c r="L139" s="197">
        <f t="shared" ref="L139:L153" si="345">G139-J139</f>
        <v>453.34496400000035</v>
      </c>
      <c r="M139" s="196">
        <f t="shared" ref="M139:M153" si="346">E139/(1+$B$4)^(B139-1)</f>
        <v>1430.7615384615385</v>
      </c>
      <c r="N139" s="197">
        <f t="shared" ref="N139:N153" si="347">F139/(1+$B$4)^(B139-1)</f>
        <v>169.18269230769229</v>
      </c>
      <c r="O139" s="197">
        <f t="shared" ref="O139:O152" si="348">J139/(1+$B$4)^(B139-1)</f>
        <v>1164.0356115384614</v>
      </c>
      <c r="P139" s="197">
        <f t="shared" ref="P139:P152" si="349">K139/(1+$B$4)^(B139-1)</f>
        <v>266.72592692307722</v>
      </c>
      <c r="Q139" s="197">
        <f t="shared" ref="Q139:Q152" si="350">L139/(1+$B$4)^(B139-1)</f>
        <v>435.90861923076955</v>
      </c>
      <c r="R139" s="196">
        <f t="shared" ref="R139:V153" si="351">R138+M139</f>
        <v>2918.7535384615385</v>
      </c>
      <c r="S139" s="197">
        <f t="shared" si="351"/>
        <v>345.13269230769231</v>
      </c>
      <c r="T139" s="197">
        <f t="shared" si="351"/>
        <v>2374.6326475384612</v>
      </c>
      <c r="U139" s="197">
        <f t="shared" si="351"/>
        <v>544.12089092307747</v>
      </c>
      <c r="V139" s="199">
        <f t="shared" si="351"/>
        <v>889.25358323076989</v>
      </c>
      <c r="Z139" s="900">
        <v>2</v>
      </c>
      <c r="AA139" s="911">
        <f>'Arable Inputs'!$H$18*$AC$134</f>
        <v>12.21</v>
      </c>
      <c r="AB139" s="760">
        <f>'Arable Inputs'!$H$25</f>
        <v>182.8</v>
      </c>
      <c r="AC139" s="762">
        <f t="shared" ref="AC139:AC153" si="352">AA139*AB139</f>
        <v>2231.9880000000003</v>
      </c>
      <c r="AD139" s="197">
        <f>'Arable NPV'!$D118</f>
        <v>175.95</v>
      </c>
      <c r="AE139" s="197">
        <f>AC139+AD139</f>
        <v>2407.9380000000001</v>
      </c>
      <c r="AF139" s="197">
        <f>'Arable NPV'!$F118</f>
        <v>574.23049999999989</v>
      </c>
      <c r="AG139" s="197">
        <f>'Arable NPV'!$G118</f>
        <v>636.366536</v>
      </c>
      <c r="AH139" s="197">
        <f>AF139+AG139</f>
        <v>1210.5970359999999</v>
      </c>
      <c r="AI139" s="197">
        <f t="shared" ref="AI139:AI153" si="353">AC139-AH139</f>
        <v>1021.3909640000004</v>
      </c>
      <c r="AJ139" s="197">
        <f t="shared" ref="AJ139:AJ153" si="354">AE139-AH139</f>
        <v>1197.3409640000002</v>
      </c>
      <c r="AK139" s="196">
        <f t="shared" ref="AK139:AK153" si="355">AC139/(1+$B$4)^(Z139-1)</f>
        <v>2146.1423076923079</v>
      </c>
      <c r="AL139" s="197">
        <f t="shared" ref="AL139:AL153" si="356">AD139/(1+$B$4)^(Z139-1)</f>
        <v>169.18269230769229</v>
      </c>
      <c r="AM139" s="197">
        <f t="shared" ref="AM139:AM152" si="357">AH139/(1+$B$4)^(Z139-1)</f>
        <v>1164.0356115384614</v>
      </c>
      <c r="AN139" s="197">
        <f t="shared" ref="AN139:AN152" si="358">AI139/(1+$B$4)^(Z139-1)</f>
        <v>982.10669615384654</v>
      </c>
      <c r="AO139" s="197">
        <f t="shared" ref="AO139:AO152" si="359">AJ139/(1+$B$4)^(Z139-1)</f>
        <v>1151.2893884615387</v>
      </c>
      <c r="AP139" s="196">
        <f t="shared" ref="AP139:AP153" si="360">AP138+AK139</f>
        <v>4378.1303076923086</v>
      </c>
      <c r="AQ139" s="197">
        <f t="shared" ref="AQ139:AQ153" si="361">AQ138+AL139</f>
        <v>345.13269230769231</v>
      </c>
      <c r="AR139" s="197">
        <f t="shared" ref="AR139:AR153" si="362">AR138+AM139</f>
        <v>2374.6326475384612</v>
      </c>
      <c r="AS139" s="197">
        <f t="shared" ref="AS139:AS153" si="363">AS138+AN139</f>
        <v>2003.4976601538469</v>
      </c>
      <c r="AT139" s="199">
        <f t="shared" ref="AT139:AT153" si="364">AT138+AO139</f>
        <v>2348.6303524615387</v>
      </c>
      <c r="AX139" s="900">
        <v>2</v>
      </c>
      <c r="AY139" s="911">
        <f>'Arable Inputs'!$H$18*$BA$134</f>
        <v>4.07</v>
      </c>
      <c r="AZ139" s="760">
        <f>'Arable Inputs'!$H$25</f>
        <v>182.8</v>
      </c>
      <c r="BA139" s="762">
        <f t="shared" ref="BA139:BA153" si="365">AY139*AZ139</f>
        <v>743.99600000000009</v>
      </c>
      <c r="BB139" s="197">
        <f>'Arable NPV'!$D118</f>
        <v>175.95</v>
      </c>
      <c r="BC139" s="197">
        <f>BA139+BB139</f>
        <v>919.94600000000014</v>
      </c>
      <c r="BD139" s="197">
        <f>'Arable NPV'!$F118</f>
        <v>574.23049999999989</v>
      </c>
      <c r="BE139" s="197">
        <f>'Arable NPV'!$G118</f>
        <v>636.366536</v>
      </c>
      <c r="BF139" s="197">
        <f>BD139+BE139</f>
        <v>1210.5970359999999</v>
      </c>
      <c r="BG139" s="197">
        <f t="shared" ref="BG139:BG153" si="366">BA139-BF139</f>
        <v>-466.60103599999979</v>
      </c>
      <c r="BH139" s="197">
        <f t="shared" ref="BH139:BH153" si="367">BC139-BF139</f>
        <v>-290.65103599999975</v>
      </c>
      <c r="BI139" s="196">
        <f t="shared" ref="BI139:BI153" si="368">BA139/(1+$B$4)^(AX139-1)</f>
        <v>715.38076923076926</v>
      </c>
      <c r="BJ139" s="197">
        <f t="shared" ref="BJ139:BJ153" si="369">BB139/(1+$B$4)^(AX139-1)</f>
        <v>169.18269230769229</v>
      </c>
      <c r="BK139" s="197">
        <f t="shared" ref="BK139:BK152" si="370">BF139/(1+$B$4)^(AX139-1)</f>
        <v>1164.0356115384614</v>
      </c>
      <c r="BL139" s="197">
        <f t="shared" ref="BL139:BL152" si="371">BG139/(1+$B$4)^(AX139-1)</f>
        <v>-448.65484230769209</v>
      </c>
      <c r="BM139" s="197">
        <f t="shared" ref="BM139:BM152" si="372">BH139/(1+$B$4)^(AX139-1)</f>
        <v>-279.47214999999977</v>
      </c>
      <c r="BN139" s="196">
        <f t="shared" ref="BN139:BN153" si="373">BN138+BI139</f>
        <v>1459.3767692307692</v>
      </c>
      <c r="BO139" s="197">
        <f t="shared" ref="BO139:BO153" si="374">BO138+BJ139</f>
        <v>345.13269230769231</v>
      </c>
      <c r="BP139" s="197">
        <f t="shared" ref="BP139:BP153" si="375">BP138+BK139</f>
        <v>2374.6326475384612</v>
      </c>
      <c r="BQ139" s="197">
        <f t="shared" ref="BQ139:BQ153" si="376">BQ138+BL139</f>
        <v>-915.25587830769189</v>
      </c>
      <c r="BR139" s="199">
        <f t="shared" ref="BR139:BR153" si="377">BR138+BM139</f>
        <v>-570.12318599999958</v>
      </c>
      <c r="BV139" s="900">
        <v>2</v>
      </c>
      <c r="BW139" s="911">
        <f>'Arable Inputs'!$H$18*$BY$134</f>
        <v>16.28</v>
      </c>
      <c r="BX139" s="760">
        <f>'Arable Inputs'!$H$25</f>
        <v>182.8</v>
      </c>
      <c r="BY139" s="762">
        <f t="shared" ref="BY139:BY153" si="378">BW139*BX139</f>
        <v>2975.9840000000004</v>
      </c>
      <c r="BZ139" s="197">
        <f>'Arable NPV'!$D118</f>
        <v>175.95</v>
      </c>
      <c r="CA139" s="197">
        <f>BY139+BZ139</f>
        <v>3151.9340000000002</v>
      </c>
      <c r="CB139" s="197">
        <f>'Arable NPV'!$F118</f>
        <v>574.23049999999989</v>
      </c>
      <c r="CC139" s="197">
        <f>'Arable NPV'!$G118</f>
        <v>636.366536</v>
      </c>
      <c r="CD139" s="197">
        <f>CB139+CC139</f>
        <v>1210.5970359999999</v>
      </c>
      <c r="CE139" s="197">
        <f t="shared" ref="CE139:CE153" si="379">BY139-CD139</f>
        <v>1765.3869640000005</v>
      </c>
      <c r="CF139" s="197">
        <f t="shared" ref="CF139:CF153" si="380">CA139-CD139</f>
        <v>1941.3369640000003</v>
      </c>
      <c r="CG139" s="196">
        <f t="shared" ref="CG139:CG153" si="381">BY139/(1+$B$4)^(BV139-1)</f>
        <v>2861.523076923077</v>
      </c>
      <c r="CH139" s="197">
        <f t="shared" ref="CH139:CH153" si="382">BZ139/(1+$B$4)^(BV139-1)</f>
        <v>169.18269230769229</v>
      </c>
      <c r="CI139" s="197">
        <f t="shared" ref="CI139:CI152" si="383">CD139/(1+$B$4)^(BV139-1)</f>
        <v>1164.0356115384614</v>
      </c>
      <c r="CJ139" s="197">
        <f t="shared" ref="CJ139:CJ152" si="384">CE139/(1+$B$4)^(BV139-1)</f>
        <v>1697.4874653846157</v>
      </c>
      <c r="CK139" s="197">
        <f t="shared" ref="CK139:CK152" si="385">CF139/(1+$B$4)^(BV139-1)</f>
        <v>1866.6701576923078</v>
      </c>
      <c r="CL139" s="196">
        <f t="shared" ref="CL139:CL153" si="386">CL138+CG139</f>
        <v>5837.507076923077</v>
      </c>
      <c r="CM139" s="197">
        <f t="shared" ref="CM139:CM153" si="387">CM138+CH139</f>
        <v>345.13269230769231</v>
      </c>
      <c r="CN139" s="197">
        <f t="shared" ref="CN139:CN153" si="388">CN138+CI139</f>
        <v>2374.6326475384612</v>
      </c>
      <c r="CO139" s="197">
        <f t="shared" ref="CO139:CO153" si="389">CO138+CJ139</f>
        <v>3462.8744293846162</v>
      </c>
      <c r="CP139" s="199">
        <f t="shared" ref="CP139:CP153" si="390">CP138+CK139</f>
        <v>3808.0071216923079</v>
      </c>
      <c r="CT139" s="900">
        <v>2</v>
      </c>
      <c r="CU139" s="911">
        <f>'Arable Inputs'!$H$18*$CW$134</f>
        <v>0</v>
      </c>
      <c r="CV139" s="760">
        <f>'Arable Inputs'!$H$25</f>
        <v>182.8</v>
      </c>
      <c r="CW139" s="762">
        <f t="shared" ref="CW139:CW153" si="391">CU139*CV139</f>
        <v>0</v>
      </c>
      <c r="CX139" s="197">
        <f>'Arable NPV'!$D118</f>
        <v>175.95</v>
      </c>
      <c r="CY139" s="197">
        <f>CW139+CX139</f>
        <v>175.95</v>
      </c>
      <c r="CZ139" s="197">
        <f>'Arable NPV'!$F118</f>
        <v>574.23049999999989</v>
      </c>
      <c r="DA139" s="197">
        <f>'Arable NPV'!$G118</f>
        <v>636.366536</v>
      </c>
      <c r="DB139" s="197">
        <f>CZ139+DA139</f>
        <v>1210.5970359999999</v>
      </c>
      <c r="DC139" s="197">
        <f t="shared" ref="DC139:DC153" si="392">CW139-DB139</f>
        <v>-1210.5970359999999</v>
      </c>
      <c r="DD139" s="197">
        <f t="shared" ref="DD139:DD153" si="393">CY139-DB139</f>
        <v>-1034.6470359999998</v>
      </c>
      <c r="DE139" s="196">
        <f t="shared" ref="DE139:DE153" si="394">CW139/(1+$B$4)^(CT139-1)</f>
        <v>0</v>
      </c>
      <c r="DF139" s="197">
        <f t="shared" ref="DF139:DF153" si="395">CX139/(1+$B$4)^(CT139-1)</f>
        <v>169.18269230769229</v>
      </c>
      <c r="DG139" s="197">
        <f t="shared" ref="DG139:DG152" si="396">DB139/(1+$B$4)^(CT139-1)</f>
        <v>1164.0356115384614</v>
      </c>
      <c r="DH139" s="197">
        <f t="shared" ref="DH139:DH152" si="397">DC139/(1+$B$4)^(CT139-1)</f>
        <v>-1164.0356115384614</v>
      </c>
      <c r="DI139" s="197">
        <f t="shared" ref="DI139:DI152" si="398">DD139/(1+$B$4)^(CT139-1)</f>
        <v>-994.85291923076909</v>
      </c>
      <c r="DJ139" s="196">
        <f t="shared" ref="DJ139:DJ153" si="399">DJ138+DE139</f>
        <v>0</v>
      </c>
      <c r="DK139" s="197">
        <f t="shared" ref="DK139:DK153" si="400">DK138+DF139</f>
        <v>345.13269230769231</v>
      </c>
      <c r="DL139" s="197">
        <f t="shared" ref="DL139:DL153" si="401">DL138+DG139</f>
        <v>2374.6326475384612</v>
      </c>
      <c r="DM139" s="197">
        <f t="shared" ref="DM139:DM153" si="402">DM138+DH139</f>
        <v>-2374.6326475384612</v>
      </c>
      <c r="DN139" s="199">
        <f t="shared" ref="DN139:DN153" si="403">DN138+DI139</f>
        <v>-2029.499955230769</v>
      </c>
    </row>
    <row r="140" spans="2:118" x14ac:dyDescent="0.3">
      <c r="B140" s="900">
        <v>3</v>
      </c>
      <c r="C140" s="911">
        <f>'Arable Inputs'!$H$18*$E$134</f>
        <v>8.14</v>
      </c>
      <c r="D140" s="760">
        <f>'Arable Inputs'!$H$25</f>
        <v>182.8</v>
      </c>
      <c r="E140" s="762">
        <f t="shared" si="343"/>
        <v>1487.9920000000002</v>
      </c>
      <c r="F140" s="197">
        <f>'Arable NPV'!$D119</f>
        <v>175.95</v>
      </c>
      <c r="G140" s="197">
        <f t="shared" ref="G140:G152" si="404">E140+F140</f>
        <v>1663.9420000000002</v>
      </c>
      <c r="H140" s="197">
        <f>'Arable NPV'!$F119</f>
        <v>574.23049999999989</v>
      </c>
      <c r="I140" s="197">
        <f>'Arable NPV'!$G119</f>
        <v>636.366536</v>
      </c>
      <c r="J140" s="197">
        <f t="shared" ref="J140:J153" si="405">H140+I140</f>
        <v>1210.5970359999999</v>
      </c>
      <c r="K140" s="197">
        <f t="shared" si="344"/>
        <v>277.3949640000003</v>
      </c>
      <c r="L140" s="197">
        <f t="shared" si="345"/>
        <v>453.34496400000035</v>
      </c>
      <c r="M140" s="196">
        <f t="shared" si="346"/>
        <v>1375.7322485207101</v>
      </c>
      <c r="N140" s="197">
        <f t="shared" si="347"/>
        <v>162.67566568047334</v>
      </c>
      <c r="O140" s="197">
        <f t="shared" si="348"/>
        <v>1119.2650110946743</v>
      </c>
      <c r="P140" s="197">
        <f t="shared" si="349"/>
        <v>256.46723742603575</v>
      </c>
      <c r="Q140" s="197">
        <f t="shared" si="350"/>
        <v>419.14290310650915</v>
      </c>
      <c r="R140" s="196">
        <f t="shared" si="351"/>
        <v>4294.4857869822481</v>
      </c>
      <c r="S140" s="197">
        <f t="shared" si="351"/>
        <v>507.80835798816565</v>
      </c>
      <c r="T140" s="197">
        <f t="shared" si="351"/>
        <v>3493.8976586331355</v>
      </c>
      <c r="U140" s="197">
        <f t="shared" si="351"/>
        <v>800.58812834911328</v>
      </c>
      <c r="V140" s="199">
        <f t="shared" si="351"/>
        <v>1308.3964863372789</v>
      </c>
      <c r="Z140" s="900">
        <v>3</v>
      </c>
      <c r="AA140" s="911">
        <f>'Arable Inputs'!$H$18*$AC$134</f>
        <v>12.21</v>
      </c>
      <c r="AB140" s="760">
        <f>'Arable Inputs'!$H$25</f>
        <v>182.8</v>
      </c>
      <c r="AC140" s="762">
        <f t="shared" si="352"/>
        <v>2231.9880000000003</v>
      </c>
      <c r="AD140" s="197">
        <f>'Arable NPV'!$D119</f>
        <v>175.95</v>
      </c>
      <c r="AE140" s="197">
        <f t="shared" ref="AE140:AE152" si="406">AC140+AD140</f>
        <v>2407.9380000000001</v>
      </c>
      <c r="AF140" s="197">
        <f>'Arable NPV'!$F119</f>
        <v>574.23049999999989</v>
      </c>
      <c r="AG140" s="197">
        <f>'Arable NPV'!$G119</f>
        <v>636.366536</v>
      </c>
      <c r="AH140" s="197">
        <f t="shared" ref="AH140:AH153" si="407">AF140+AG140</f>
        <v>1210.5970359999999</v>
      </c>
      <c r="AI140" s="197">
        <f t="shared" si="353"/>
        <v>1021.3909640000004</v>
      </c>
      <c r="AJ140" s="197">
        <f t="shared" si="354"/>
        <v>1197.3409640000002</v>
      </c>
      <c r="AK140" s="196">
        <f t="shared" si="355"/>
        <v>2063.5983727810653</v>
      </c>
      <c r="AL140" s="197">
        <f t="shared" si="356"/>
        <v>162.67566568047334</v>
      </c>
      <c r="AM140" s="197">
        <f t="shared" si="357"/>
        <v>1119.2650110946743</v>
      </c>
      <c r="AN140" s="197">
        <f t="shared" si="358"/>
        <v>944.33336168639084</v>
      </c>
      <c r="AO140" s="197">
        <f t="shared" si="359"/>
        <v>1107.0090273668641</v>
      </c>
      <c r="AP140" s="196">
        <f t="shared" si="360"/>
        <v>6441.728680473374</v>
      </c>
      <c r="AQ140" s="197">
        <f t="shared" si="361"/>
        <v>507.80835798816565</v>
      </c>
      <c r="AR140" s="197">
        <f t="shared" si="362"/>
        <v>3493.8976586331355</v>
      </c>
      <c r="AS140" s="197">
        <f t="shared" si="363"/>
        <v>2947.8310218402376</v>
      </c>
      <c r="AT140" s="199">
        <f t="shared" si="364"/>
        <v>3455.6393798284025</v>
      </c>
      <c r="AX140" s="900">
        <v>3</v>
      </c>
      <c r="AY140" s="911">
        <f>'Arable Inputs'!$H$18*$BA$134</f>
        <v>4.07</v>
      </c>
      <c r="AZ140" s="760">
        <f>'Arable Inputs'!$H$25</f>
        <v>182.8</v>
      </c>
      <c r="BA140" s="762">
        <f t="shared" si="365"/>
        <v>743.99600000000009</v>
      </c>
      <c r="BB140" s="197">
        <f>'Arable NPV'!$D119</f>
        <v>175.95</v>
      </c>
      <c r="BC140" s="197">
        <f t="shared" ref="BC140:BC152" si="408">BA140+BB140</f>
        <v>919.94600000000014</v>
      </c>
      <c r="BD140" s="197">
        <f>'Arable NPV'!$F119</f>
        <v>574.23049999999989</v>
      </c>
      <c r="BE140" s="197">
        <f>'Arable NPV'!$G119</f>
        <v>636.366536</v>
      </c>
      <c r="BF140" s="197">
        <f t="shared" ref="BF140:BF153" si="409">BD140+BE140</f>
        <v>1210.5970359999999</v>
      </c>
      <c r="BG140" s="197">
        <f t="shared" si="366"/>
        <v>-466.60103599999979</v>
      </c>
      <c r="BH140" s="197">
        <f t="shared" si="367"/>
        <v>-290.65103599999975</v>
      </c>
      <c r="BI140" s="196">
        <f t="shared" si="368"/>
        <v>687.86612426035504</v>
      </c>
      <c r="BJ140" s="197">
        <f t="shared" si="369"/>
        <v>162.67566568047334</v>
      </c>
      <c r="BK140" s="197">
        <f t="shared" si="370"/>
        <v>1119.2650110946743</v>
      </c>
      <c r="BL140" s="197">
        <f t="shared" si="371"/>
        <v>-431.39888683431928</v>
      </c>
      <c r="BM140" s="197">
        <f t="shared" si="372"/>
        <v>-268.72322115384588</v>
      </c>
      <c r="BN140" s="196">
        <f t="shared" si="373"/>
        <v>2147.2428934911241</v>
      </c>
      <c r="BO140" s="197">
        <f t="shared" si="374"/>
        <v>507.80835798816565</v>
      </c>
      <c r="BP140" s="197">
        <f t="shared" si="375"/>
        <v>3493.8976586331355</v>
      </c>
      <c r="BQ140" s="197">
        <f t="shared" si="376"/>
        <v>-1346.6547651420112</v>
      </c>
      <c r="BR140" s="199">
        <f t="shared" si="377"/>
        <v>-838.84640715384546</v>
      </c>
      <c r="BV140" s="900">
        <v>3</v>
      </c>
      <c r="BW140" s="911">
        <f>'Arable Inputs'!$H$18*$BY$134</f>
        <v>16.28</v>
      </c>
      <c r="BX140" s="760">
        <f>'Arable Inputs'!$H$25</f>
        <v>182.8</v>
      </c>
      <c r="BY140" s="762">
        <f t="shared" si="378"/>
        <v>2975.9840000000004</v>
      </c>
      <c r="BZ140" s="197">
        <f>'Arable NPV'!$D119</f>
        <v>175.95</v>
      </c>
      <c r="CA140" s="197">
        <f t="shared" ref="CA140:CA152" si="410">BY140+BZ140</f>
        <v>3151.9340000000002</v>
      </c>
      <c r="CB140" s="197">
        <f>'Arable NPV'!$F119</f>
        <v>574.23049999999989</v>
      </c>
      <c r="CC140" s="197">
        <f>'Arable NPV'!$G119</f>
        <v>636.366536</v>
      </c>
      <c r="CD140" s="197">
        <f t="shared" ref="CD140:CD153" si="411">CB140+CC140</f>
        <v>1210.5970359999999</v>
      </c>
      <c r="CE140" s="197">
        <f t="shared" si="379"/>
        <v>1765.3869640000005</v>
      </c>
      <c r="CF140" s="197">
        <f t="shared" si="380"/>
        <v>1941.3369640000003</v>
      </c>
      <c r="CG140" s="196">
        <f t="shared" si="381"/>
        <v>2751.4644970414201</v>
      </c>
      <c r="CH140" s="197">
        <f t="shared" si="382"/>
        <v>162.67566568047334</v>
      </c>
      <c r="CI140" s="197">
        <f t="shared" si="383"/>
        <v>1119.2650110946743</v>
      </c>
      <c r="CJ140" s="197">
        <f t="shared" si="384"/>
        <v>1632.1994859467459</v>
      </c>
      <c r="CK140" s="197">
        <f t="shared" si="385"/>
        <v>1794.8751516272191</v>
      </c>
      <c r="CL140" s="196">
        <f t="shared" si="386"/>
        <v>8588.9715739644962</v>
      </c>
      <c r="CM140" s="197">
        <f t="shared" si="387"/>
        <v>507.80835798816565</v>
      </c>
      <c r="CN140" s="197">
        <f t="shared" si="388"/>
        <v>3493.8976586331355</v>
      </c>
      <c r="CO140" s="197">
        <f t="shared" si="389"/>
        <v>5095.0739153313625</v>
      </c>
      <c r="CP140" s="199">
        <f t="shared" si="390"/>
        <v>5602.8822733195266</v>
      </c>
      <c r="CT140" s="900">
        <v>3</v>
      </c>
      <c r="CU140" s="911">
        <f>'Arable Inputs'!$H$18*$CW$134</f>
        <v>0</v>
      </c>
      <c r="CV140" s="760">
        <f>'Arable Inputs'!$H$25</f>
        <v>182.8</v>
      </c>
      <c r="CW140" s="762">
        <f t="shared" si="391"/>
        <v>0</v>
      </c>
      <c r="CX140" s="197">
        <f>'Arable NPV'!$D119</f>
        <v>175.95</v>
      </c>
      <c r="CY140" s="197">
        <f t="shared" ref="CY140:CY152" si="412">CW140+CX140</f>
        <v>175.95</v>
      </c>
      <c r="CZ140" s="197">
        <f>'Arable NPV'!$F119</f>
        <v>574.23049999999989</v>
      </c>
      <c r="DA140" s="197">
        <f>'Arable NPV'!$G119</f>
        <v>636.366536</v>
      </c>
      <c r="DB140" s="197">
        <f t="shared" ref="DB140:DB153" si="413">CZ140+DA140</f>
        <v>1210.5970359999999</v>
      </c>
      <c r="DC140" s="197">
        <f t="shared" si="392"/>
        <v>-1210.5970359999999</v>
      </c>
      <c r="DD140" s="197">
        <f t="shared" si="393"/>
        <v>-1034.6470359999998</v>
      </c>
      <c r="DE140" s="196">
        <f t="shared" si="394"/>
        <v>0</v>
      </c>
      <c r="DF140" s="197">
        <f t="shared" si="395"/>
        <v>162.67566568047334</v>
      </c>
      <c r="DG140" s="197">
        <f t="shared" si="396"/>
        <v>1119.2650110946743</v>
      </c>
      <c r="DH140" s="197">
        <f t="shared" si="397"/>
        <v>-1119.2650110946743</v>
      </c>
      <c r="DI140" s="197">
        <f t="shared" si="398"/>
        <v>-956.58934541420092</v>
      </c>
      <c r="DJ140" s="196">
        <f t="shared" si="399"/>
        <v>0</v>
      </c>
      <c r="DK140" s="197">
        <f t="shared" si="400"/>
        <v>507.80835798816565</v>
      </c>
      <c r="DL140" s="197">
        <f t="shared" si="401"/>
        <v>3493.8976586331355</v>
      </c>
      <c r="DM140" s="197">
        <f t="shared" si="402"/>
        <v>-3493.8976586331355</v>
      </c>
      <c r="DN140" s="199">
        <f t="shared" si="403"/>
        <v>-2986.0893006449701</v>
      </c>
    </row>
    <row r="141" spans="2:118" x14ac:dyDescent="0.3">
      <c r="B141" s="900">
        <v>4</v>
      </c>
      <c r="C141" s="911">
        <f>'Arable Inputs'!$H$18*$E$134</f>
        <v>8.14</v>
      </c>
      <c r="D141" s="760">
        <f>'Arable Inputs'!$H$25</f>
        <v>182.8</v>
      </c>
      <c r="E141" s="762">
        <f t="shared" si="343"/>
        <v>1487.9920000000002</v>
      </c>
      <c r="F141" s="197">
        <f>'Arable NPV'!$D120</f>
        <v>175.95</v>
      </c>
      <c r="G141" s="197">
        <f t="shared" si="404"/>
        <v>1663.9420000000002</v>
      </c>
      <c r="H141" s="197">
        <f>'Arable NPV'!$F120</f>
        <v>574.23049999999989</v>
      </c>
      <c r="I141" s="197">
        <f>'Arable NPV'!$G120</f>
        <v>636.366536</v>
      </c>
      <c r="J141" s="197">
        <f t="shared" si="405"/>
        <v>1210.5970359999999</v>
      </c>
      <c r="K141" s="197">
        <f t="shared" si="344"/>
        <v>277.3949640000003</v>
      </c>
      <c r="L141" s="197">
        <f t="shared" si="345"/>
        <v>453.34496400000035</v>
      </c>
      <c r="M141" s="196">
        <f t="shared" si="346"/>
        <v>1322.819469731452</v>
      </c>
      <c r="N141" s="197">
        <f t="shared" si="347"/>
        <v>156.41890930814745</v>
      </c>
      <c r="O141" s="197">
        <f t="shared" si="348"/>
        <v>1076.2163568218023</v>
      </c>
      <c r="P141" s="197">
        <f t="shared" si="349"/>
        <v>246.60311290964978</v>
      </c>
      <c r="Q141" s="197">
        <f t="shared" si="350"/>
        <v>403.02202221779726</v>
      </c>
      <c r="R141" s="196">
        <f t="shared" si="351"/>
        <v>5617.3052567137001</v>
      </c>
      <c r="S141" s="197">
        <f t="shared" si="351"/>
        <v>664.22726729631313</v>
      </c>
      <c r="T141" s="197">
        <f t="shared" si="351"/>
        <v>4570.1140154549375</v>
      </c>
      <c r="U141" s="197">
        <f t="shared" si="351"/>
        <v>1047.1912412587631</v>
      </c>
      <c r="V141" s="199">
        <f t="shared" si="351"/>
        <v>1711.4185085550762</v>
      </c>
      <c r="Z141" s="900">
        <v>4</v>
      </c>
      <c r="AA141" s="911">
        <f>'Arable Inputs'!$H$18*$AC$134</f>
        <v>12.21</v>
      </c>
      <c r="AB141" s="760">
        <f>'Arable Inputs'!$H$25</f>
        <v>182.8</v>
      </c>
      <c r="AC141" s="762">
        <f t="shared" si="352"/>
        <v>2231.9880000000003</v>
      </c>
      <c r="AD141" s="197">
        <f>'Arable NPV'!$D120</f>
        <v>175.95</v>
      </c>
      <c r="AE141" s="197">
        <f t="shared" si="406"/>
        <v>2407.9380000000001</v>
      </c>
      <c r="AF141" s="197">
        <f>'Arable NPV'!$F120</f>
        <v>574.23049999999989</v>
      </c>
      <c r="AG141" s="197">
        <f>'Arable NPV'!$G120</f>
        <v>636.366536</v>
      </c>
      <c r="AH141" s="197">
        <f t="shared" si="407"/>
        <v>1210.5970359999999</v>
      </c>
      <c r="AI141" s="197">
        <f t="shared" si="353"/>
        <v>1021.3909640000004</v>
      </c>
      <c r="AJ141" s="197">
        <f t="shared" si="354"/>
        <v>1197.3409640000002</v>
      </c>
      <c r="AK141" s="196">
        <f t="shared" si="355"/>
        <v>1984.2292045971781</v>
      </c>
      <c r="AL141" s="197">
        <f t="shared" si="356"/>
        <v>156.41890930814745</v>
      </c>
      <c r="AM141" s="197">
        <f t="shared" si="357"/>
        <v>1076.2163568218023</v>
      </c>
      <c r="AN141" s="197">
        <f t="shared" si="358"/>
        <v>908.0128477753758</v>
      </c>
      <c r="AO141" s="197">
        <f t="shared" si="359"/>
        <v>1064.4317570835231</v>
      </c>
      <c r="AP141" s="196">
        <f t="shared" si="360"/>
        <v>8425.9578850705511</v>
      </c>
      <c r="AQ141" s="197">
        <f t="shared" si="361"/>
        <v>664.22726729631313</v>
      </c>
      <c r="AR141" s="197">
        <f t="shared" si="362"/>
        <v>4570.1140154549375</v>
      </c>
      <c r="AS141" s="197">
        <f t="shared" si="363"/>
        <v>3855.8438696156136</v>
      </c>
      <c r="AT141" s="199">
        <f t="shared" si="364"/>
        <v>4520.0711369119254</v>
      </c>
      <c r="AX141" s="900">
        <v>4</v>
      </c>
      <c r="AY141" s="911">
        <f>'Arable Inputs'!$H$18*$BA$134</f>
        <v>4.07</v>
      </c>
      <c r="AZ141" s="760">
        <f>'Arable Inputs'!$H$25</f>
        <v>182.8</v>
      </c>
      <c r="BA141" s="762">
        <f t="shared" si="365"/>
        <v>743.99600000000009</v>
      </c>
      <c r="BB141" s="197">
        <f>'Arable NPV'!$D120</f>
        <v>175.95</v>
      </c>
      <c r="BC141" s="197">
        <f t="shared" si="408"/>
        <v>919.94600000000014</v>
      </c>
      <c r="BD141" s="197">
        <f>'Arable NPV'!$F120</f>
        <v>574.23049999999989</v>
      </c>
      <c r="BE141" s="197">
        <f>'Arable NPV'!$G120</f>
        <v>636.366536</v>
      </c>
      <c r="BF141" s="197">
        <f t="shared" si="409"/>
        <v>1210.5970359999999</v>
      </c>
      <c r="BG141" s="197">
        <f t="shared" si="366"/>
        <v>-466.60103599999979</v>
      </c>
      <c r="BH141" s="197">
        <f t="shared" si="367"/>
        <v>-290.65103599999975</v>
      </c>
      <c r="BI141" s="196">
        <f t="shared" si="368"/>
        <v>661.40973486572602</v>
      </c>
      <c r="BJ141" s="197">
        <f t="shared" si="369"/>
        <v>156.41890930814745</v>
      </c>
      <c r="BK141" s="197">
        <f t="shared" si="370"/>
        <v>1076.2163568218023</v>
      </c>
      <c r="BL141" s="197">
        <f t="shared" si="371"/>
        <v>-414.80662195607624</v>
      </c>
      <c r="BM141" s="197">
        <f t="shared" si="372"/>
        <v>-258.38771264792877</v>
      </c>
      <c r="BN141" s="196">
        <f t="shared" si="373"/>
        <v>2808.6526283568501</v>
      </c>
      <c r="BO141" s="197">
        <f t="shared" si="374"/>
        <v>664.22726729631313</v>
      </c>
      <c r="BP141" s="197">
        <f t="shared" si="375"/>
        <v>4570.1140154549375</v>
      </c>
      <c r="BQ141" s="197">
        <f t="shared" si="376"/>
        <v>-1761.4613870980875</v>
      </c>
      <c r="BR141" s="199">
        <f t="shared" si="377"/>
        <v>-1097.2341198017743</v>
      </c>
      <c r="BV141" s="900">
        <v>4</v>
      </c>
      <c r="BW141" s="911">
        <f>'Arable Inputs'!$H$18*$BY$134</f>
        <v>16.28</v>
      </c>
      <c r="BX141" s="760">
        <f>'Arable Inputs'!$H$25</f>
        <v>182.8</v>
      </c>
      <c r="BY141" s="762">
        <f t="shared" si="378"/>
        <v>2975.9840000000004</v>
      </c>
      <c r="BZ141" s="197">
        <f>'Arable NPV'!$D120</f>
        <v>175.95</v>
      </c>
      <c r="CA141" s="197">
        <f t="shared" si="410"/>
        <v>3151.9340000000002</v>
      </c>
      <c r="CB141" s="197">
        <f>'Arable NPV'!$F120</f>
        <v>574.23049999999989</v>
      </c>
      <c r="CC141" s="197">
        <f>'Arable NPV'!$G120</f>
        <v>636.366536</v>
      </c>
      <c r="CD141" s="197">
        <f t="shared" si="411"/>
        <v>1210.5970359999999</v>
      </c>
      <c r="CE141" s="197">
        <f t="shared" si="379"/>
        <v>1765.3869640000005</v>
      </c>
      <c r="CF141" s="197">
        <f t="shared" si="380"/>
        <v>1941.3369640000003</v>
      </c>
      <c r="CG141" s="196">
        <f t="shared" si="381"/>
        <v>2645.6389394629041</v>
      </c>
      <c r="CH141" s="197">
        <f t="shared" si="382"/>
        <v>156.41890930814745</v>
      </c>
      <c r="CI141" s="197">
        <f t="shared" si="383"/>
        <v>1076.2163568218023</v>
      </c>
      <c r="CJ141" s="197">
        <f t="shared" si="384"/>
        <v>1569.4225826411018</v>
      </c>
      <c r="CK141" s="197">
        <f t="shared" si="385"/>
        <v>1725.8414919492491</v>
      </c>
      <c r="CL141" s="196">
        <f t="shared" si="386"/>
        <v>11234.6105134274</v>
      </c>
      <c r="CM141" s="197">
        <f t="shared" si="387"/>
        <v>664.22726729631313</v>
      </c>
      <c r="CN141" s="197">
        <f t="shared" si="388"/>
        <v>4570.1140154549375</v>
      </c>
      <c r="CO141" s="197">
        <f t="shared" si="389"/>
        <v>6664.4964979724646</v>
      </c>
      <c r="CP141" s="199">
        <f t="shared" si="390"/>
        <v>7328.7237652687754</v>
      </c>
      <c r="CT141" s="900">
        <v>4</v>
      </c>
      <c r="CU141" s="911">
        <f>'Arable Inputs'!$H$18*$CW$134</f>
        <v>0</v>
      </c>
      <c r="CV141" s="760">
        <f>'Arable Inputs'!$H$25</f>
        <v>182.8</v>
      </c>
      <c r="CW141" s="762">
        <f t="shared" si="391"/>
        <v>0</v>
      </c>
      <c r="CX141" s="197">
        <f>'Arable NPV'!$D120</f>
        <v>175.95</v>
      </c>
      <c r="CY141" s="197">
        <f t="shared" si="412"/>
        <v>175.95</v>
      </c>
      <c r="CZ141" s="197">
        <f>'Arable NPV'!$F120</f>
        <v>574.23049999999989</v>
      </c>
      <c r="DA141" s="197">
        <f>'Arable NPV'!$G120</f>
        <v>636.366536</v>
      </c>
      <c r="DB141" s="197">
        <f t="shared" si="413"/>
        <v>1210.5970359999999</v>
      </c>
      <c r="DC141" s="197">
        <f t="shared" si="392"/>
        <v>-1210.5970359999999</v>
      </c>
      <c r="DD141" s="197">
        <f t="shared" si="393"/>
        <v>-1034.6470359999998</v>
      </c>
      <c r="DE141" s="196">
        <f t="shared" si="394"/>
        <v>0</v>
      </c>
      <c r="DF141" s="197">
        <f t="shared" si="395"/>
        <v>156.41890930814745</v>
      </c>
      <c r="DG141" s="197">
        <f t="shared" si="396"/>
        <v>1076.2163568218023</v>
      </c>
      <c r="DH141" s="197">
        <f t="shared" si="397"/>
        <v>-1076.2163568218023</v>
      </c>
      <c r="DI141" s="197">
        <f t="shared" si="398"/>
        <v>-919.79744751365479</v>
      </c>
      <c r="DJ141" s="196">
        <f t="shared" si="399"/>
        <v>0</v>
      </c>
      <c r="DK141" s="197">
        <f t="shared" si="400"/>
        <v>664.22726729631313</v>
      </c>
      <c r="DL141" s="197">
        <f t="shared" si="401"/>
        <v>4570.1140154549375</v>
      </c>
      <c r="DM141" s="197">
        <f t="shared" si="402"/>
        <v>-4570.1140154549375</v>
      </c>
      <c r="DN141" s="199">
        <f t="shared" si="403"/>
        <v>-3905.8867481586249</v>
      </c>
    </row>
    <row r="142" spans="2:118" x14ac:dyDescent="0.3">
      <c r="B142" s="900">
        <v>5</v>
      </c>
      <c r="C142" s="911">
        <f>'Arable Inputs'!$H$18*$E$134</f>
        <v>8.14</v>
      </c>
      <c r="D142" s="760">
        <f>'Arable Inputs'!$H$25</f>
        <v>182.8</v>
      </c>
      <c r="E142" s="762">
        <f t="shared" si="343"/>
        <v>1487.9920000000002</v>
      </c>
      <c r="F142" s="197">
        <f>'Arable NPV'!$D121</f>
        <v>175.95</v>
      </c>
      <c r="G142" s="197">
        <f t="shared" si="404"/>
        <v>1663.9420000000002</v>
      </c>
      <c r="H142" s="197">
        <f>'Arable NPV'!$F121</f>
        <v>574.23049999999989</v>
      </c>
      <c r="I142" s="197">
        <f>'Arable NPV'!$G121</f>
        <v>636.366536</v>
      </c>
      <c r="J142" s="197">
        <f t="shared" si="405"/>
        <v>1210.5970359999999</v>
      </c>
      <c r="K142" s="197">
        <f t="shared" si="344"/>
        <v>277.3949640000003</v>
      </c>
      <c r="L142" s="197">
        <f t="shared" si="345"/>
        <v>453.34496400000035</v>
      </c>
      <c r="M142" s="196">
        <f t="shared" si="346"/>
        <v>1271.9417978187037</v>
      </c>
      <c r="N142" s="197">
        <f t="shared" si="347"/>
        <v>150.40279741168024</v>
      </c>
      <c r="O142" s="197">
        <f t="shared" si="348"/>
        <v>1034.8234200209636</v>
      </c>
      <c r="P142" s="197">
        <f t="shared" si="349"/>
        <v>237.11837779774015</v>
      </c>
      <c r="Q142" s="197">
        <f t="shared" si="350"/>
        <v>387.52117520942039</v>
      </c>
      <c r="R142" s="196">
        <f t="shared" si="351"/>
        <v>6889.247054532404</v>
      </c>
      <c r="S142" s="197">
        <f t="shared" si="351"/>
        <v>814.63006470799337</v>
      </c>
      <c r="T142" s="197">
        <f t="shared" si="351"/>
        <v>5604.9374354759011</v>
      </c>
      <c r="U142" s="197">
        <f t="shared" si="351"/>
        <v>1284.3096190565032</v>
      </c>
      <c r="V142" s="199">
        <f t="shared" si="351"/>
        <v>2098.9396837644967</v>
      </c>
      <c r="Z142" s="900">
        <v>5</v>
      </c>
      <c r="AA142" s="911">
        <f>'Arable Inputs'!$H$18*$AC$134</f>
        <v>12.21</v>
      </c>
      <c r="AB142" s="760">
        <f>'Arable Inputs'!$H$25</f>
        <v>182.8</v>
      </c>
      <c r="AC142" s="762">
        <f t="shared" si="352"/>
        <v>2231.9880000000003</v>
      </c>
      <c r="AD142" s="197">
        <f>'Arable NPV'!$D121</f>
        <v>175.95</v>
      </c>
      <c r="AE142" s="197">
        <f t="shared" si="406"/>
        <v>2407.9380000000001</v>
      </c>
      <c r="AF142" s="197">
        <f>'Arable NPV'!$F121</f>
        <v>574.23049999999989</v>
      </c>
      <c r="AG142" s="197">
        <f>'Arable NPV'!$G121</f>
        <v>636.366536</v>
      </c>
      <c r="AH142" s="197">
        <f t="shared" si="407"/>
        <v>1210.5970359999999</v>
      </c>
      <c r="AI142" s="197">
        <f t="shared" si="353"/>
        <v>1021.3909640000004</v>
      </c>
      <c r="AJ142" s="197">
        <f t="shared" si="354"/>
        <v>1197.3409640000002</v>
      </c>
      <c r="AK142" s="196">
        <f t="shared" si="355"/>
        <v>1907.9126967280556</v>
      </c>
      <c r="AL142" s="197">
        <f t="shared" si="356"/>
        <v>150.40279741168024</v>
      </c>
      <c r="AM142" s="197">
        <f t="shared" si="357"/>
        <v>1034.8234200209636</v>
      </c>
      <c r="AN142" s="197">
        <f t="shared" si="358"/>
        <v>873.08927670709204</v>
      </c>
      <c r="AO142" s="197">
        <f t="shared" si="359"/>
        <v>1023.4920741187721</v>
      </c>
      <c r="AP142" s="196">
        <f t="shared" si="360"/>
        <v>10333.870581798607</v>
      </c>
      <c r="AQ142" s="197">
        <f t="shared" si="361"/>
        <v>814.63006470799337</v>
      </c>
      <c r="AR142" s="197">
        <f t="shared" si="362"/>
        <v>5604.9374354759011</v>
      </c>
      <c r="AS142" s="197">
        <f t="shared" si="363"/>
        <v>4728.9331463227054</v>
      </c>
      <c r="AT142" s="199">
        <f t="shared" si="364"/>
        <v>5543.5632110306979</v>
      </c>
      <c r="AX142" s="900">
        <v>5</v>
      </c>
      <c r="AY142" s="911">
        <f>'Arable Inputs'!$H$18*$BA$134</f>
        <v>4.07</v>
      </c>
      <c r="AZ142" s="760">
        <f>'Arable Inputs'!$H$25</f>
        <v>182.8</v>
      </c>
      <c r="BA142" s="762">
        <f t="shared" si="365"/>
        <v>743.99600000000009</v>
      </c>
      <c r="BB142" s="197">
        <f>'Arable NPV'!$D121</f>
        <v>175.95</v>
      </c>
      <c r="BC142" s="197">
        <f t="shared" si="408"/>
        <v>919.94600000000014</v>
      </c>
      <c r="BD142" s="197">
        <f>'Arable NPV'!$F121</f>
        <v>574.23049999999989</v>
      </c>
      <c r="BE142" s="197">
        <f>'Arable NPV'!$G121</f>
        <v>636.366536</v>
      </c>
      <c r="BF142" s="197">
        <f t="shared" si="409"/>
        <v>1210.5970359999999</v>
      </c>
      <c r="BG142" s="197">
        <f t="shared" si="366"/>
        <v>-466.60103599999979</v>
      </c>
      <c r="BH142" s="197">
        <f t="shared" si="367"/>
        <v>-290.65103599999975</v>
      </c>
      <c r="BI142" s="196">
        <f t="shared" si="368"/>
        <v>635.97089890935183</v>
      </c>
      <c r="BJ142" s="197">
        <f t="shared" si="369"/>
        <v>150.40279741168024</v>
      </c>
      <c r="BK142" s="197">
        <f t="shared" si="370"/>
        <v>1034.8234200209636</v>
      </c>
      <c r="BL142" s="197">
        <f t="shared" si="371"/>
        <v>-398.85252111161174</v>
      </c>
      <c r="BM142" s="197">
        <f t="shared" si="372"/>
        <v>-248.44972369993147</v>
      </c>
      <c r="BN142" s="196">
        <f t="shared" si="373"/>
        <v>3444.623527266202</v>
      </c>
      <c r="BO142" s="197">
        <f t="shared" si="374"/>
        <v>814.63006470799337</v>
      </c>
      <c r="BP142" s="197">
        <f t="shared" si="375"/>
        <v>5604.9374354759011</v>
      </c>
      <c r="BQ142" s="197">
        <f t="shared" si="376"/>
        <v>-2160.3139082096991</v>
      </c>
      <c r="BR142" s="199">
        <f t="shared" si="377"/>
        <v>-1345.6838435017057</v>
      </c>
      <c r="BV142" s="900">
        <v>5</v>
      </c>
      <c r="BW142" s="911">
        <f>'Arable Inputs'!$H$18*$BY$134</f>
        <v>16.28</v>
      </c>
      <c r="BX142" s="760">
        <f>'Arable Inputs'!$H$25</f>
        <v>182.8</v>
      </c>
      <c r="BY142" s="762">
        <f t="shared" si="378"/>
        <v>2975.9840000000004</v>
      </c>
      <c r="BZ142" s="197">
        <f>'Arable NPV'!$D121</f>
        <v>175.95</v>
      </c>
      <c r="CA142" s="197">
        <f t="shared" si="410"/>
        <v>3151.9340000000002</v>
      </c>
      <c r="CB142" s="197">
        <f>'Arable NPV'!$F121</f>
        <v>574.23049999999989</v>
      </c>
      <c r="CC142" s="197">
        <f>'Arable NPV'!$G121</f>
        <v>636.366536</v>
      </c>
      <c r="CD142" s="197">
        <f t="shared" si="411"/>
        <v>1210.5970359999999</v>
      </c>
      <c r="CE142" s="197">
        <f t="shared" si="379"/>
        <v>1765.3869640000005</v>
      </c>
      <c r="CF142" s="197">
        <f t="shared" si="380"/>
        <v>1941.3369640000003</v>
      </c>
      <c r="CG142" s="196">
        <f t="shared" si="381"/>
        <v>2543.8835956374073</v>
      </c>
      <c r="CH142" s="197">
        <f t="shared" si="382"/>
        <v>150.40279741168024</v>
      </c>
      <c r="CI142" s="197">
        <f t="shared" si="383"/>
        <v>1034.8234200209636</v>
      </c>
      <c r="CJ142" s="197">
        <f t="shared" si="384"/>
        <v>1509.060175616444</v>
      </c>
      <c r="CK142" s="197">
        <f t="shared" si="385"/>
        <v>1659.462973028124</v>
      </c>
      <c r="CL142" s="196">
        <f t="shared" si="386"/>
        <v>13778.494109064808</v>
      </c>
      <c r="CM142" s="197">
        <f t="shared" si="387"/>
        <v>814.63006470799337</v>
      </c>
      <c r="CN142" s="197">
        <f t="shared" si="388"/>
        <v>5604.9374354759011</v>
      </c>
      <c r="CO142" s="197">
        <f t="shared" si="389"/>
        <v>8173.5566735889088</v>
      </c>
      <c r="CP142" s="199">
        <f t="shared" si="390"/>
        <v>8988.1867382968994</v>
      </c>
      <c r="CT142" s="900">
        <v>5</v>
      </c>
      <c r="CU142" s="911">
        <f>'Arable Inputs'!$H$18*$CW$134</f>
        <v>0</v>
      </c>
      <c r="CV142" s="760">
        <f>'Arable Inputs'!$H$25</f>
        <v>182.8</v>
      </c>
      <c r="CW142" s="762">
        <f t="shared" si="391"/>
        <v>0</v>
      </c>
      <c r="CX142" s="197">
        <f>'Arable NPV'!$D121</f>
        <v>175.95</v>
      </c>
      <c r="CY142" s="197">
        <f t="shared" si="412"/>
        <v>175.95</v>
      </c>
      <c r="CZ142" s="197">
        <f>'Arable NPV'!$F121</f>
        <v>574.23049999999989</v>
      </c>
      <c r="DA142" s="197">
        <f>'Arable NPV'!$G121</f>
        <v>636.366536</v>
      </c>
      <c r="DB142" s="197">
        <f t="shared" si="413"/>
        <v>1210.5970359999999</v>
      </c>
      <c r="DC142" s="197">
        <f t="shared" si="392"/>
        <v>-1210.5970359999999</v>
      </c>
      <c r="DD142" s="197">
        <f t="shared" si="393"/>
        <v>-1034.6470359999998</v>
      </c>
      <c r="DE142" s="196">
        <f t="shared" si="394"/>
        <v>0</v>
      </c>
      <c r="DF142" s="197">
        <f t="shared" si="395"/>
        <v>150.40279741168024</v>
      </c>
      <c r="DG142" s="197">
        <f t="shared" si="396"/>
        <v>1034.8234200209636</v>
      </c>
      <c r="DH142" s="197">
        <f t="shared" si="397"/>
        <v>-1034.8234200209636</v>
      </c>
      <c r="DI142" s="197">
        <f t="shared" si="398"/>
        <v>-884.42062260928333</v>
      </c>
      <c r="DJ142" s="196">
        <f t="shared" si="399"/>
        <v>0</v>
      </c>
      <c r="DK142" s="197">
        <f t="shared" si="400"/>
        <v>814.63006470799337</v>
      </c>
      <c r="DL142" s="197">
        <f t="shared" si="401"/>
        <v>5604.9374354759011</v>
      </c>
      <c r="DM142" s="197">
        <f t="shared" si="402"/>
        <v>-5604.9374354759011</v>
      </c>
      <c r="DN142" s="199">
        <f t="shared" si="403"/>
        <v>-4790.3073707679087</v>
      </c>
    </row>
    <row r="143" spans="2:118" x14ac:dyDescent="0.3">
      <c r="B143" s="900">
        <v>6</v>
      </c>
      <c r="C143" s="911">
        <f>'Arable Inputs'!$H$18*$E$134</f>
        <v>8.14</v>
      </c>
      <c r="D143" s="760">
        <f>'Arable Inputs'!$H$25</f>
        <v>182.8</v>
      </c>
      <c r="E143" s="762">
        <f t="shared" si="343"/>
        <v>1487.9920000000002</v>
      </c>
      <c r="F143" s="197">
        <f>'Arable NPV'!$D122</f>
        <v>175.95</v>
      </c>
      <c r="G143" s="197">
        <f t="shared" si="404"/>
        <v>1663.9420000000002</v>
      </c>
      <c r="H143" s="197">
        <f>'Arable NPV'!$F122</f>
        <v>574.23049999999989</v>
      </c>
      <c r="I143" s="197">
        <f>'Arable NPV'!$G122</f>
        <v>636.366536</v>
      </c>
      <c r="J143" s="197">
        <f t="shared" si="405"/>
        <v>1210.5970359999999</v>
      </c>
      <c r="K143" s="197">
        <f t="shared" si="344"/>
        <v>277.3949640000003</v>
      </c>
      <c r="L143" s="197">
        <f t="shared" si="345"/>
        <v>453.34496400000035</v>
      </c>
      <c r="M143" s="196">
        <f t="shared" si="346"/>
        <v>1223.0209594410612</v>
      </c>
      <c r="N143" s="197">
        <f t="shared" si="347"/>
        <v>144.61807443430789</v>
      </c>
      <c r="O143" s="197">
        <f t="shared" si="348"/>
        <v>995.02251925092651</v>
      </c>
      <c r="P143" s="197">
        <f t="shared" si="349"/>
        <v>227.99844019013472</v>
      </c>
      <c r="Q143" s="197">
        <f t="shared" si="350"/>
        <v>372.61651462444269</v>
      </c>
      <c r="R143" s="196">
        <f t="shared" si="351"/>
        <v>8112.2680139734657</v>
      </c>
      <c r="S143" s="197">
        <f t="shared" si="351"/>
        <v>959.24813914230128</v>
      </c>
      <c r="T143" s="197">
        <f t="shared" si="351"/>
        <v>6599.9599547268281</v>
      </c>
      <c r="U143" s="197">
        <f t="shared" si="351"/>
        <v>1512.3080592466379</v>
      </c>
      <c r="V143" s="199">
        <f t="shared" si="351"/>
        <v>2471.5561983889393</v>
      </c>
      <c r="Z143" s="900">
        <v>6</v>
      </c>
      <c r="AA143" s="911">
        <f>'Arable Inputs'!$H$18*$AC$134</f>
        <v>12.21</v>
      </c>
      <c r="AB143" s="760">
        <f>'Arable Inputs'!$H$25</f>
        <v>182.8</v>
      </c>
      <c r="AC143" s="762">
        <f t="shared" si="352"/>
        <v>2231.9880000000003</v>
      </c>
      <c r="AD143" s="197">
        <f>'Arable NPV'!$D122</f>
        <v>175.95</v>
      </c>
      <c r="AE143" s="197">
        <f t="shared" si="406"/>
        <v>2407.9380000000001</v>
      </c>
      <c r="AF143" s="197">
        <f>'Arable NPV'!$F122</f>
        <v>574.23049999999989</v>
      </c>
      <c r="AG143" s="197">
        <f>'Arable NPV'!$G122</f>
        <v>636.366536</v>
      </c>
      <c r="AH143" s="197">
        <f t="shared" si="407"/>
        <v>1210.5970359999999</v>
      </c>
      <c r="AI143" s="197">
        <f t="shared" si="353"/>
        <v>1021.3909640000004</v>
      </c>
      <c r="AJ143" s="197">
        <f t="shared" si="354"/>
        <v>1197.3409640000002</v>
      </c>
      <c r="AK143" s="196">
        <f t="shared" si="355"/>
        <v>1834.5314391615918</v>
      </c>
      <c r="AL143" s="197">
        <f t="shared" si="356"/>
        <v>144.61807443430789</v>
      </c>
      <c r="AM143" s="197">
        <f t="shared" si="357"/>
        <v>995.02251925092651</v>
      </c>
      <c r="AN143" s="197">
        <f t="shared" si="358"/>
        <v>839.50891991066533</v>
      </c>
      <c r="AO143" s="197">
        <f t="shared" si="359"/>
        <v>984.12699434497301</v>
      </c>
      <c r="AP143" s="196">
        <f t="shared" si="360"/>
        <v>12168.402020960199</v>
      </c>
      <c r="AQ143" s="197">
        <f t="shared" si="361"/>
        <v>959.24813914230128</v>
      </c>
      <c r="AR143" s="197">
        <f t="shared" si="362"/>
        <v>6599.9599547268281</v>
      </c>
      <c r="AS143" s="197">
        <f t="shared" si="363"/>
        <v>5568.4420662333705</v>
      </c>
      <c r="AT143" s="199">
        <f t="shared" si="364"/>
        <v>6527.6902053756712</v>
      </c>
      <c r="AX143" s="900">
        <v>6</v>
      </c>
      <c r="AY143" s="911">
        <f>'Arable Inputs'!$H$18*$BA$134</f>
        <v>4.07</v>
      </c>
      <c r="AZ143" s="760">
        <f>'Arable Inputs'!$H$25</f>
        <v>182.8</v>
      </c>
      <c r="BA143" s="762">
        <f t="shared" si="365"/>
        <v>743.99600000000009</v>
      </c>
      <c r="BB143" s="197">
        <f>'Arable NPV'!$D122</f>
        <v>175.95</v>
      </c>
      <c r="BC143" s="197">
        <f t="shared" si="408"/>
        <v>919.94600000000014</v>
      </c>
      <c r="BD143" s="197">
        <f>'Arable NPV'!$F122</f>
        <v>574.23049999999989</v>
      </c>
      <c r="BE143" s="197">
        <f>'Arable NPV'!$G122</f>
        <v>636.366536</v>
      </c>
      <c r="BF143" s="197">
        <f t="shared" si="409"/>
        <v>1210.5970359999999</v>
      </c>
      <c r="BG143" s="197">
        <f t="shared" si="366"/>
        <v>-466.60103599999979</v>
      </c>
      <c r="BH143" s="197">
        <f t="shared" si="367"/>
        <v>-290.65103599999975</v>
      </c>
      <c r="BI143" s="196">
        <f t="shared" si="368"/>
        <v>611.51047972053061</v>
      </c>
      <c r="BJ143" s="197">
        <f t="shared" si="369"/>
        <v>144.61807443430789</v>
      </c>
      <c r="BK143" s="197">
        <f t="shared" si="370"/>
        <v>995.02251925092651</v>
      </c>
      <c r="BL143" s="197">
        <f t="shared" si="371"/>
        <v>-383.51203953039584</v>
      </c>
      <c r="BM143" s="197">
        <f t="shared" si="372"/>
        <v>-238.89396509608792</v>
      </c>
      <c r="BN143" s="196">
        <f t="shared" si="373"/>
        <v>4056.1340069867329</v>
      </c>
      <c r="BO143" s="197">
        <f t="shared" si="374"/>
        <v>959.24813914230128</v>
      </c>
      <c r="BP143" s="197">
        <f t="shared" si="375"/>
        <v>6599.9599547268281</v>
      </c>
      <c r="BQ143" s="197">
        <f t="shared" si="376"/>
        <v>-2543.8259477400948</v>
      </c>
      <c r="BR143" s="199">
        <f t="shared" si="377"/>
        <v>-1584.5778085977936</v>
      </c>
      <c r="BV143" s="900">
        <v>6</v>
      </c>
      <c r="BW143" s="911">
        <f>'Arable Inputs'!$H$18*$BY$134</f>
        <v>16.28</v>
      </c>
      <c r="BX143" s="760">
        <f>'Arable Inputs'!$H$25</f>
        <v>182.8</v>
      </c>
      <c r="BY143" s="762">
        <f t="shared" si="378"/>
        <v>2975.9840000000004</v>
      </c>
      <c r="BZ143" s="197">
        <f>'Arable NPV'!$D122</f>
        <v>175.95</v>
      </c>
      <c r="CA143" s="197">
        <f t="shared" si="410"/>
        <v>3151.9340000000002</v>
      </c>
      <c r="CB143" s="197">
        <f>'Arable NPV'!$F122</f>
        <v>574.23049999999989</v>
      </c>
      <c r="CC143" s="197">
        <f>'Arable NPV'!$G122</f>
        <v>636.366536</v>
      </c>
      <c r="CD143" s="197">
        <f t="shared" si="411"/>
        <v>1210.5970359999999</v>
      </c>
      <c r="CE143" s="197">
        <f t="shared" si="379"/>
        <v>1765.3869640000005</v>
      </c>
      <c r="CF143" s="197">
        <f t="shared" si="380"/>
        <v>1941.3369640000003</v>
      </c>
      <c r="CG143" s="196">
        <f t="shared" si="381"/>
        <v>2446.0419188821224</v>
      </c>
      <c r="CH143" s="197">
        <f t="shared" si="382"/>
        <v>144.61807443430789</v>
      </c>
      <c r="CI143" s="197">
        <f t="shared" si="383"/>
        <v>995.02251925092651</v>
      </c>
      <c r="CJ143" s="197">
        <f t="shared" si="384"/>
        <v>1451.0193996311959</v>
      </c>
      <c r="CK143" s="197">
        <f t="shared" si="385"/>
        <v>1595.6374740655037</v>
      </c>
      <c r="CL143" s="196">
        <f t="shared" si="386"/>
        <v>16224.536027946931</v>
      </c>
      <c r="CM143" s="197">
        <f t="shared" si="387"/>
        <v>959.24813914230128</v>
      </c>
      <c r="CN143" s="197">
        <f t="shared" si="388"/>
        <v>6599.9599547268281</v>
      </c>
      <c r="CO143" s="197">
        <f t="shared" si="389"/>
        <v>9624.5760732201052</v>
      </c>
      <c r="CP143" s="199">
        <f t="shared" si="390"/>
        <v>10583.824212362404</v>
      </c>
      <c r="CT143" s="900">
        <v>6</v>
      </c>
      <c r="CU143" s="911">
        <f>'Arable Inputs'!$H$18*$CW$134</f>
        <v>0</v>
      </c>
      <c r="CV143" s="760">
        <f>'Arable Inputs'!$H$25</f>
        <v>182.8</v>
      </c>
      <c r="CW143" s="762">
        <f t="shared" si="391"/>
        <v>0</v>
      </c>
      <c r="CX143" s="197">
        <f>'Arable NPV'!$D122</f>
        <v>175.95</v>
      </c>
      <c r="CY143" s="197">
        <f t="shared" si="412"/>
        <v>175.95</v>
      </c>
      <c r="CZ143" s="197">
        <f>'Arable NPV'!$F122</f>
        <v>574.23049999999989</v>
      </c>
      <c r="DA143" s="197">
        <f>'Arable NPV'!$G122</f>
        <v>636.366536</v>
      </c>
      <c r="DB143" s="197">
        <f t="shared" si="413"/>
        <v>1210.5970359999999</v>
      </c>
      <c r="DC143" s="197">
        <f t="shared" si="392"/>
        <v>-1210.5970359999999</v>
      </c>
      <c r="DD143" s="197">
        <f t="shared" si="393"/>
        <v>-1034.6470359999998</v>
      </c>
      <c r="DE143" s="196">
        <f t="shared" si="394"/>
        <v>0</v>
      </c>
      <c r="DF143" s="197">
        <f t="shared" si="395"/>
        <v>144.61807443430789</v>
      </c>
      <c r="DG143" s="197">
        <f t="shared" si="396"/>
        <v>995.02251925092651</v>
      </c>
      <c r="DH143" s="197">
        <f t="shared" si="397"/>
        <v>-995.02251925092651</v>
      </c>
      <c r="DI143" s="197">
        <f t="shared" si="398"/>
        <v>-850.40444481661848</v>
      </c>
      <c r="DJ143" s="196">
        <f t="shared" si="399"/>
        <v>0</v>
      </c>
      <c r="DK143" s="197">
        <f t="shared" si="400"/>
        <v>959.24813914230128</v>
      </c>
      <c r="DL143" s="197">
        <f t="shared" si="401"/>
        <v>6599.9599547268281</v>
      </c>
      <c r="DM143" s="197">
        <f t="shared" si="402"/>
        <v>-6599.9599547268281</v>
      </c>
      <c r="DN143" s="199">
        <f t="shared" si="403"/>
        <v>-5640.7118155845274</v>
      </c>
    </row>
    <row r="144" spans="2:118" x14ac:dyDescent="0.3">
      <c r="B144" s="900">
        <v>7</v>
      </c>
      <c r="C144" s="911">
        <f>'Arable Inputs'!$H$18*$E$134</f>
        <v>8.14</v>
      </c>
      <c r="D144" s="760">
        <f>'Arable Inputs'!$H$25</f>
        <v>182.8</v>
      </c>
      <c r="E144" s="762">
        <f t="shared" si="343"/>
        <v>1487.9920000000002</v>
      </c>
      <c r="F144" s="197">
        <f>'Arable NPV'!$D123</f>
        <v>175.95</v>
      </c>
      <c r="G144" s="197">
        <f t="shared" si="404"/>
        <v>1663.9420000000002</v>
      </c>
      <c r="H144" s="197">
        <f>'Arable NPV'!$F123</f>
        <v>574.23049999999989</v>
      </c>
      <c r="I144" s="197">
        <f>'Arable NPV'!$G123</f>
        <v>636.366536</v>
      </c>
      <c r="J144" s="197">
        <f t="shared" si="405"/>
        <v>1210.5970359999999</v>
      </c>
      <c r="K144" s="197">
        <f t="shared" si="344"/>
        <v>277.3949640000003</v>
      </c>
      <c r="L144" s="197">
        <f t="shared" si="345"/>
        <v>453.34496400000035</v>
      </c>
      <c r="M144" s="196">
        <f t="shared" si="346"/>
        <v>1175.981691770251</v>
      </c>
      <c r="N144" s="197">
        <f t="shared" si="347"/>
        <v>139.05584080221914</v>
      </c>
      <c r="O144" s="197">
        <f t="shared" si="348"/>
        <v>956.75242235666008</v>
      </c>
      <c r="P144" s="197">
        <f t="shared" si="349"/>
        <v>219.22926941359108</v>
      </c>
      <c r="Q144" s="197">
        <f t="shared" si="350"/>
        <v>358.28511021581028</v>
      </c>
      <c r="R144" s="196">
        <f t="shared" si="351"/>
        <v>9288.2497057437176</v>
      </c>
      <c r="S144" s="197">
        <f t="shared" si="351"/>
        <v>1098.3039799445205</v>
      </c>
      <c r="T144" s="197">
        <f t="shared" si="351"/>
        <v>7556.7123770834878</v>
      </c>
      <c r="U144" s="197">
        <f t="shared" si="351"/>
        <v>1731.5373286602289</v>
      </c>
      <c r="V144" s="199">
        <f t="shared" si="351"/>
        <v>2829.8413086047494</v>
      </c>
      <c r="Z144" s="900">
        <v>7</v>
      </c>
      <c r="AA144" s="911">
        <f>'Arable Inputs'!$H$18*$AC$134</f>
        <v>12.21</v>
      </c>
      <c r="AB144" s="760">
        <f>'Arable Inputs'!$H$25</f>
        <v>182.8</v>
      </c>
      <c r="AC144" s="762">
        <f t="shared" si="352"/>
        <v>2231.9880000000003</v>
      </c>
      <c r="AD144" s="197">
        <f>'Arable NPV'!$D123</f>
        <v>175.95</v>
      </c>
      <c r="AE144" s="197">
        <f t="shared" si="406"/>
        <v>2407.9380000000001</v>
      </c>
      <c r="AF144" s="197">
        <f>'Arable NPV'!$F123</f>
        <v>574.23049999999989</v>
      </c>
      <c r="AG144" s="197">
        <f>'Arable NPV'!$G123</f>
        <v>636.366536</v>
      </c>
      <c r="AH144" s="197">
        <f t="shared" si="407"/>
        <v>1210.5970359999999</v>
      </c>
      <c r="AI144" s="197">
        <f t="shared" si="353"/>
        <v>1021.3909640000004</v>
      </c>
      <c r="AJ144" s="197">
        <f t="shared" si="354"/>
        <v>1197.3409640000002</v>
      </c>
      <c r="AK144" s="196">
        <f t="shared" si="355"/>
        <v>1763.9725376553768</v>
      </c>
      <c r="AL144" s="197">
        <f t="shared" si="356"/>
        <v>139.05584080221914</v>
      </c>
      <c r="AM144" s="197">
        <f t="shared" si="357"/>
        <v>956.75242235666008</v>
      </c>
      <c r="AN144" s="197">
        <f t="shared" si="358"/>
        <v>807.22011529871668</v>
      </c>
      <c r="AO144" s="197">
        <f t="shared" si="359"/>
        <v>946.27595610093567</v>
      </c>
      <c r="AP144" s="196">
        <f t="shared" si="360"/>
        <v>13932.374558615575</v>
      </c>
      <c r="AQ144" s="197">
        <f t="shared" si="361"/>
        <v>1098.3039799445205</v>
      </c>
      <c r="AR144" s="197">
        <f t="shared" si="362"/>
        <v>7556.7123770834878</v>
      </c>
      <c r="AS144" s="197">
        <f t="shared" si="363"/>
        <v>6375.6621815320868</v>
      </c>
      <c r="AT144" s="199">
        <f t="shared" si="364"/>
        <v>7473.9661614766064</v>
      </c>
      <c r="AX144" s="900">
        <v>7</v>
      </c>
      <c r="AY144" s="911">
        <f>'Arable Inputs'!$H$18*$BA$134</f>
        <v>4.07</v>
      </c>
      <c r="AZ144" s="760">
        <f>'Arable Inputs'!$H$25</f>
        <v>182.8</v>
      </c>
      <c r="BA144" s="762">
        <f t="shared" si="365"/>
        <v>743.99600000000009</v>
      </c>
      <c r="BB144" s="197">
        <f>'Arable NPV'!$D123</f>
        <v>175.95</v>
      </c>
      <c r="BC144" s="197">
        <f t="shared" si="408"/>
        <v>919.94600000000014</v>
      </c>
      <c r="BD144" s="197">
        <f>'Arable NPV'!$F123</f>
        <v>574.23049999999989</v>
      </c>
      <c r="BE144" s="197">
        <f>'Arable NPV'!$G123</f>
        <v>636.366536</v>
      </c>
      <c r="BF144" s="197">
        <f t="shared" si="409"/>
        <v>1210.5970359999999</v>
      </c>
      <c r="BG144" s="197">
        <f t="shared" si="366"/>
        <v>-466.60103599999979</v>
      </c>
      <c r="BH144" s="197">
        <f t="shared" si="367"/>
        <v>-290.65103599999975</v>
      </c>
      <c r="BI144" s="196">
        <f t="shared" si="368"/>
        <v>587.99084588512551</v>
      </c>
      <c r="BJ144" s="197">
        <f t="shared" si="369"/>
        <v>139.05584080221914</v>
      </c>
      <c r="BK144" s="197">
        <f t="shared" si="370"/>
        <v>956.75242235666008</v>
      </c>
      <c r="BL144" s="197">
        <f t="shared" si="371"/>
        <v>-368.76157647153451</v>
      </c>
      <c r="BM144" s="197">
        <f t="shared" si="372"/>
        <v>-229.70573566931532</v>
      </c>
      <c r="BN144" s="196">
        <f t="shared" si="373"/>
        <v>4644.1248528718588</v>
      </c>
      <c r="BO144" s="197">
        <f t="shared" si="374"/>
        <v>1098.3039799445205</v>
      </c>
      <c r="BP144" s="197">
        <f t="shared" si="375"/>
        <v>7556.7123770834878</v>
      </c>
      <c r="BQ144" s="197">
        <f t="shared" si="376"/>
        <v>-2912.5875242116294</v>
      </c>
      <c r="BR144" s="199">
        <f t="shared" si="377"/>
        <v>-1814.2835442671089</v>
      </c>
      <c r="BV144" s="900">
        <v>7</v>
      </c>
      <c r="BW144" s="911">
        <f>'Arable Inputs'!$H$18*$BY$134</f>
        <v>16.28</v>
      </c>
      <c r="BX144" s="760">
        <f>'Arable Inputs'!$H$25</f>
        <v>182.8</v>
      </c>
      <c r="BY144" s="762">
        <f t="shared" si="378"/>
        <v>2975.9840000000004</v>
      </c>
      <c r="BZ144" s="197">
        <f>'Arable NPV'!$D123</f>
        <v>175.95</v>
      </c>
      <c r="CA144" s="197">
        <f t="shared" si="410"/>
        <v>3151.9340000000002</v>
      </c>
      <c r="CB144" s="197">
        <f>'Arable NPV'!$F123</f>
        <v>574.23049999999989</v>
      </c>
      <c r="CC144" s="197">
        <f>'Arable NPV'!$G123</f>
        <v>636.366536</v>
      </c>
      <c r="CD144" s="197">
        <f t="shared" si="411"/>
        <v>1210.5970359999999</v>
      </c>
      <c r="CE144" s="197">
        <f t="shared" si="379"/>
        <v>1765.3869640000005</v>
      </c>
      <c r="CF144" s="197">
        <f t="shared" si="380"/>
        <v>1941.3369640000003</v>
      </c>
      <c r="CG144" s="196">
        <f t="shared" si="381"/>
        <v>2351.963383540502</v>
      </c>
      <c r="CH144" s="197">
        <f t="shared" si="382"/>
        <v>139.05584080221914</v>
      </c>
      <c r="CI144" s="197">
        <f t="shared" si="383"/>
        <v>956.75242235666008</v>
      </c>
      <c r="CJ144" s="197">
        <f t="shared" si="384"/>
        <v>1395.2109611838423</v>
      </c>
      <c r="CK144" s="197">
        <f t="shared" si="385"/>
        <v>1534.2668019860612</v>
      </c>
      <c r="CL144" s="196">
        <f t="shared" si="386"/>
        <v>18576.499411487435</v>
      </c>
      <c r="CM144" s="197">
        <f t="shared" si="387"/>
        <v>1098.3039799445205</v>
      </c>
      <c r="CN144" s="197">
        <f t="shared" si="388"/>
        <v>7556.7123770834878</v>
      </c>
      <c r="CO144" s="197">
        <f t="shared" si="389"/>
        <v>11019.787034403947</v>
      </c>
      <c r="CP144" s="199">
        <f t="shared" si="390"/>
        <v>12118.091014348465</v>
      </c>
      <c r="CT144" s="900">
        <v>7</v>
      </c>
      <c r="CU144" s="911">
        <f>'Arable Inputs'!$H$18*$CW$134</f>
        <v>0</v>
      </c>
      <c r="CV144" s="760">
        <f>'Arable Inputs'!$H$25</f>
        <v>182.8</v>
      </c>
      <c r="CW144" s="762">
        <f t="shared" si="391"/>
        <v>0</v>
      </c>
      <c r="CX144" s="197">
        <f>'Arable NPV'!$D123</f>
        <v>175.95</v>
      </c>
      <c r="CY144" s="197">
        <f t="shared" si="412"/>
        <v>175.95</v>
      </c>
      <c r="CZ144" s="197">
        <f>'Arable NPV'!$F123</f>
        <v>574.23049999999989</v>
      </c>
      <c r="DA144" s="197">
        <f>'Arable NPV'!$G123</f>
        <v>636.366536</v>
      </c>
      <c r="DB144" s="197">
        <f t="shared" si="413"/>
        <v>1210.5970359999999</v>
      </c>
      <c r="DC144" s="197">
        <f t="shared" si="392"/>
        <v>-1210.5970359999999</v>
      </c>
      <c r="DD144" s="197">
        <f t="shared" si="393"/>
        <v>-1034.6470359999998</v>
      </c>
      <c r="DE144" s="196">
        <f t="shared" si="394"/>
        <v>0</v>
      </c>
      <c r="DF144" s="197">
        <f t="shared" si="395"/>
        <v>139.05584080221914</v>
      </c>
      <c r="DG144" s="197">
        <f t="shared" si="396"/>
        <v>956.75242235666008</v>
      </c>
      <c r="DH144" s="197">
        <f t="shared" si="397"/>
        <v>-956.75242235666008</v>
      </c>
      <c r="DI144" s="197">
        <f t="shared" si="398"/>
        <v>-817.69658155444085</v>
      </c>
      <c r="DJ144" s="196">
        <f t="shared" si="399"/>
        <v>0</v>
      </c>
      <c r="DK144" s="197">
        <f t="shared" si="400"/>
        <v>1098.3039799445205</v>
      </c>
      <c r="DL144" s="197">
        <f t="shared" si="401"/>
        <v>7556.7123770834878</v>
      </c>
      <c r="DM144" s="197">
        <f t="shared" si="402"/>
        <v>-7556.7123770834878</v>
      </c>
      <c r="DN144" s="199">
        <f t="shared" si="403"/>
        <v>-6458.4083971389682</v>
      </c>
    </row>
    <row r="145" spans="2:118" x14ac:dyDescent="0.3">
      <c r="B145" s="900">
        <v>8</v>
      </c>
      <c r="C145" s="911">
        <f>'Arable Inputs'!$H$18*$E$134</f>
        <v>8.14</v>
      </c>
      <c r="D145" s="760">
        <f>'Arable Inputs'!$H$25</f>
        <v>182.8</v>
      </c>
      <c r="E145" s="762">
        <f t="shared" si="343"/>
        <v>1487.9920000000002</v>
      </c>
      <c r="F145" s="197">
        <f>'Arable NPV'!$D124</f>
        <v>175.95</v>
      </c>
      <c r="G145" s="197">
        <f t="shared" si="404"/>
        <v>1663.9420000000002</v>
      </c>
      <c r="H145" s="197">
        <f>'Arable NPV'!$F124</f>
        <v>574.23049999999989</v>
      </c>
      <c r="I145" s="197">
        <f>'Arable NPV'!$G124</f>
        <v>636.366536</v>
      </c>
      <c r="J145" s="197">
        <f t="shared" si="405"/>
        <v>1210.5970359999999</v>
      </c>
      <c r="K145" s="197">
        <f t="shared" si="344"/>
        <v>277.3949640000003</v>
      </c>
      <c r="L145" s="197">
        <f t="shared" si="345"/>
        <v>453.34496400000035</v>
      </c>
      <c r="M145" s="196">
        <f t="shared" si="346"/>
        <v>1130.7516267021647</v>
      </c>
      <c r="N145" s="197">
        <f t="shared" si="347"/>
        <v>133.70753923290303</v>
      </c>
      <c r="O145" s="197">
        <f t="shared" si="348"/>
        <v>919.95425226601935</v>
      </c>
      <c r="P145" s="197">
        <f t="shared" si="349"/>
        <v>210.79737443614528</v>
      </c>
      <c r="Q145" s="197">
        <f t="shared" si="350"/>
        <v>344.50491366904834</v>
      </c>
      <c r="R145" s="196">
        <f t="shared" si="351"/>
        <v>10419.001332445881</v>
      </c>
      <c r="S145" s="197">
        <f t="shared" si="351"/>
        <v>1232.0115191774235</v>
      </c>
      <c r="T145" s="197">
        <f t="shared" si="351"/>
        <v>8476.6666293495073</v>
      </c>
      <c r="U145" s="197">
        <f t="shared" si="351"/>
        <v>1942.3347030963741</v>
      </c>
      <c r="V145" s="199">
        <f t="shared" si="351"/>
        <v>3174.3462222737976</v>
      </c>
      <c r="Z145" s="900">
        <v>8</v>
      </c>
      <c r="AA145" s="911">
        <f>'Arable Inputs'!$H$18*$AC$134</f>
        <v>12.21</v>
      </c>
      <c r="AB145" s="760">
        <f>'Arable Inputs'!$H$25</f>
        <v>182.8</v>
      </c>
      <c r="AC145" s="762">
        <f t="shared" si="352"/>
        <v>2231.9880000000003</v>
      </c>
      <c r="AD145" s="197">
        <f>'Arable NPV'!$D124</f>
        <v>175.95</v>
      </c>
      <c r="AE145" s="197">
        <f t="shared" si="406"/>
        <v>2407.9380000000001</v>
      </c>
      <c r="AF145" s="197">
        <f>'Arable NPV'!$F124</f>
        <v>574.23049999999989</v>
      </c>
      <c r="AG145" s="197">
        <f>'Arable NPV'!$G124</f>
        <v>636.366536</v>
      </c>
      <c r="AH145" s="197">
        <f t="shared" si="407"/>
        <v>1210.5970359999999</v>
      </c>
      <c r="AI145" s="197">
        <f t="shared" si="353"/>
        <v>1021.3909640000004</v>
      </c>
      <c r="AJ145" s="197">
        <f t="shared" si="354"/>
        <v>1197.3409640000002</v>
      </c>
      <c r="AK145" s="196">
        <f t="shared" si="355"/>
        <v>1696.127440053247</v>
      </c>
      <c r="AL145" s="197">
        <f t="shared" si="356"/>
        <v>133.70753923290303</v>
      </c>
      <c r="AM145" s="197">
        <f t="shared" si="357"/>
        <v>919.95425226601935</v>
      </c>
      <c r="AN145" s="197">
        <f t="shared" si="358"/>
        <v>776.17318778722756</v>
      </c>
      <c r="AO145" s="197">
        <f t="shared" si="359"/>
        <v>909.88072702013051</v>
      </c>
      <c r="AP145" s="196">
        <f t="shared" si="360"/>
        <v>15628.501998668822</v>
      </c>
      <c r="AQ145" s="197">
        <f t="shared" si="361"/>
        <v>1232.0115191774235</v>
      </c>
      <c r="AR145" s="197">
        <f t="shared" si="362"/>
        <v>8476.6666293495073</v>
      </c>
      <c r="AS145" s="197">
        <f t="shared" si="363"/>
        <v>7151.8353693193149</v>
      </c>
      <c r="AT145" s="199">
        <f t="shared" si="364"/>
        <v>8383.8468884967369</v>
      </c>
      <c r="AX145" s="900">
        <v>8</v>
      </c>
      <c r="AY145" s="911">
        <f>'Arable Inputs'!$H$18*$BA$134</f>
        <v>4.07</v>
      </c>
      <c r="AZ145" s="760">
        <f>'Arable Inputs'!$H$25</f>
        <v>182.8</v>
      </c>
      <c r="BA145" s="762">
        <f t="shared" si="365"/>
        <v>743.99600000000009</v>
      </c>
      <c r="BB145" s="197">
        <f>'Arable NPV'!$D124</f>
        <v>175.95</v>
      </c>
      <c r="BC145" s="197">
        <f t="shared" si="408"/>
        <v>919.94600000000014</v>
      </c>
      <c r="BD145" s="197">
        <f>'Arable NPV'!$F124</f>
        <v>574.23049999999989</v>
      </c>
      <c r="BE145" s="197">
        <f>'Arable NPV'!$G124</f>
        <v>636.366536</v>
      </c>
      <c r="BF145" s="197">
        <f t="shared" si="409"/>
        <v>1210.5970359999999</v>
      </c>
      <c r="BG145" s="197">
        <f t="shared" si="366"/>
        <v>-466.60103599999979</v>
      </c>
      <c r="BH145" s="197">
        <f t="shared" si="367"/>
        <v>-290.65103599999975</v>
      </c>
      <c r="BI145" s="196">
        <f t="shared" si="368"/>
        <v>565.37581335108234</v>
      </c>
      <c r="BJ145" s="197">
        <f t="shared" si="369"/>
        <v>133.70753923290303</v>
      </c>
      <c r="BK145" s="197">
        <f t="shared" si="370"/>
        <v>919.95425226601935</v>
      </c>
      <c r="BL145" s="197">
        <f t="shared" si="371"/>
        <v>-354.57843891493701</v>
      </c>
      <c r="BM145" s="197">
        <f t="shared" si="372"/>
        <v>-220.87089968203398</v>
      </c>
      <c r="BN145" s="196">
        <f t="shared" si="373"/>
        <v>5209.5006662229407</v>
      </c>
      <c r="BO145" s="197">
        <f t="shared" si="374"/>
        <v>1232.0115191774235</v>
      </c>
      <c r="BP145" s="197">
        <f t="shared" si="375"/>
        <v>8476.6666293495073</v>
      </c>
      <c r="BQ145" s="197">
        <f t="shared" si="376"/>
        <v>-3267.1659631265666</v>
      </c>
      <c r="BR145" s="199">
        <f t="shared" si="377"/>
        <v>-2035.1544439491429</v>
      </c>
      <c r="BV145" s="900">
        <v>8</v>
      </c>
      <c r="BW145" s="911">
        <f>'Arable Inputs'!$H$18*$BY$134</f>
        <v>16.28</v>
      </c>
      <c r="BX145" s="760">
        <f>'Arable Inputs'!$H$25</f>
        <v>182.8</v>
      </c>
      <c r="BY145" s="762">
        <f t="shared" si="378"/>
        <v>2975.9840000000004</v>
      </c>
      <c r="BZ145" s="197">
        <f>'Arable NPV'!$D124</f>
        <v>175.95</v>
      </c>
      <c r="CA145" s="197">
        <f t="shared" si="410"/>
        <v>3151.9340000000002</v>
      </c>
      <c r="CB145" s="197">
        <f>'Arable NPV'!$F124</f>
        <v>574.23049999999989</v>
      </c>
      <c r="CC145" s="197">
        <f>'Arable NPV'!$G124</f>
        <v>636.366536</v>
      </c>
      <c r="CD145" s="197">
        <f t="shared" si="411"/>
        <v>1210.5970359999999</v>
      </c>
      <c r="CE145" s="197">
        <f t="shared" si="379"/>
        <v>1765.3869640000005</v>
      </c>
      <c r="CF145" s="197">
        <f t="shared" si="380"/>
        <v>1941.3369640000003</v>
      </c>
      <c r="CG145" s="196">
        <f t="shared" si="381"/>
        <v>2261.5032534043294</v>
      </c>
      <c r="CH145" s="197">
        <f t="shared" si="382"/>
        <v>133.70753923290303</v>
      </c>
      <c r="CI145" s="197">
        <f t="shared" si="383"/>
        <v>919.95425226601935</v>
      </c>
      <c r="CJ145" s="197">
        <f t="shared" si="384"/>
        <v>1341.5490011383099</v>
      </c>
      <c r="CK145" s="197">
        <f t="shared" si="385"/>
        <v>1475.2565403712129</v>
      </c>
      <c r="CL145" s="196">
        <f t="shared" si="386"/>
        <v>20838.002664891763</v>
      </c>
      <c r="CM145" s="197">
        <f t="shared" si="387"/>
        <v>1232.0115191774235</v>
      </c>
      <c r="CN145" s="197">
        <f t="shared" si="388"/>
        <v>8476.6666293495073</v>
      </c>
      <c r="CO145" s="197">
        <f t="shared" si="389"/>
        <v>12361.336035542257</v>
      </c>
      <c r="CP145" s="199">
        <f t="shared" si="390"/>
        <v>13593.347554719678</v>
      </c>
      <c r="CT145" s="900">
        <v>8</v>
      </c>
      <c r="CU145" s="911">
        <f>'Arable Inputs'!$H$18*$CW$134</f>
        <v>0</v>
      </c>
      <c r="CV145" s="760">
        <f>'Arable Inputs'!$H$25</f>
        <v>182.8</v>
      </c>
      <c r="CW145" s="762">
        <f t="shared" si="391"/>
        <v>0</v>
      </c>
      <c r="CX145" s="197">
        <f>'Arable NPV'!$D124</f>
        <v>175.95</v>
      </c>
      <c r="CY145" s="197">
        <f t="shared" si="412"/>
        <v>175.95</v>
      </c>
      <c r="CZ145" s="197">
        <f>'Arable NPV'!$F124</f>
        <v>574.23049999999989</v>
      </c>
      <c r="DA145" s="197">
        <f>'Arable NPV'!$G124</f>
        <v>636.366536</v>
      </c>
      <c r="DB145" s="197">
        <f t="shared" si="413"/>
        <v>1210.5970359999999</v>
      </c>
      <c r="DC145" s="197">
        <f t="shared" si="392"/>
        <v>-1210.5970359999999</v>
      </c>
      <c r="DD145" s="197">
        <f t="shared" si="393"/>
        <v>-1034.6470359999998</v>
      </c>
      <c r="DE145" s="196">
        <f t="shared" si="394"/>
        <v>0</v>
      </c>
      <c r="DF145" s="197">
        <f t="shared" si="395"/>
        <v>133.70753923290303</v>
      </c>
      <c r="DG145" s="197">
        <f t="shared" si="396"/>
        <v>919.95425226601935</v>
      </c>
      <c r="DH145" s="197">
        <f t="shared" si="397"/>
        <v>-919.95425226601935</v>
      </c>
      <c r="DI145" s="197">
        <f t="shared" si="398"/>
        <v>-786.24671303311629</v>
      </c>
      <c r="DJ145" s="196">
        <f t="shared" si="399"/>
        <v>0</v>
      </c>
      <c r="DK145" s="197">
        <f t="shared" si="400"/>
        <v>1232.0115191774235</v>
      </c>
      <c r="DL145" s="197">
        <f t="shared" si="401"/>
        <v>8476.6666293495073</v>
      </c>
      <c r="DM145" s="197">
        <f t="shared" si="402"/>
        <v>-8476.6666293495073</v>
      </c>
      <c r="DN145" s="199">
        <f t="shared" si="403"/>
        <v>-7244.6551101720843</v>
      </c>
    </row>
    <row r="146" spans="2:118" x14ac:dyDescent="0.3">
      <c r="B146" s="900">
        <v>9</v>
      </c>
      <c r="C146" s="911">
        <f>'Arable Inputs'!$H$18*$E$134</f>
        <v>8.14</v>
      </c>
      <c r="D146" s="760">
        <f>'Arable Inputs'!$H$25</f>
        <v>182.8</v>
      </c>
      <c r="E146" s="762">
        <f t="shared" si="343"/>
        <v>1487.9920000000002</v>
      </c>
      <c r="F146" s="197">
        <f>'Arable NPV'!$D125</f>
        <v>175.95</v>
      </c>
      <c r="G146" s="197">
        <f t="shared" si="404"/>
        <v>1663.9420000000002</v>
      </c>
      <c r="H146" s="197">
        <f>'Arable NPV'!$F125</f>
        <v>574.23049999999989</v>
      </c>
      <c r="I146" s="197">
        <f>'Arable NPV'!$G125</f>
        <v>636.366536</v>
      </c>
      <c r="J146" s="197">
        <f t="shared" si="405"/>
        <v>1210.5970359999999</v>
      </c>
      <c r="K146" s="197">
        <f t="shared" si="344"/>
        <v>277.3949640000003</v>
      </c>
      <c r="L146" s="197">
        <f t="shared" si="345"/>
        <v>453.34496400000035</v>
      </c>
      <c r="M146" s="196">
        <f t="shared" si="346"/>
        <v>1087.261179521312</v>
      </c>
      <c r="N146" s="197">
        <f t="shared" si="347"/>
        <v>128.56494157009902</v>
      </c>
      <c r="O146" s="197">
        <f t="shared" si="348"/>
        <v>884.57139640963385</v>
      </c>
      <c r="P146" s="197">
        <f t="shared" si="349"/>
        <v>202.68978311167814</v>
      </c>
      <c r="Q146" s="197">
        <f t="shared" si="350"/>
        <v>331.25472468177719</v>
      </c>
      <c r="R146" s="196">
        <f t="shared" si="351"/>
        <v>11506.262511967194</v>
      </c>
      <c r="S146" s="197">
        <f t="shared" si="351"/>
        <v>1360.5764607475226</v>
      </c>
      <c r="T146" s="197">
        <f t="shared" si="351"/>
        <v>9361.2380257591412</v>
      </c>
      <c r="U146" s="197">
        <f t="shared" si="351"/>
        <v>2145.0244862080522</v>
      </c>
      <c r="V146" s="199">
        <f t="shared" si="351"/>
        <v>3505.6009469555747</v>
      </c>
      <c r="Z146" s="900">
        <v>9</v>
      </c>
      <c r="AA146" s="911">
        <f>'Arable Inputs'!$H$18*$AC$134</f>
        <v>12.21</v>
      </c>
      <c r="AB146" s="760">
        <f>'Arable Inputs'!$H$25</f>
        <v>182.8</v>
      </c>
      <c r="AC146" s="762">
        <f t="shared" si="352"/>
        <v>2231.9880000000003</v>
      </c>
      <c r="AD146" s="197">
        <f>'Arable NPV'!$D125</f>
        <v>175.95</v>
      </c>
      <c r="AE146" s="197">
        <f t="shared" si="406"/>
        <v>2407.9380000000001</v>
      </c>
      <c r="AF146" s="197">
        <f>'Arable NPV'!$F125</f>
        <v>574.23049999999989</v>
      </c>
      <c r="AG146" s="197">
        <f>'Arable NPV'!$G125</f>
        <v>636.366536</v>
      </c>
      <c r="AH146" s="197">
        <f t="shared" si="407"/>
        <v>1210.5970359999999</v>
      </c>
      <c r="AI146" s="197">
        <f t="shared" si="353"/>
        <v>1021.3909640000004</v>
      </c>
      <c r="AJ146" s="197">
        <f t="shared" si="354"/>
        <v>1197.3409640000002</v>
      </c>
      <c r="AK146" s="196">
        <f t="shared" si="355"/>
        <v>1630.891769281968</v>
      </c>
      <c r="AL146" s="197">
        <f t="shared" si="356"/>
        <v>128.56494157009902</v>
      </c>
      <c r="AM146" s="197">
        <f t="shared" si="357"/>
        <v>884.57139640963385</v>
      </c>
      <c r="AN146" s="197">
        <f t="shared" si="358"/>
        <v>746.32037287233413</v>
      </c>
      <c r="AO146" s="197">
        <f t="shared" si="359"/>
        <v>874.88531444243301</v>
      </c>
      <c r="AP146" s="196">
        <f t="shared" si="360"/>
        <v>17259.393767950791</v>
      </c>
      <c r="AQ146" s="197">
        <f t="shared" si="361"/>
        <v>1360.5764607475226</v>
      </c>
      <c r="AR146" s="197">
        <f t="shared" si="362"/>
        <v>9361.2380257591412</v>
      </c>
      <c r="AS146" s="197">
        <f t="shared" si="363"/>
        <v>7898.1557421916486</v>
      </c>
      <c r="AT146" s="199">
        <f t="shared" si="364"/>
        <v>9258.7322029391707</v>
      </c>
      <c r="AX146" s="900">
        <v>9</v>
      </c>
      <c r="AY146" s="911">
        <f>'Arable Inputs'!$H$18*$BA$134</f>
        <v>4.07</v>
      </c>
      <c r="AZ146" s="760">
        <f>'Arable Inputs'!$H$25</f>
        <v>182.8</v>
      </c>
      <c r="BA146" s="762">
        <f t="shared" si="365"/>
        <v>743.99600000000009</v>
      </c>
      <c r="BB146" s="197">
        <f>'Arable NPV'!$D125</f>
        <v>175.95</v>
      </c>
      <c r="BC146" s="197">
        <f t="shared" si="408"/>
        <v>919.94600000000014</v>
      </c>
      <c r="BD146" s="197">
        <f>'Arable NPV'!$F125</f>
        <v>574.23049999999989</v>
      </c>
      <c r="BE146" s="197">
        <f>'Arable NPV'!$G125</f>
        <v>636.366536</v>
      </c>
      <c r="BF146" s="197">
        <f t="shared" si="409"/>
        <v>1210.5970359999999</v>
      </c>
      <c r="BG146" s="197">
        <f t="shared" si="366"/>
        <v>-466.60103599999979</v>
      </c>
      <c r="BH146" s="197">
        <f t="shared" si="367"/>
        <v>-290.65103599999975</v>
      </c>
      <c r="BI146" s="196">
        <f t="shared" si="368"/>
        <v>543.63058976065599</v>
      </c>
      <c r="BJ146" s="197">
        <f t="shared" si="369"/>
        <v>128.56494157009902</v>
      </c>
      <c r="BK146" s="197">
        <f t="shared" si="370"/>
        <v>884.57139640963385</v>
      </c>
      <c r="BL146" s="197">
        <f t="shared" si="371"/>
        <v>-340.94080664897785</v>
      </c>
      <c r="BM146" s="197">
        <f t="shared" si="372"/>
        <v>-212.37586507887877</v>
      </c>
      <c r="BN146" s="196">
        <f t="shared" si="373"/>
        <v>5753.1312559835969</v>
      </c>
      <c r="BO146" s="197">
        <f t="shared" si="374"/>
        <v>1360.5764607475226</v>
      </c>
      <c r="BP146" s="197">
        <f t="shared" si="375"/>
        <v>9361.2380257591412</v>
      </c>
      <c r="BQ146" s="197">
        <f t="shared" si="376"/>
        <v>-3608.1067697755443</v>
      </c>
      <c r="BR146" s="199">
        <f t="shared" si="377"/>
        <v>-2247.5303090280217</v>
      </c>
      <c r="BV146" s="900">
        <v>9</v>
      </c>
      <c r="BW146" s="911">
        <f>'Arable Inputs'!$H$18*$BY$134</f>
        <v>16.28</v>
      </c>
      <c r="BX146" s="760">
        <f>'Arable Inputs'!$H$25</f>
        <v>182.8</v>
      </c>
      <c r="BY146" s="762">
        <f t="shared" si="378"/>
        <v>2975.9840000000004</v>
      </c>
      <c r="BZ146" s="197">
        <f>'Arable NPV'!$D125</f>
        <v>175.95</v>
      </c>
      <c r="CA146" s="197">
        <f t="shared" si="410"/>
        <v>3151.9340000000002</v>
      </c>
      <c r="CB146" s="197">
        <f>'Arable NPV'!$F125</f>
        <v>574.23049999999989</v>
      </c>
      <c r="CC146" s="197">
        <f>'Arable NPV'!$G125</f>
        <v>636.366536</v>
      </c>
      <c r="CD146" s="197">
        <f t="shared" si="411"/>
        <v>1210.5970359999999</v>
      </c>
      <c r="CE146" s="197">
        <f t="shared" si="379"/>
        <v>1765.3869640000005</v>
      </c>
      <c r="CF146" s="197">
        <f t="shared" si="380"/>
        <v>1941.3369640000003</v>
      </c>
      <c r="CG146" s="196">
        <f t="shared" si="381"/>
        <v>2174.522359042624</v>
      </c>
      <c r="CH146" s="197">
        <f t="shared" si="382"/>
        <v>128.56494157009902</v>
      </c>
      <c r="CI146" s="197">
        <f t="shared" si="383"/>
        <v>884.57139640963385</v>
      </c>
      <c r="CJ146" s="197">
        <f t="shared" si="384"/>
        <v>1289.95096263299</v>
      </c>
      <c r="CK146" s="197">
        <f t="shared" si="385"/>
        <v>1418.5159042030891</v>
      </c>
      <c r="CL146" s="196">
        <f t="shared" si="386"/>
        <v>23012.525023934388</v>
      </c>
      <c r="CM146" s="197">
        <f t="shared" si="387"/>
        <v>1360.5764607475226</v>
      </c>
      <c r="CN146" s="197">
        <f t="shared" si="388"/>
        <v>9361.2380257591412</v>
      </c>
      <c r="CO146" s="197">
        <f t="shared" si="389"/>
        <v>13651.286998175248</v>
      </c>
      <c r="CP146" s="199">
        <f t="shared" si="390"/>
        <v>15011.863458922766</v>
      </c>
      <c r="CT146" s="900">
        <v>9</v>
      </c>
      <c r="CU146" s="911">
        <f>'Arable Inputs'!$H$18*$CW$134</f>
        <v>0</v>
      </c>
      <c r="CV146" s="760">
        <f>'Arable Inputs'!$H$25</f>
        <v>182.8</v>
      </c>
      <c r="CW146" s="762">
        <f t="shared" si="391"/>
        <v>0</v>
      </c>
      <c r="CX146" s="197">
        <f>'Arable NPV'!$D125</f>
        <v>175.95</v>
      </c>
      <c r="CY146" s="197">
        <f t="shared" si="412"/>
        <v>175.95</v>
      </c>
      <c r="CZ146" s="197">
        <f>'Arable NPV'!$F125</f>
        <v>574.23049999999989</v>
      </c>
      <c r="DA146" s="197">
        <f>'Arable NPV'!$G125</f>
        <v>636.366536</v>
      </c>
      <c r="DB146" s="197">
        <f t="shared" si="413"/>
        <v>1210.5970359999999</v>
      </c>
      <c r="DC146" s="197">
        <f t="shared" si="392"/>
        <v>-1210.5970359999999</v>
      </c>
      <c r="DD146" s="197">
        <f t="shared" si="393"/>
        <v>-1034.6470359999998</v>
      </c>
      <c r="DE146" s="196">
        <f t="shared" si="394"/>
        <v>0</v>
      </c>
      <c r="DF146" s="197">
        <f t="shared" si="395"/>
        <v>128.56494157009902</v>
      </c>
      <c r="DG146" s="197">
        <f t="shared" si="396"/>
        <v>884.57139640963385</v>
      </c>
      <c r="DH146" s="197">
        <f t="shared" si="397"/>
        <v>-884.57139640963385</v>
      </c>
      <c r="DI146" s="197">
        <f t="shared" si="398"/>
        <v>-756.00645483953474</v>
      </c>
      <c r="DJ146" s="196">
        <f t="shared" si="399"/>
        <v>0</v>
      </c>
      <c r="DK146" s="197">
        <f t="shared" si="400"/>
        <v>1360.5764607475226</v>
      </c>
      <c r="DL146" s="197">
        <f t="shared" si="401"/>
        <v>9361.2380257591412</v>
      </c>
      <c r="DM146" s="197">
        <f t="shared" si="402"/>
        <v>-9361.2380257591412</v>
      </c>
      <c r="DN146" s="199">
        <f t="shared" si="403"/>
        <v>-8000.6615650116191</v>
      </c>
    </row>
    <row r="147" spans="2:118" x14ac:dyDescent="0.3">
      <c r="B147" s="900">
        <v>10</v>
      </c>
      <c r="C147" s="911">
        <f>'Arable Inputs'!$H$18*$E$134</f>
        <v>8.14</v>
      </c>
      <c r="D147" s="760">
        <f>'Arable Inputs'!$H$25</f>
        <v>182.8</v>
      </c>
      <c r="E147" s="762">
        <f t="shared" si="343"/>
        <v>1487.9920000000002</v>
      </c>
      <c r="F147" s="197">
        <f>'Arable NPV'!$D126</f>
        <v>175.95</v>
      </c>
      <c r="G147" s="197">
        <f t="shared" si="404"/>
        <v>1663.9420000000002</v>
      </c>
      <c r="H147" s="197">
        <f>'Arable NPV'!$F126</f>
        <v>574.23049999999989</v>
      </c>
      <c r="I147" s="197">
        <f>'Arable NPV'!$G126</f>
        <v>636.366536</v>
      </c>
      <c r="J147" s="197">
        <f t="shared" si="405"/>
        <v>1210.5970359999999</v>
      </c>
      <c r="K147" s="197">
        <f t="shared" si="344"/>
        <v>277.3949640000003</v>
      </c>
      <c r="L147" s="197">
        <f t="shared" si="345"/>
        <v>453.34496400000035</v>
      </c>
      <c r="M147" s="196">
        <f t="shared" si="346"/>
        <v>1045.4434418474152</v>
      </c>
      <c r="N147" s="197">
        <f t="shared" si="347"/>
        <v>123.62013612509521</v>
      </c>
      <c r="O147" s="197">
        <f t="shared" si="348"/>
        <v>850.54941962464784</v>
      </c>
      <c r="P147" s="197">
        <f t="shared" si="349"/>
        <v>194.8940222227674</v>
      </c>
      <c r="Q147" s="197">
        <f t="shared" si="350"/>
        <v>318.51415834786269</v>
      </c>
      <c r="R147" s="196">
        <f t="shared" si="351"/>
        <v>12551.70595381461</v>
      </c>
      <c r="S147" s="197">
        <f t="shared" si="351"/>
        <v>1484.1965968726179</v>
      </c>
      <c r="T147" s="197">
        <f t="shared" si="351"/>
        <v>10211.787445383789</v>
      </c>
      <c r="U147" s="197">
        <f t="shared" si="351"/>
        <v>2339.9185084308197</v>
      </c>
      <c r="V147" s="199">
        <f t="shared" si="351"/>
        <v>3824.1151053034373</v>
      </c>
      <c r="Z147" s="900">
        <v>10</v>
      </c>
      <c r="AA147" s="911">
        <f>'Arable Inputs'!$H$18*$AC$134</f>
        <v>12.21</v>
      </c>
      <c r="AB147" s="760">
        <f>'Arable Inputs'!$H$25</f>
        <v>182.8</v>
      </c>
      <c r="AC147" s="762">
        <f t="shared" si="352"/>
        <v>2231.9880000000003</v>
      </c>
      <c r="AD147" s="197">
        <f>'Arable NPV'!$D126</f>
        <v>175.95</v>
      </c>
      <c r="AE147" s="197">
        <f t="shared" si="406"/>
        <v>2407.9380000000001</v>
      </c>
      <c r="AF147" s="197">
        <f>'Arable NPV'!$F126</f>
        <v>574.23049999999989</v>
      </c>
      <c r="AG147" s="197">
        <f>'Arable NPV'!$G126</f>
        <v>636.366536</v>
      </c>
      <c r="AH147" s="197">
        <f t="shared" si="407"/>
        <v>1210.5970359999999</v>
      </c>
      <c r="AI147" s="197">
        <f t="shared" si="353"/>
        <v>1021.3909640000004</v>
      </c>
      <c r="AJ147" s="197">
        <f t="shared" si="354"/>
        <v>1197.3409640000002</v>
      </c>
      <c r="AK147" s="196">
        <f t="shared" si="355"/>
        <v>1568.1651627711228</v>
      </c>
      <c r="AL147" s="197">
        <f t="shared" si="356"/>
        <v>123.62013612509521</v>
      </c>
      <c r="AM147" s="197">
        <f t="shared" si="357"/>
        <v>850.54941962464784</v>
      </c>
      <c r="AN147" s="197">
        <f t="shared" si="358"/>
        <v>717.6157431464751</v>
      </c>
      <c r="AO147" s="197">
        <f t="shared" si="359"/>
        <v>841.23587927157018</v>
      </c>
      <c r="AP147" s="196">
        <f t="shared" si="360"/>
        <v>18827.558930721912</v>
      </c>
      <c r="AQ147" s="197">
        <f t="shared" si="361"/>
        <v>1484.1965968726179</v>
      </c>
      <c r="AR147" s="197">
        <f t="shared" si="362"/>
        <v>10211.787445383789</v>
      </c>
      <c r="AS147" s="197">
        <f t="shared" si="363"/>
        <v>8615.771485338124</v>
      </c>
      <c r="AT147" s="199">
        <f t="shared" si="364"/>
        <v>10099.96808221074</v>
      </c>
      <c r="AX147" s="900">
        <v>10</v>
      </c>
      <c r="AY147" s="911">
        <f>'Arable Inputs'!$H$18*$BA$134</f>
        <v>4.07</v>
      </c>
      <c r="AZ147" s="760">
        <f>'Arable Inputs'!$H$25</f>
        <v>182.8</v>
      </c>
      <c r="BA147" s="762">
        <f t="shared" si="365"/>
        <v>743.99600000000009</v>
      </c>
      <c r="BB147" s="197">
        <f>'Arable NPV'!$D126</f>
        <v>175.95</v>
      </c>
      <c r="BC147" s="197">
        <f t="shared" si="408"/>
        <v>919.94600000000014</v>
      </c>
      <c r="BD147" s="197">
        <f>'Arable NPV'!$F126</f>
        <v>574.23049999999989</v>
      </c>
      <c r="BE147" s="197">
        <f>'Arable NPV'!$G126</f>
        <v>636.366536</v>
      </c>
      <c r="BF147" s="197">
        <f t="shared" si="409"/>
        <v>1210.5970359999999</v>
      </c>
      <c r="BG147" s="197">
        <f t="shared" si="366"/>
        <v>-466.60103599999979</v>
      </c>
      <c r="BH147" s="197">
        <f t="shared" si="367"/>
        <v>-290.65103599999975</v>
      </c>
      <c r="BI147" s="196">
        <f t="shared" si="368"/>
        <v>522.72172092370761</v>
      </c>
      <c r="BJ147" s="197">
        <f t="shared" si="369"/>
        <v>123.62013612509521</v>
      </c>
      <c r="BK147" s="197">
        <f t="shared" si="370"/>
        <v>850.54941962464784</v>
      </c>
      <c r="BL147" s="197">
        <f t="shared" si="371"/>
        <v>-327.82769870094023</v>
      </c>
      <c r="BM147" s="197">
        <f t="shared" si="372"/>
        <v>-204.20756257584497</v>
      </c>
      <c r="BN147" s="196">
        <f t="shared" si="373"/>
        <v>6275.8529769073048</v>
      </c>
      <c r="BO147" s="197">
        <f t="shared" si="374"/>
        <v>1484.1965968726179</v>
      </c>
      <c r="BP147" s="197">
        <f t="shared" si="375"/>
        <v>10211.787445383789</v>
      </c>
      <c r="BQ147" s="197">
        <f t="shared" si="376"/>
        <v>-3935.9344684764847</v>
      </c>
      <c r="BR147" s="199">
        <f t="shared" si="377"/>
        <v>-2451.7378716038666</v>
      </c>
      <c r="BV147" s="900">
        <v>10</v>
      </c>
      <c r="BW147" s="911">
        <f>'Arable Inputs'!$H$18*$BY$134</f>
        <v>16.28</v>
      </c>
      <c r="BX147" s="760">
        <f>'Arable Inputs'!$H$25</f>
        <v>182.8</v>
      </c>
      <c r="BY147" s="762">
        <f t="shared" si="378"/>
        <v>2975.9840000000004</v>
      </c>
      <c r="BZ147" s="197">
        <f>'Arable NPV'!$D126</f>
        <v>175.95</v>
      </c>
      <c r="CA147" s="197">
        <f t="shared" si="410"/>
        <v>3151.9340000000002</v>
      </c>
      <c r="CB147" s="197">
        <f>'Arable NPV'!$F126</f>
        <v>574.23049999999989</v>
      </c>
      <c r="CC147" s="197">
        <f>'Arable NPV'!$G126</f>
        <v>636.366536</v>
      </c>
      <c r="CD147" s="197">
        <f t="shared" si="411"/>
        <v>1210.5970359999999</v>
      </c>
      <c r="CE147" s="197">
        <f t="shared" si="379"/>
        <v>1765.3869640000005</v>
      </c>
      <c r="CF147" s="197">
        <f t="shared" si="380"/>
        <v>1941.3369640000003</v>
      </c>
      <c r="CG147" s="196">
        <f t="shared" si="381"/>
        <v>2090.8868836948304</v>
      </c>
      <c r="CH147" s="197">
        <f t="shared" si="382"/>
        <v>123.62013612509521</v>
      </c>
      <c r="CI147" s="197">
        <f t="shared" si="383"/>
        <v>850.54941962464784</v>
      </c>
      <c r="CJ147" s="197">
        <f t="shared" si="384"/>
        <v>1240.3374640701827</v>
      </c>
      <c r="CK147" s="197">
        <f t="shared" si="385"/>
        <v>1363.9576001952778</v>
      </c>
      <c r="CL147" s="196">
        <f t="shared" si="386"/>
        <v>25103.411907629219</v>
      </c>
      <c r="CM147" s="197">
        <f t="shared" si="387"/>
        <v>1484.1965968726179</v>
      </c>
      <c r="CN147" s="197">
        <f t="shared" si="388"/>
        <v>10211.787445383789</v>
      </c>
      <c r="CO147" s="197">
        <f t="shared" si="389"/>
        <v>14891.624462245431</v>
      </c>
      <c r="CP147" s="199">
        <f t="shared" si="390"/>
        <v>16375.821059118043</v>
      </c>
      <c r="CT147" s="900">
        <v>10</v>
      </c>
      <c r="CU147" s="911">
        <f>'Arable Inputs'!$H$18*$CW$134</f>
        <v>0</v>
      </c>
      <c r="CV147" s="760">
        <f>'Arable Inputs'!$H$25</f>
        <v>182.8</v>
      </c>
      <c r="CW147" s="762">
        <f t="shared" si="391"/>
        <v>0</v>
      </c>
      <c r="CX147" s="197">
        <f>'Arable NPV'!$D126</f>
        <v>175.95</v>
      </c>
      <c r="CY147" s="197">
        <f t="shared" si="412"/>
        <v>175.95</v>
      </c>
      <c r="CZ147" s="197">
        <f>'Arable NPV'!$F126</f>
        <v>574.23049999999989</v>
      </c>
      <c r="DA147" s="197">
        <f>'Arable NPV'!$G126</f>
        <v>636.366536</v>
      </c>
      <c r="DB147" s="197">
        <f t="shared" si="413"/>
        <v>1210.5970359999999</v>
      </c>
      <c r="DC147" s="197">
        <f t="shared" si="392"/>
        <v>-1210.5970359999999</v>
      </c>
      <c r="DD147" s="197">
        <f t="shared" si="393"/>
        <v>-1034.6470359999998</v>
      </c>
      <c r="DE147" s="196">
        <f t="shared" si="394"/>
        <v>0</v>
      </c>
      <c r="DF147" s="197">
        <f t="shared" si="395"/>
        <v>123.62013612509521</v>
      </c>
      <c r="DG147" s="197">
        <f t="shared" si="396"/>
        <v>850.54941962464784</v>
      </c>
      <c r="DH147" s="197">
        <f t="shared" si="397"/>
        <v>-850.54941962464784</v>
      </c>
      <c r="DI147" s="197">
        <f t="shared" si="398"/>
        <v>-726.92928349955264</v>
      </c>
      <c r="DJ147" s="196">
        <f t="shared" si="399"/>
        <v>0</v>
      </c>
      <c r="DK147" s="197">
        <f t="shared" si="400"/>
        <v>1484.1965968726179</v>
      </c>
      <c r="DL147" s="197">
        <f t="shared" si="401"/>
        <v>10211.787445383789</v>
      </c>
      <c r="DM147" s="197">
        <f t="shared" si="402"/>
        <v>-10211.787445383789</v>
      </c>
      <c r="DN147" s="199">
        <f t="shared" si="403"/>
        <v>-8727.5908485111722</v>
      </c>
    </row>
    <row r="148" spans="2:118" x14ac:dyDescent="0.3">
      <c r="B148" s="900">
        <v>11</v>
      </c>
      <c r="C148" s="911">
        <f>'Arable Inputs'!$H$18*$E$134</f>
        <v>8.14</v>
      </c>
      <c r="D148" s="760">
        <f>'Arable Inputs'!$H$25</f>
        <v>182.8</v>
      </c>
      <c r="E148" s="762">
        <f t="shared" si="343"/>
        <v>1487.9920000000002</v>
      </c>
      <c r="F148" s="197">
        <f>'Arable NPV'!$D127</f>
        <v>175.95</v>
      </c>
      <c r="G148" s="197">
        <f t="shared" si="404"/>
        <v>1663.9420000000002</v>
      </c>
      <c r="H148" s="197">
        <f>'Arable NPV'!$F127</f>
        <v>574.23049999999989</v>
      </c>
      <c r="I148" s="197">
        <f>'Arable NPV'!$G127</f>
        <v>636.366536</v>
      </c>
      <c r="J148" s="197">
        <f t="shared" si="405"/>
        <v>1210.5970359999999</v>
      </c>
      <c r="K148" s="197">
        <f t="shared" si="344"/>
        <v>277.3949640000003</v>
      </c>
      <c r="L148" s="197">
        <f t="shared" si="345"/>
        <v>453.34496400000035</v>
      </c>
      <c r="M148" s="196">
        <f t="shared" si="346"/>
        <v>1005.2340786994378</v>
      </c>
      <c r="N148" s="197">
        <f t="shared" si="347"/>
        <v>118.86551550489925</v>
      </c>
      <c r="O148" s="197">
        <f t="shared" si="348"/>
        <v>817.83598040831521</v>
      </c>
      <c r="P148" s="197">
        <f t="shared" si="349"/>
        <v>187.39809829112252</v>
      </c>
      <c r="Q148" s="197">
        <f t="shared" si="350"/>
        <v>306.26361379602179</v>
      </c>
      <c r="R148" s="196">
        <f t="shared" si="351"/>
        <v>13556.940032514047</v>
      </c>
      <c r="S148" s="197">
        <f t="shared" si="351"/>
        <v>1603.0621123775172</v>
      </c>
      <c r="T148" s="197">
        <f t="shared" si="351"/>
        <v>11029.623425792104</v>
      </c>
      <c r="U148" s="197">
        <f t="shared" si="351"/>
        <v>2527.3166067219422</v>
      </c>
      <c r="V148" s="199">
        <f t="shared" si="351"/>
        <v>4130.378719099459</v>
      </c>
      <c r="Z148" s="900">
        <v>11</v>
      </c>
      <c r="AA148" s="911">
        <f>'Arable Inputs'!$H$18*$AC$134</f>
        <v>12.21</v>
      </c>
      <c r="AB148" s="760">
        <f>'Arable Inputs'!$H$25</f>
        <v>182.8</v>
      </c>
      <c r="AC148" s="762">
        <f t="shared" si="352"/>
        <v>2231.9880000000003</v>
      </c>
      <c r="AD148" s="197">
        <f>'Arable NPV'!$D127</f>
        <v>175.95</v>
      </c>
      <c r="AE148" s="197">
        <f t="shared" si="406"/>
        <v>2407.9380000000001</v>
      </c>
      <c r="AF148" s="197">
        <f>'Arable NPV'!$F127</f>
        <v>574.23049999999989</v>
      </c>
      <c r="AG148" s="197">
        <f>'Arable NPV'!$G127</f>
        <v>636.366536</v>
      </c>
      <c r="AH148" s="197">
        <f t="shared" si="407"/>
        <v>1210.5970359999999</v>
      </c>
      <c r="AI148" s="197">
        <f t="shared" si="353"/>
        <v>1021.3909640000004</v>
      </c>
      <c r="AJ148" s="197">
        <f t="shared" si="354"/>
        <v>1197.3409640000002</v>
      </c>
      <c r="AK148" s="196">
        <f t="shared" si="355"/>
        <v>1507.8511180491566</v>
      </c>
      <c r="AL148" s="197">
        <f t="shared" si="356"/>
        <v>118.86551550489925</v>
      </c>
      <c r="AM148" s="197">
        <f t="shared" si="357"/>
        <v>817.83598040831521</v>
      </c>
      <c r="AN148" s="197">
        <f t="shared" si="358"/>
        <v>690.01513764084143</v>
      </c>
      <c r="AO148" s="197">
        <f t="shared" si="359"/>
        <v>808.88065314574055</v>
      </c>
      <c r="AP148" s="196">
        <f t="shared" si="360"/>
        <v>20335.410048771068</v>
      </c>
      <c r="AQ148" s="197">
        <f t="shared" si="361"/>
        <v>1603.0621123775172</v>
      </c>
      <c r="AR148" s="197">
        <f t="shared" si="362"/>
        <v>11029.623425792104</v>
      </c>
      <c r="AS148" s="197">
        <f t="shared" si="363"/>
        <v>9305.7866229789652</v>
      </c>
      <c r="AT148" s="199">
        <f t="shared" si="364"/>
        <v>10908.848735356481</v>
      </c>
      <c r="AX148" s="900">
        <v>11</v>
      </c>
      <c r="AY148" s="911">
        <f>'Arable Inputs'!$H$18*$BA$134</f>
        <v>4.07</v>
      </c>
      <c r="AZ148" s="760">
        <f>'Arable Inputs'!$H$25</f>
        <v>182.8</v>
      </c>
      <c r="BA148" s="762">
        <f t="shared" si="365"/>
        <v>743.99600000000009</v>
      </c>
      <c r="BB148" s="197">
        <f>'Arable NPV'!$D127</f>
        <v>175.95</v>
      </c>
      <c r="BC148" s="197">
        <f t="shared" si="408"/>
        <v>919.94600000000014</v>
      </c>
      <c r="BD148" s="197">
        <f>'Arable NPV'!$F127</f>
        <v>574.23049999999989</v>
      </c>
      <c r="BE148" s="197">
        <f>'Arable NPV'!$G127</f>
        <v>636.366536</v>
      </c>
      <c r="BF148" s="197">
        <f t="shared" si="409"/>
        <v>1210.5970359999999</v>
      </c>
      <c r="BG148" s="197">
        <f t="shared" si="366"/>
        <v>-466.60103599999979</v>
      </c>
      <c r="BH148" s="197">
        <f t="shared" si="367"/>
        <v>-290.65103599999975</v>
      </c>
      <c r="BI148" s="196">
        <f t="shared" si="368"/>
        <v>502.61703934971888</v>
      </c>
      <c r="BJ148" s="197">
        <f t="shared" si="369"/>
        <v>118.86551550489925</v>
      </c>
      <c r="BK148" s="197">
        <f t="shared" si="370"/>
        <v>817.83598040831521</v>
      </c>
      <c r="BL148" s="197">
        <f t="shared" si="371"/>
        <v>-315.21894105859639</v>
      </c>
      <c r="BM148" s="197">
        <f t="shared" si="372"/>
        <v>-196.35342555369709</v>
      </c>
      <c r="BN148" s="196">
        <f t="shared" si="373"/>
        <v>6778.4700162570234</v>
      </c>
      <c r="BO148" s="197">
        <f t="shared" si="374"/>
        <v>1603.0621123775172</v>
      </c>
      <c r="BP148" s="197">
        <f t="shared" si="375"/>
        <v>11029.623425792104</v>
      </c>
      <c r="BQ148" s="197">
        <f t="shared" si="376"/>
        <v>-4251.1534095350808</v>
      </c>
      <c r="BR148" s="199">
        <f t="shared" si="377"/>
        <v>-2648.0912971575635</v>
      </c>
      <c r="BV148" s="900">
        <v>11</v>
      </c>
      <c r="BW148" s="911">
        <f>'Arable Inputs'!$H$18*$BY$134</f>
        <v>16.28</v>
      </c>
      <c r="BX148" s="760">
        <f>'Arable Inputs'!$H$25</f>
        <v>182.8</v>
      </c>
      <c r="BY148" s="762">
        <f t="shared" si="378"/>
        <v>2975.9840000000004</v>
      </c>
      <c r="BZ148" s="197">
        <f>'Arable NPV'!$D127</f>
        <v>175.95</v>
      </c>
      <c r="CA148" s="197">
        <f t="shared" si="410"/>
        <v>3151.9340000000002</v>
      </c>
      <c r="CB148" s="197">
        <f>'Arable NPV'!$F127</f>
        <v>574.23049999999989</v>
      </c>
      <c r="CC148" s="197">
        <f>'Arable NPV'!$G127</f>
        <v>636.366536</v>
      </c>
      <c r="CD148" s="197">
        <f t="shared" si="411"/>
        <v>1210.5970359999999</v>
      </c>
      <c r="CE148" s="197">
        <f t="shared" si="379"/>
        <v>1765.3869640000005</v>
      </c>
      <c r="CF148" s="197">
        <f t="shared" si="380"/>
        <v>1941.3369640000003</v>
      </c>
      <c r="CG148" s="196">
        <f t="shared" si="381"/>
        <v>2010.4681573988755</v>
      </c>
      <c r="CH148" s="197">
        <f t="shared" si="382"/>
        <v>118.86551550489925</v>
      </c>
      <c r="CI148" s="197">
        <f t="shared" si="383"/>
        <v>817.83598040831521</v>
      </c>
      <c r="CJ148" s="197">
        <f t="shared" si="384"/>
        <v>1192.6321769905603</v>
      </c>
      <c r="CK148" s="197">
        <f t="shared" si="385"/>
        <v>1311.4976924954594</v>
      </c>
      <c r="CL148" s="196">
        <f t="shared" si="386"/>
        <v>27113.880065028094</v>
      </c>
      <c r="CM148" s="197">
        <f t="shared" si="387"/>
        <v>1603.0621123775172</v>
      </c>
      <c r="CN148" s="197">
        <f t="shared" si="388"/>
        <v>11029.623425792104</v>
      </c>
      <c r="CO148" s="197">
        <f t="shared" si="389"/>
        <v>16084.256639235991</v>
      </c>
      <c r="CP148" s="199">
        <f t="shared" si="390"/>
        <v>17687.318751613504</v>
      </c>
      <c r="CT148" s="900">
        <v>11</v>
      </c>
      <c r="CU148" s="911">
        <f>'Arable Inputs'!$H$18*$CW$134</f>
        <v>0</v>
      </c>
      <c r="CV148" s="760">
        <f>'Arable Inputs'!$H$25</f>
        <v>182.8</v>
      </c>
      <c r="CW148" s="762">
        <f t="shared" si="391"/>
        <v>0</v>
      </c>
      <c r="CX148" s="197">
        <f>'Arable NPV'!$D127</f>
        <v>175.95</v>
      </c>
      <c r="CY148" s="197">
        <f t="shared" si="412"/>
        <v>175.95</v>
      </c>
      <c r="CZ148" s="197">
        <f>'Arable NPV'!$F127</f>
        <v>574.23049999999989</v>
      </c>
      <c r="DA148" s="197">
        <f>'Arable NPV'!$G127</f>
        <v>636.366536</v>
      </c>
      <c r="DB148" s="197">
        <f t="shared" si="413"/>
        <v>1210.5970359999999</v>
      </c>
      <c r="DC148" s="197">
        <f t="shared" si="392"/>
        <v>-1210.5970359999999</v>
      </c>
      <c r="DD148" s="197">
        <f t="shared" si="393"/>
        <v>-1034.6470359999998</v>
      </c>
      <c r="DE148" s="196">
        <f t="shared" si="394"/>
        <v>0</v>
      </c>
      <c r="DF148" s="197">
        <f t="shared" si="395"/>
        <v>118.86551550489925</v>
      </c>
      <c r="DG148" s="197">
        <f t="shared" si="396"/>
        <v>817.83598040831521</v>
      </c>
      <c r="DH148" s="197">
        <f t="shared" si="397"/>
        <v>-817.83598040831521</v>
      </c>
      <c r="DI148" s="197">
        <f t="shared" si="398"/>
        <v>-698.97046490341597</v>
      </c>
      <c r="DJ148" s="196">
        <f t="shared" si="399"/>
        <v>0</v>
      </c>
      <c r="DK148" s="197">
        <f t="shared" si="400"/>
        <v>1603.0621123775172</v>
      </c>
      <c r="DL148" s="197">
        <f t="shared" si="401"/>
        <v>11029.623425792104</v>
      </c>
      <c r="DM148" s="197">
        <f t="shared" si="402"/>
        <v>-11029.623425792104</v>
      </c>
      <c r="DN148" s="199">
        <f t="shared" si="403"/>
        <v>-9426.5613134145879</v>
      </c>
    </row>
    <row r="149" spans="2:118" x14ac:dyDescent="0.3">
      <c r="B149" s="900">
        <v>12</v>
      </c>
      <c r="C149" s="911">
        <f>'Arable Inputs'!$H$18*$E$134</f>
        <v>8.14</v>
      </c>
      <c r="D149" s="760">
        <f>'Arable Inputs'!$H$25</f>
        <v>182.8</v>
      </c>
      <c r="E149" s="762">
        <f t="shared" si="343"/>
        <v>1487.9920000000002</v>
      </c>
      <c r="F149" s="197">
        <f>'Arable NPV'!$D128</f>
        <v>175.95</v>
      </c>
      <c r="G149" s="197">
        <f t="shared" si="404"/>
        <v>1663.9420000000002</v>
      </c>
      <c r="H149" s="197">
        <f>'Arable NPV'!$F128</f>
        <v>574.23049999999989</v>
      </c>
      <c r="I149" s="197">
        <f>'Arable NPV'!$G128</f>
        <v>636.366536</v>
      </c>
      <c r="J149" s="197">
        <f t="shared" si="405"/>
        <v>1210.5970359999999</v>
      </c>
      <c r="K149" s="197">
        <f t="shared" si="344"/>
        <v>277.3949640000003</v>
      </c>
      <c r="L149" s="197">
        <f t="shared" si="345"/>
        <v>453.34496400000035</v>
      </c>
      <c r="M149" s="196">
        <f t="shared" si="346"/>
        <v>966.57122951869019</v>
      </c>
      <c r="N149" s="197">
        <f t="shared" si="347"/>
        <v>114.29376490855698</v>
      </c>
      <c r="O149" s="197">
        <f t="shared" si="348"/>
        <v>786.38075039261093</v>
      </c>
      <c r="P149" s="197">
        <f t="shared" si="349"/>
        <v>180.19047912607937</v>
      </c>
      <c r="Q149" s="197">
        <f t="shared" si="350"/>
        <v>294.48424403463639</v>
      </c>
      <c r="R149" s="196">
        <f t="shared" si="351"/>
        <v>14523.511262032736</v>
      </c>
      <c r="S149" s="197">
        <f t="shared" si="351"/>
        <v>1717.3558772860742</v>
      </c>
      <c r="T149" s="197">
        <f t="shared" si="351"/>
        <v>11816.004176184715</v>
      </c>
      <c r="U149" s="197">
        <f t="shared" si="351"/>
        <v>2707.5070858480217</v>
      </c>
      <c r="V149" s="199">
        <f t="shared" si="351"/>
        <v>4424.8629631340955</v>
      </c>
      <c r="Z149" s="900">
        <v>12</v>
      </c>
      <c r="AA149" s="911">
        <f>'Arable Inputs'!$H$18*$AC$134</f>
        <v>12.21</v>
      </c>
      <c r="AB149" s="760">
        <f>'Arable Inputs'!$H$25</f>
        <v>182.8</v>
      </c>
      <c r="AC149" s="762">
        <f t="shared" si="352"/>
        <v>2231.9880000000003</v>
      </c>
      <c r="AD149" s="197">
        <f>'Arable NPV'!$D128</f>
        <v>175.95</v>
      </c>
      <c r="AE149" s="197">
        <f t="shared" si="406"/>
        <v>2407.9380000000001</v>
      </c>
      <c r="AF149" s="197">
        <f>'Arable NPV'!$F128</f>
        <v>574.23049999999989</v>
      </c>
      <c r="AG149" s="197">
        <f>'Arable NPV'!$G128</f>
        <v>636.366536</v>
      </c>
      <c r="AH149" s="197">
        <f t="shared" si="407"/>
        <v>1210.5970359999999</v>
      </c>
      <c r="AI149" s="197">
        <f t="shared" si="353"/>
        <v>1021.3909640000004</v>
      </c>
      <c r="AJ149" s="197">
        <f t="shared" si="354"/>
        <v>1197.3409640000002</v>
      </c>
      <c r="AK149" s="196">
        <f t="shared" si="355"/>
        <v>1449.8568442780354</v>
      </c>
      <c r="AL149" s="197">
        <f t="shared" si="356"/>
        <v>114.29376490855698</v>
      </c>
      <c r="AM149" s="197">
        <f t="shared" si="357"/>
        <v>786.38075039261093</v>
      </c>
      <c r="AN149" s="197">
        <f t="shared" si="358"/>
        <v>663.47609388542446</v>
      </c>
      <c r="AO149" s="197">
        <f t="shared" si="359"/>
        <v>777.76985879398137</v>
      </c>
      <c r="AP149" s="196">
        <f t="shared" si="360"/>
        <v>21785.266893049102</v>
      </c>
      <c r="AQ149" s="197">
        <f t="shared" si="361"/>
        <v>1717.3558772860742</v>
      </c>
      <c r="AR149" s="197">
        <f t="shared" si="362"/>
        <v>11816.004176184715</v>
      </c>
      <c r="AS149" s="197">
        <f t="shared" si="363"/>
        <v>9969.2627168643903</v>
      </c>
      <c r="AT149" s="199">
        <f t="shared" si="364"/>
        <v>11686.618594150463</v>
      </c>
      <c r="AX149" s="900">
        <v>12</v>
      </c>
      <c r="AY149" s="911">
        <f>'Arable Inputs'!$H$18*$BA$134</f>
        <v>4.07</v>
      </c>
      <c r="AZ149" s="760">
        <f>'Arable Inputs'!$H$25</f>
        <v>182.8</v>
      </c>
      <c r="BA149" s="762">
        <f t="shared" si="365"/>
        <v>743.99600000000009</v>
      </c>
      <c r="BB149" s="197">
        <f>'Arable NPV'!$D128</f>
        <v>175.95</v>
      </c>
      <c r="BC149" s="197">
        <f t="shared" si="408"/>
        <v>919.94600000000014</v>
      </c>
      <c r="BD149" s="197">
        <f>'Arable NPV'!$F128</f>
        <v>574.23049999999989</v>
      </c>
      <c r="BE149" s="197">
        <f>'Arable NPV'!$G128</f>
        <v>636.366536</v>
      </c>
      <c r="BF149" s="197">
        <f t="shared" si="409"/>
        <v>1210.5970359999999</v>
      </c>
      <c r="BG149" s="197">
        <f t="shared" si="366"/>
        <v>-466.60103599999979</v>
      </c>
      <c r="BH149" s="197">
        <f t="shared" si="367"/>
        <v>-290.65103599999975</v>
      </c>
      <c r="BI149" s="196">
        <f t="shared" si="368"/>
        <v>483.28561475934509</v>
      </c>
      <c r="BJ149" s="197">
        <f t="shared" si="369"/>
        <v>114.29376490855698</v>
      </c>
      <c r="BK149" s="197">
        <f t="shared" si="370"/>
        <v>786.38075039261093</v>
      </c>
      <c r="BL149" s="197">
        <f t="shared" si="371"/>
        <v>-303.09513563326578</v>
      </c>
      <c r="BM149" s="197">
        <f t="shared" si="372"/>
        <v>-188.80137072470876</v>
      </c>
      <c r="BN149" s="196">
        <f t="shared" si="373"/>
        <v>7261.7556310163682</v>
      </c>
      <c r="BO149" s="197">
        <f t="shared" si="374"/>
        <v>1717.3558772860742</v>
      </c>
      <c r="BP149" s="197">
        <f t="shared" si="375"/>
        <v>11816.004176184715</v>
      </c>
      <c r="BQ149" s="197">
        <f t="shared" si="376"/>
        <v>-4554.2485451683469</v>
      </c>
      <c r="BR149" s="199">
        <f t="shared" si="377"/>
        <v>-2836.8926678822722</v>
      </c>
      <c r="BV149" s="900">
        <v>12</v>
      </c>
      <c r="BW149" s="911">
        <f>'Arable Inputs'!$H$18*$BY$134</f>
        <v>16.28</v>
      </c>
      <c r="BX149" s="760">
        <f>'Arable Inputs'!$H$25</f>
        <v>182.8</v>
      </c>
      <c r="BY149" s="762">
        <f t="shared" si="378"/>
        <v>2975.9840000000004</v>
      </c>
      <c r="BZ149" s="197">
        <f>'Arable NPV'!$D128</f>
        <v>175.95</v>
      </c>
      <c r="CA149" s="197">
        <f t="shared" si="410"/>
        <v>3151.9340000000002</v>
      </c>
      <c r="CB149" s="197">
        <f>'Arable NPV'!$F128</f>
        <v>574.23049999999989</v>
      </c>
      <c r="CC149" s="197">
        <f>'Arable NPV'!$G128</f>
        <v>636.366536</v>
      </c>
      <c r="CD149" s="197">
        <f t="shared" si="411"/>
        <v>1210.5970359999999</v>
      </c>
      <c r="CE149" s="197">
        <f t="shared" si="379"/>
        <v>1765.3869640000005</v>
      </c>
      <c r="CF149" s="197">
        <f t="shared" si="380"/>
        <v>1941.3369640000003</v>
      </c>
      <c r="CG149" s="196">
        <f t="shared" si="381"/>
        <v>1933.1424590373804</v>
      </c>
      <c r="CH149" s="197">
        <f t="shared" si="382"/>
        <v>114.29376490855698</v>
      </c>
      <c r="CI149" s="197">
        <f t="shared" si="383"/>
        <v>786.38075039261093</v>
      </c>
      <c r="CJ149" s="197">
        <f t="shared" si="384"/>
        <v>1146.7617086447697</v>
      </c>
      <c r="CK149" s="197">
        <f t="shared" si="385"/>
        <v>1261.0554735533265</v>
      </c>
      <c r="CL149" s="196">
        <f t="shared" si="386"/>
        <v>29047.022524065473</v>
      </c>
      <c r="CM149" s="197">
        <f t="shared" si="387"/>
        <v>1717.3558772860742</v>
      </c>
      <c r="CN149" s="197">
        <f t="shared" si="388"/>
        <v>11816.004176184715</v>
      </c>
      <c r="CO149" s="197">
        <f t="shared" si="389"/>
        <v>17231.018347880759</v>
      </c>
      <c r="CP149" s="199">
        <f t="shared" si="390"/>
        <v>18948.37422516683</v>
      </c>
      <c r="CT149" s="900">
        <v>12</v>
      </c>
      <c r="CU149" s="911">
        <f>'Arable Inputs'!$H$18*$CW$134</f>
        <v>0</v>
      </c>
      <c r="CV149" s="760">
        <f>'Arable Inputs'!$H$25</f>
        <v>182.8</v>
      </c>
      <c r="CW149" s="762">
        <f t="shared" si="391"/>
        <v>0</v>
      </c>
      <c r="CX149" s="197">
        <f>'Arable NPV'!$D128</f>
        <v>175.95</v>
      </c>
      <c r="CY149" s="197">
        <f t="shared" si="412"/>
        <v>175.95</v>
      </c>
      <c r="CZ149" s="197">
        <f>'Arable NPV'!$F128</f>
        <v>574.23049999999989</v>
      </c>
      <c r="DA149" s="197">
        <f>'Arable NPV'!$G128</f>
        <v>636.366536</v>
      </c>
      <c r="DB149" s="197">
        <f t="shared" si="413"/>
        <v>1210.5970359999999</v>
      </c>
      <c r="DC149" s="197">
        <f t="shared" si="392"/>
        <v>-1210.5970359999999</v>
      </c>
      <c r="DD149" s="197">
        <f t="shared" si="393"/>
        <v>-1034.6470359999998</v>
      </c>
      <c r="DE149" s="196">
        <f t="shared" si="394"/>
        <v>0</v>
      </c>
      <c r="DF149" s="197">
        <f t="shared" si="395"/>
        <v>114.29376490855698</v>
      </c>
      <c r="DG149" s="197">
        <f t="shared" si="396"/>
        <v>786.38075039261093</v>
      </c>
      <c r="DH149" s="197">
        <f t="shared" si="397"/>
        <v>-786.38075039261093</v>
      </c>
      <c r="DI149" s="197">
        <f t="shared" si="398"/>
        <v>-672.08698548405391</v>
      </c>
      <c r="DJ149" s="196">
        <f t="shared" si="399"/>
        <v>0</v>
      </c>
      <c r="DK149" s="197">
        <f t="shared" si="400"/>
        <v>1717.3558772860742</v>
      </c>
      <c r="DL149" s="197">
        <f t="shared" si="401"/>
        <v>11816.004176184715</v>
      </c>
      <c r="DM149" s="197">
        <f t="shared" si="402"/>
        <v>-11816.004176184715</v>
      </c>
      <c r="DN149" s="199">
        <f t="shared" si="403"/>
        <v>-10098.648298898643</v>
      </c>
    </row>
    <row r="150" spans="2:118" x14ac:dyDescent="0.3">
      <c r="B150" s="900">
        <v>13</v>
      </c>
      <c r="C150" s="911">
        <f>'Arable Inputs'!$H$18*$E$134</f>
        <v>8.14</v>
      </c>
      <c r="D150" s="760">
        <f>'Arable Inputs'!$H$25</f>
        <v>182.8</v>
      </c>
      <c r="E150" s="762">
        <f t="shared" si="343"/>
        <v>1487.9920000000002</v>
      </c>
      <c r="F150" s="197">
        <f>'Arable NPV'!$D129</f>
        <v>175.95</v>
      </c>
      <c r="G150" s="197">
        <f t="shared" si="404"/>
        <v>1663.9420000000002</v>
      </c>
      <c r="H150" s="197">
        <f>'Arable NPV'!$F129</f>
        <v>574.23049999999989</v>
      </c>
      <c r="I150" s="197">
        <f>'Arable NPV'!$G129</f>
        <v>636.366536</v>
      </c>
      <c r="J150" s="197">
        <f t="shared" si="405"/>
        <v>1210.5970359999999</v>
      </c>
      <c r="K150" s="197">
        <f t="shared" si="344"/>
        <v>277.3949640000003</v>
      </c>
      <c r="L150" s="197">
        <f t="shared" si="345"/>
        <v>453.34496400000035</v>
      </c>
      <c r="M150" s="196">
        <f t="shared" si="346"/>
        <v>929.39541299874043</v>
      </c>
      <c r="N150" s="197">
        <f t="shared" si="347"/>
        <v>109.89785087361246</v>
      </c>
      <c r="O150" s="197">
        <f t="shared" si="348"/>
        <v>756.13533691597183</v>
      </c>
      <c r="P150" s="197">
        <f t="shared" si="349"/>
        <v>173.26007608276856</v>
      </c>
      <c r="Q150" s="197">
        <f t="shared" si="350"/>
        <v>283.15792695638106</v>
      </c>
      <c r="R150" s="196">
        <f t="shared" si="351"/>
        <v>15452.906675031476</v>
      </c>
      <c r="S150" s="197">
        <f t="shared" si="351"/>
        <v>1827.2537281596867</v>
      </c>
      <c r="T150" s="197">
        <f t="shared" si="351"/>
        <v>12572.139513100687</v>
      </c>
      <c r="U150" s="197">
        <f t="shared" si="351"/>
        <v>2880.7671619307903</v>
      </c>
      <c r="V150" s="199">
        <f t="shared" si="351"/>
        <v>4708.0208900904763</v>
      </c>
      <c r="Z150" s="900">
        <v>13</v>
      </c>
      <c r="AA150" s="911">
        <f>'Arable Inputs'!$H$18*$AC$134</f>
        <v>12.21</v>
      </c>
      <c r="AB150" s="760">
        <f>'Arable Inputs'!$H$25</f>
        <v>182.8</v>
      </c>
      <c r="AC150" s="762">
        <f t="shared" si="352"/>
        <v>2231.9880000000003</v>
      </c>
      <c r="AD150" s="197">
        <f>'Arable NPV'!$D129</f>
        <v>175.95</v>
      </c>
      <c r="AE150" s="197">
        <f t="shared" si="406"/>
        <v>2407.9380000000001</v>
      </c>
      <c r="AF150" s="197">
        <f>'Arable NPV'!$F129</f>
        <v>574.23049999999989</v>
      </c>
      <c r="AG150" s="197">
        <f>'Arable NPV'!$G129</f>
        <v>636.366536</v>
      </c>
      <c r="AH150" s="197">
        <f t="shared" si="407"/>
        <v>1210.5970359999999</v>
      </c>
      <c r="AI150" s="197">
        <f t="shared" si="353"/>
        <v>1021.3909640000004</v>
      </c>
      <c r="AJ150" s="197">
        <f t="shared" si="354"/>
        <v>1197.3409640000002</v>
      </c>
      <c r="AK150" s="196">
        <f t="shared" si="355"/>
        <v>1394.0931194981106</v>
      </c>
      <c r="AL150" s="197">
        <f t="shared" si="356"/>
        <v>109.89785087361246</v>
      </c>
      <c r="AM150" s="197">
        <f t="shared" si="357"/>
        <v>756.13533691597183</v>
      </c>
      <c r="AN150" s="197">
        <f t="shared" si="358"/>
        <v>637.95778258213875</v>
      </c>
      <c r="AO150" s="197">
        <f t="shared" si="359"/>
        <v>747.8556334557511</v>
      </c>
      <c r="AP150" s="196">
        <f t="shared" si="360"/>
        <v>23179.360012547211</v>
      </c>
      <c r="AQ150" s="197">
        <f t="shared" si="361"/>
        <v>1827.2537281596867</v>
      </c>
      <c r="AR150" s="197">
        <f t="shared" si="362"/>
        <v>12572.139513100687</v>
      </c>
      <c r="AS150" s="197">
        <f t="shared" si="363"/>
        <v>10607.220499446528</v>
      </c>
      <c r="AT150" s="199">
        <f t="shared" si="364"/>
        <v>12434.474227606213</v>
      </c>
      <c r="AX150" s="900">
        <v>13</v>
      </c>
      <c r="AY150" s="911">
        <f>'Arable Inputs'!$H$18*$BA$134</f>
        <v>4.07</v>
      </c>
      <c r="AZ150" s="760">
        <f>'Arable Inputs'!$H$25</f>
        <v>182.8</v>
      </c>
      <c r="BA150" s="762">
        <f t="shared" si="365"/>
        <v>743.99600000000009</v>
      </c>
      <c r="BB150" s="197">
        <f>'Arable NPV'!$D129</f>
        <v>175.95</v>
      </c>
      <c r="BC150" s="197">
        <f t="shared" si="408"/>
        <v>919.94600000000014</v>
      </c>
      <c r="BD150" s="197">
        <f>'Arable NPV'!$F129</f>
        <v>574.23049999999989</v>
      </c>
      <c r="BE150" s="197">
        <f>'Arable NPV'!$G129</f>
        <v>636.366536</v>
      </c>
      <c r="BF150" s="197">
        <f t="shared" si="409"/>
        <v>1210.5970359999999</v>
      </c>
      <c r="BG150" s="197">
        <f t="shared" si="366"/>
        <v>-466.60103599999979</v>
      </c>
      <c r="BH150" s="197">
        <f t="shared" si="367"/>
        <v>-290.65103599999975</v>
      </c>
      <c r="BI150" s="196">
        <f t="shared" si="368"/>
        <v>464.69770649937021</v>
      </c>
      <c r="BJ150" s="197">
        <f t="shared" si="369"/>
        <v>109.89785087361246</v>
      </c>
      <c r="BK150" s="197">
        <f t="shared" si="370"/>
        <v>756.13533691597183</v>
      </c>
      <c r="BL150" s="197">
        <f t="shared" si="371"/>
        <v>-291.43763041660162</v>
      </c>
      <c r="BM150" s="197">
        <f t="shared" si="372"/>
        <v>-181.53977954298915</v>
      </c>
      <c r="BN150" s="196">
        <f t="shared" si="373"/>
        <v>7726.453337515738</v>
      </c>
      <c r="BO150" s="197">
        <f t="shared" si="374"/>
        <v>1827.2537281596867</v>
      </c>
      <c r="BP150" s="197">
        <f t="shared" si="375"/>
        <v>12572.139513100687</v>
      </c>
      <c r="BQ150" s="197">
        <f t="shared" si="376"/>
        <v>-4845.6861755849486</v>
      </c>
      <c r="BR150" s="199">
        <f t="shared" si="377"/>
        <v>-3018.4324474252612</v>
      </c>
      <c r="BV150" s="900">
        <v>13</v>
      </c>
      <c r="BW150" s="911">
        <f>'Arable Inputs'!$H$18*$BY$134</f>
        <v>16.28</v>
      </c>
      <c r="BX150" s="760">
        <f>'Arable Inputs'!$H$25</f>
        <v>182.8</v>
      </c>
      <c r="BY150" s="762">
        <f t="shared" si="378"/>
        <v>2975.9840000000004</v>
      </c>
      <c r="BZ150" s="197">
        <f>'Arable NPV'!$D129</f>
        <v>175.95</v>
      </c>
      <c r="CA150" s="197">
        <f t="shared" si="410"/>
        <v>3151.9340000000002</v>
      </c>
      <c r="CB150" s="197">
        <f>'Arable NPV'!$F129</f>
        <v>574.23049999999989</v>
      </c>
      <c r="CC150" s="197">
        <f>'Arable NPV'!$G129</f>
        <v>636.366536</v>
      </c>
      <c r="CD150" s="197">
        <f t="shared" si="411"/>
        <v>1210.5970359999999</v>
      </c>
      <c r="CE150" s="197">
        <f t="shared" si="379"/>
        <v>1765.3869640000005</v>
      </c>
      <c r="CF150" s="197">
        <f t="shared" si="380"/>
        <v>1941.3369640000003</v>
      </c>
      <c r="CG150" s="196">
        <f t="shared" si="381"/>
        <v>1858.7908259974809</v>
      </c>
      <c r="CH150" s="197">
        <f t="shared" si="382"/>
        <v>109.89785087361246</v>
      </c>
      <c r="CI150" s="197">
        <f t="shared" si="383"/>
        <v>756.13533691597183</v>
      </c>
      <c r="CJ150" s="197">
        <f t="shared" si="384"/>
        <v>1102.6554890815089</v>
      </c>
      <c r="CK150" s="197">
        <f t="shared" si="385"/>
        <v>1212.5533399551214</v>
      </c>
      <c r="CL150" s="196">
        <f t="shared" si="386"/>
        <v>30905.813350062952</v>
      </c>
      <c r="CM150" s="197">
        <f t="shared" si="387"/>
        <v>1827.2537281596867</v>
      </c>
      <c r="CN150" s="197">
        <f t="shared" si="388"/>
        <v>12572.139513100687</v>
      </c>
      <c r="CO150" s="197">
        <f t="shared" si="389"/>
        <v>18333.673836962269</v>
      </c>
      <c r="CP150" s="199">
        <f t="shared" si="390"/>
        <v>20160.92756512195</v>
      </c>
      <c r="CT150" s="900">
        <v>13</v>
      </c>
      <c r="CU150" s="911">
        <f>'Arable Inputs'!$H$18*$CW$134</f>
        <v>0</v>
      </c>
      <c r="CV150" s="760">
        <f>'Arable Inputs'!$H$25</f>
        <v>182.8</v>
      </c>
      <c r="CW150" s="762">
        <f t="shared" si="391"/>
        <v>0</v>
      </c>
      <c r="CX150" s="197">
        <f>'Arable NPV'!$D129</f>
        <v>175.95</v>
      </c>
      <c r="CY150" s="197">
        <f t="shared" si="412"/>
        <v>175.95</v>
      </c>
      <c r="CZ150" s="197">
        <f>'Arable NPV'!$F129</f>
        <v>574.23049999999989</v>
      </c>
      <c r="DA150" s="197">
        <f>'Arable NPV'!$G129</f>
        <v>636.366536</v>
      </c>
      <c r="DB150" s="197">
        <f t="shared" si="413"/>
        <v>1210.5970359999999</v>
      </c>
      <c r="DC150" s="197">
        <f t="shared" si="392"/>
        <v>-1210.5970359999999</v>
      </c>
      <c r="DD150" s="197">
        <f t="shared" si="393"/>
        <v>-1034.6470359999998</v>
      </c>
      <c r="DE150" s="196">
        <f t="shared" si="394"/>
        <v>0</v>
      </c>
      <c r="DF150" s="197">
        <f t="shared" si="395"/>
        <v>109.89785087361246</v>
      </c>
      <c r="DG150" s="197">
        <f t="shared" si="396"/>
        <v>756.13533691597183</v>
      </c>
      <c r="DH150" s="197">
        <f t="shared" si="397"/>
        <v>-756.13533691597183</v>
      </c>
      <c r="DI150" s="197">
        <f t="shared" si="398"/>
        <v>-646.23748604235936</v>
      </c>
      <c r="DJ150" s="196">
        <f t="shared" si="399"/>
        <v>0</v>
      </c>
      <c r="DK150" s="197">
        <f t="shared" si="400"/>
        <v>1827.2537281596867</v>
      </c>
      <c r="DL150" s="197">
        <f t="shared" si="401"/>
        <v>12572.139513100687</v>
      </c>
      <c r="DM150" s="197">
        <f t="shared" si="402"/>
        <v>-12572.139513100687</v>
      </c>
      <c r="DN150" s="199">
        <f t="shared" si="403"/>
        <v>-10744.885784941001</v>
      </c>
    </row>
    <row r="151" spans="2:118" x14ac:dyDescent="0.3">
      <c r="B151" s="900">
        <v>14</v>
      </c>
      <c r="C151" s="911">
        <f>'Arable Inputs'!$H$18*$E$134</f>
        <v>8.14</v>
      </c>
      <c r="D151" s="760">
        <f>'Arable Inputs'!$H$25</f>
        <v>182.8</v>
      </c>
      <c r="E151" s="762">
        <f t="shared" si="343"/>
        <v>1487.9920000000002</v>
      </c>
      <c r="F151" s="197">
        <f>'Arable NPV'!$D130</f>
        <v>175.95</v>
      </c>
      <c r="G151" s="197">
        <f t="shared" si="404"/>
        <v>1663.9420000000002</v>
      </c>
      <c r="H151" s="197">
        <f>'Arable NPV'!$F130</f>
        <v>574.23049999999989</v>
      </c>
      <c r="I151" s="197">
        <f>'Arable NPV'!$G130</f>
        <v>636.366536</v>
      </c>
      <c r="J151" s="197">
        <f t="shared" si="405"/>
        <v>1210.5970359999999</v>
      </c>
      <c r="K151" s="197">
        <f t="shared" si="344"/>
        <v>277.3949640000003</v>
      </c>
      <c r="L151" s="197">
        <f t="shared" si="345"/>
        <v>453.34496400000035</v>
      </c>
      <c r="M151" s="196">
        <f t="shared" si="346"/>
        <v>893.64943557571189</v>
      </c>
      <c r="N151" s="197">
        <f t="shared" si="347"/>
        <v>105.67101045539658</v>
      </c>
      <c r="O151" s="197">
        <f t="shared" si="348"/>
        <v>727.0532085730498</v>
      </c>
      <c r="P151" s="197">
        <f t="shared" si="349"/>
        <v>166.59622700266209</v>
      </c>
      <c r="Q151" s="197">
        <f t="shared" si="350"/>
        <v>272.26723745805873</v>
      </c>
      <c r="R151" s="196">
        <f t="shared" si="351"/>
        <v>16346.556110607187</v>
      </c>
      <c r="S151" s="197">
        <f t="shared" si="351"/>
        <v>1932.9247386150832</v>
      </c>
      <c r="T151" s="197">
        <f t="shared" si="351"/>
        <v>13299.192721673737</v>
      </c>
      <c r="U151" s="197">
        <f t="shared" si="351"/>
        <v>3047.3633889334524</v>
      </c>
      <c r="V151" s="199">
        <f t="shared" si="351"/>
        <v>4980.2881275485352</v>
      </c>
      <c r="Z151" s="900">
        <v>14</v>
      </c>
      <c r="AA151" s="911">
        <f>'Arable Inputs'!$H$18*$AC$134</f>
        <v>12.21</v>
      </c>
      <c r="AB151" s="760">
        <f>'Arable Inputs'!$H$25</f>
        <v>182.8</v>
      </c>
      <c r="AC151" s="762">
        <f t="shared" si="352"/>
        <v>2231.9880000000003</v>
      </c>
      <c r="AD151" s="197">
        <f>'Arable NPV'!$D130</f>
        <v>175.95</v>
      </c>
      <c r="AE151" s="197">
        <f t="shared" si="406"/>
        <v>2407.9380000000001</v>
      </c>
      <c r="AF151" s="197">
        <f>'Arable NPV'!$F130</f>
        <v>574.23049999999989</v>
      </c>
      <c r="AG151" s="197">
        <f>'Arable NPV'!$G130</f>
        <v>636.366536</v>
      </c>
      <c r="AH151" s="197">
        <f t="shared" si="407"/>
        <v>1210.5970359999999</v>
      </c>
      <c r="AI151" s="197">
        <f t="shared" si="353"/>
        <v>1021.3909640000004</v>
      </c>
      <c r="AJ151" s="197">
        <f t="shared" si="354"/>
        <v>1197.3409640000002</v>
      </c>
      <c r="AK151" s="196">
        <f t="shared" si="355"/>
        <v>1340.4741533635679</v>
      </c>
      <c r="AL151" s="197">
        <f t="shared" si="356"/>
        <v>105.67101045539658</v>
      </c>
      <c r="AM151" s="197">
        <f t="shared" si="357"/>
        <v>727.0532085730498</v>
      </c>
      <c r="AN151" s="197">
        <f t="shared" si="358"/>
        <v>613.42094479051809</v>
      </c>
      <c r="AO151" s="197">
        <f t="shared" si="359"/>
        <v>719.09195524591451</v>
      </c>
      <c r="AP151" s="196">
        <f t="shared" si="360"/>
        <v>24519.834165910779</v>
      </c>
      <c r="AQ151" s="197">
        <f t="shared" si="361"/>
        <v>1932.9247386150832</v>
      </c>
      <c r="AR151" s="197">
        <f t="shared" si="362"/>
        <v>13299.192721673737</v>
      </c>
      <c r="AS151" s="197">
        <f t="shared" si="363"/>
        <v>11220.641444237046</v>
      </c>
      <c r="AT151" s="199">
        <f t="shared" si="364"/>
        <v>13153.566182852128</v>
      </c>
      <c r="AX151" s="900">
        <v>14</v>
      </c>
      <c r="AY151" s="911">
        <f>'Arable Inputs'!$H$18*$BA$134</f>
        <v>4.07</v>
      </c>
      <c r="AZ151" s="760">
        <f>'Arable Inputs'!$H$25</f>
        <v>182.8</v>
      </c>
      <c r="BA151" s="762">
        <f t="shared" si="365"/>
        <v>743.99600000000009</v>
      </c>
      <c r="BB151" s="197">
        <f>'Arable NPV'!$D130</f>
        <v>175.95</v>
      </c>
      <c r="BC151" s="197">
        <f t="shared" si="408"/>
        <v>919.94600000000014</v>
      </c>
      <c r="BD151" s="197">
        <f>'Arable NPV'!$F130</f>
        <v>574.23049999999989</v>
      </c>
      <c r="BE151" s="197">
        <f>'Arable NPV'!$G130</f>
        <v>636.366536</v>
      </c>
      <c r="BF151" s="197">
        <f t="shared" si="409"/>
        <v>1210.5970359999999</v>
      </c>
      <c r="BG151" s="197">
        <f t="shared" si="366"/>
        <v>-466.60103599999979</v>
      </c>
      <c r="BH151" s="197">
        <f t="shared" si="367"/>
        <v>-290.65103599999975</v>
      </c>
      <c r="BI151" s="196">
        <f t="shared" si="368"/>
        <v>446.82471778785595</v>
      </c>
      <c r="BJ151" s="197">
        <f t="shared" si="369"/>
        <v>105.67101045539658</v>
      </c>
      <c r="BK151" s="197">
        <f t="shared" si="370"/>
        <v>727.0532085730498</v>
      </c>
      <c r="BL151" s="197">
        <f t="shared" si="371"/>
        <v>-280.22849078519386</v>
      </c>
      <c r="BM151" s="197">
        <f t="shared" si="372"/>
        <v>-174.55748032979724</v>
      </c>
      <c r="BN151" s="196">
        <f t="shared" si="373"/>
        <v>8173.2780553035936</v>
      </c>
      <c r="BO151" s="197">
        <f t="shared" si="374"/>
        <v>1932.9247386150832</v>
      </c>
      <c r="BP151" s="197">
        <f t="shared" si="375"/>
        <v>13299.192721673737</v>
      </c>
      <c r="BQ151" s="197">
        <f t="shared" si="376"/>
        <v>-5125.9146663701422</v>
      </c>
      <c r="BR151" s="199">
        <f t="shared" si="377"/>
        <v>-3192.9899277550585</v>
      </c>
      <c r="BV151" s="900">
        <v>14</v>
      </c>
      <c r="BW151" s="911">
        <f>'Arable Inputs'!$H$18*$BY$134</f>
        <v>16.28</v>
      </c>
      <c r="BX151" s="760">
        <f>'Arable Inputs'!$H$25</f>
        <v>182.8</v>
      </c>
      <c r="BY151" s="762">
        <f t="shared" si="378"/>
        <v>2975.9840000000004</v>
      </c>
      <c r="BZ151" s="197">
        <f>'Arable NPV'!$D130</f>
        <v>175.95</v>
      </c>
      <c r="CA151" s="197">
        <f t="shared" si="410"/>
        <v>3151.9340000000002</v>
      </c>
      <c r="CB151" s="197">
        <f>'Arable NPV'!$F130</f>
        <v>574.23049999999989</v>
      </c>
      <c r="CC151" s="197">
        <f>'Arable NPV'!$G130</f>
        <v>636.366536</v>
      </c>
      <c r="CD151" s="197">
        <f t="shared" si="411"/>
        <v>1210.5970359999999</v>
      </c>
      <c r="CE151" s="197">
        <f t="shared" si="379"/>
        <v>1765.3869640000005</v>
      </c>
      <c r="CF151" s="197">
        <f t="shared" si="380"/>
        <v>1941.3369640000003</v>
      </c>
      <c r="CG151" s="196">
        <f t="shared" si="381"/>
        <v>1787.2988711514238</v>
      </c>
      <c r="CH151" s="197">
        <f t="shared" si="382"/>
        <v>105.67101045539658</v>
      </c>
      <c r="CI151" s="197">
        <f t="shared" si="383"/>
        <v>727.0532085730498</v>
      </c>
      <c r="CJ151" s="197">
        <f t="shared" si="384"/>
        <v>1060.2456625783741</v>
      </c>
      <c r="CK151" s="197">
        <f t="shared" si="385"/>
        <v>1165.9166730337704</v>
      </c>
      <c r="CL151" s="196">
        <f t="shared" si="386"/>
        <v>32693.112221214375</v>
      </c>
      <c r="CM151" s="197">
        <f t="shared" si="387"/>
        <v>1932.9247386150832</v>
      </c>
      <c r="CN151" s="197">
        <f t="shared" si="388"/>
        <v>13299.192721673737</v>
      </c>
      <c r="CO151" s="197">
        <f t="shared" si="389"/>
        <v>19393.919499540643</v>
      </c>
      <c r="CP151" s="199">
        <f t="shared" si="390"/>
        <v>21326.844238155722</v>
      </c>
      <c r="CT151" s="900">
        <v>14</v>
      </c>
      <c r="CU151" s="911">
        <f>'Arable Inputs'!$H$18*$CW$134</f>
        <v>0</v>
      </c>
      <c r="CV151" s="760">
        <f>'Arable Inputs'!$H$25</f>
        <v>182.8</v>
      </c>
      <c r="CW151" s="762">
        <f t="shared" si="391"/>
        <v>0</v>
      </c>
      <c r="CX151" s="197">
        <f>'Arable NPV'!$D130</f>
        <v>175.95</v>
      </c>
      <c r="CY151" s="197">
        <f t="shared" si="412"/>
        <v>175.95</v>
      </c>
      <c r="CZ151" s="197">
        <f>'Arable NPV'!$F130</f>
        <v>574.23049999999989</v>
      </c>
      <c r="DA151" s="197">
        <f>'Arable NPV'!$G130</f>
        <v>636.366536</v>
      </c>
      <c r="DB151" s="197">
        <f t="shared" si="413"/>
        <v>1210.5970359999999</v>
      </c>
      <c r="DC151" s="197">
        <f t="shared" si="392"/>
        <v>-1210.5970359999999</v>
      </c>
      <c r="DD151" s="197">
        <f t="shared" si="393"/>
        <v>-1034.6470359999998</v>
      </c>
      <c r="DE151" s="196">
        <f t="shared" si="394"/>
        <v>0</v>
      </c>
      <c r="DF151" s="197">
        <f t="shared" si="395"/>
        <v>105.67101045539658</v>
      </c>
      <c r="DG151" s="197">
        <f t="shared" si="396"/>
        <v>727.0532085730498</v>
      </c>
      <c r="DH151" s="197">
        <f t="shared" si="397"/>
        <v>-727.0532085730498</v>
      </c>
      <c r="DI151" s="197">
        <f t="shared" si="398"/>
        <v>-621.38219811765316</v>
      </c>
      <c r="DJ151" s="196">
        <f t="shared" si="399"/>
        <v>0</v>
      </c>
      <c r="DK151" s="197">
        <f t="shared" si="400"/>
        <v>1932.9247386150832</v>
      </c>
      <c r="DL151" s="197">
        <f t="shared" si="401"/>
        <v>13299.192721673737</v>
      </c>
      <c r="DM151" s="197">
        <f t="shared" si="402"/>
        <v>-13299.192721673737</v>
      </c>
      <c r="DN151" s="199">
        <f t="shared" si="403"/>
        <v>-11366.267983058655</v>
      </c>
    </row>
    <row r="152" spans="2:118" x14ac:dyDescent="0.3">
      <c r="B152" s="900">
        <v>15</v>
      </c>
      <c r="C152" s="911">
        <f>'Arable Inputs'!$H$18*$E$134</f>
        <v>8.14</v>
      </c>
      <c r="D152" s="760">
        <f>'Arable Inputs'!$H$25</f>
        <v>182.8</v>
      </c>
      <c r="E152" s="762">
        <f t="shared" si="343"/>
        <v>1487.9920000000002</v>
      </c>
      <c r="F152" s="197">
        <f>'Arable NPV'!$D131</f>
        <v>175.95</v>
      </c>
      <c r="G152" s="197">
        <f t="shared" si="404"/>
        <v>1663.9420000000002</v>
      </c>
      <c r="H152" s="197">
        <f>'Arable NPV'!$F131</f>
        <v>574.23049999999989</v>
      </c>
      <c r="I152" s="197">
        <f>'Arable NPV'!$G131</f>
        <v>636.366536</v>
      </c>
      <c r="J152" s="197">
        <f t="shared" si="405"/>
        <v>1210.5970359999999</v>
      </c>
      <c r="K152" s="197">
        <f t="shared" si="344"/>
        <v>277.3949640000003</v>
      </c>
      <c r="L152" s="197">
        <f t="shared" si="345"/>
        <v>453.34496400000035</v>
      </c>
      <c r="M152" s="196">
        <f t="shared" si="346"/>
        <v>859.27830343818448</v>
      </c>
      <c r="N152" s="197">
        <f t="shared" si="347"/>
        <v>101.60674082249672</v>
      </c>
      <c r="O152" s="197">
        <f t="shared" si="348"/>
        <v>699.0896236279325</v>
      </c>
      <c r="P152" s="197">
        <f t="shared" si="349"/>
        <v>160.18867981025201</v>
      </c>
      <c r="Q152" s="197">
        <f t="shared" si="350"/>
        <v>261.79542063274874</v>
      </c>
      <c r="R152" s="196">
        <f t="shared" si="351"/>
        <v>17205.83441404537</v>
      </c>
      <c r="S152" s="197">
        <f t="shared" si="351"/>
        <v>2034.5314794375799</v>
      </c>
      <c r="T152" s="197">
        <f t="shared" si="351"/>
        <v>13998.28234530167</v>
      </c>
      <c r="U152" s="197">
        <f t="shared" si="351"/>
        <v>3207.5520687437042</v>
      </c>
      <c r="V152" s="199">
        <f t="shared" si="351"/>
        <v>5242.0835481812837</v>
      </c>
      <c r="Z152" s="900">
        <v>15</v>
      </c>
      <c r="AA152" s="911">
        <f>'Arable Inputs'!$H$18*$AC$134</f>
        <v>12.21</v>
      </c>
      <c r="AB152" s="760">
        <f>'Arable Inputs'!$H$25</f>
        <v>182.8</v>
      </c>
      <c r="AC152" s="762">
        <f t="shared" si="352"/>
        <v>2231.9880000000003</v>
      </c>
      <c r="AD152" s="197">
        <f>'Arable NPV'!$D131</f>
        <v>175.95</v>
      </c>
      <c r="AE152" s="197">
        <f t="shared" si="406"/>
        <v>2407.9380000000001</v>
      </c>
      <c r="AF152" s="197">
        <f>'Arable NPV'!$F131</f>
        <v>574.23049999999989</v>
      </c>
      <c r="AG152" s="197">
        <f>'Arable NPV'!$G131</f>
        <v>636.366536</v>
      </c>
      <c r="AH152" s="197">
        <f t="shared" si="407"/>
        <v>1210.5970359999999</v>
      </c>
      <c r="AI152" s="197">
        <f t="shared" si="353"/>
        <v>1021.3909640000004</v>
      </c>
      <c r="AJ152" s="197">
        <f t="shared" si="354"/>
        <v>1197.3409640000002</v>
      </c>
      <c r="AK152" s="196">
        <f t="shared" si="355"/>
        <v>1288.9174551572769</v>
      </c>
      <c r="AL152" s="197">
        <f t="shared" si="356"/>
        <v>101.60674082249672</v>
      </c>
      <c r="AM152" s="197">
        <f t="shared" si="357"/>
        <v>699.0896236279325</v>
      </c>
      <c r="AN152" s="197">
        <f t="shared" si="358"/>
        <v>589.82783152934428</v>
      </c>
      <c r="AO152" s="197">
        <f t="shared" si="359"/>
        <v>691.43457235184087</v>
      </c>
      <c r="AP152" s="196">
        <f t="shared" si="360"/>
        <v>25808.751621068055</v>
      </c>
      <c r="AQ152" s="197">
        <f t="shared" si="361"/>
        <v>2034.5314794375799</v>
      </c>
      <c r="AR152" s="197">
        <f t="shared" si="362"/>
        <v>13998.28234530167</v>
      </c>
      <c r="AS152" s="197">
        <f t="shared" si="363"/>
        <v>11810.469275766391</v>
      </c>
      <c r="AT152" s="199">
        <f t="shared" si="364"/>
        <v>13845.000755203968</v>
      </c>
      <c r="AX152" s="900">
        <v>15</v>
      </c>
      <c r="AY152" s="911">
        <f>'Arable Inputs'!$H$18*$BA$134</f>
        <v>4.07</v>
      </c>
      <c r="AZ152" s="760">
        <f>'Arable Inputs'!$H$25</f>
        <v>182.8</v>
      </c>
      <c r="BA152" s="762">
        <f t="shared" si="365"/>
        <v>743.99600000000009</v>
      </c>
      <c r="BB152" s="197">
        <f>'Arable NPV'!$D131</f>
        <v>175.95</v>
      </c>
      <c r="BC152" s="197">
        <f t="shared" si="408"/>
        <v>919.94600000000014</v>
      </c>
      <c r="BD152" s="197">
        <f>'Arable NPV'!$F131</f>
        <v>574.23049999999989</v>
      </c>
      <c r="BE152" s="197">
        <f>'Arable NPV'!$G131</f>
        <v>636.366536</v>
      </c>
      <c r="BF152" s="197">
        <f t="shared" si="409"/>
        <v>1210.5970359999999</v>
      </c>
      <c r="BG152" s="197">
        <f t="shared" si="366"/>
        <v>-466.60103599999979</v>
      </c>
      <c r="BH152" s="197">
        <f t="shared" si="367"/>
        <v>-290.65103599999975</v>
      </c>
      <c r="BI152" s="196">
        <f t="shared" si="368"/>
        <v>429.63915171909224</v>
      </c>
      <c r="BJ152" s="197">
        <f t="shared" si="369"/>
        <v>101.60674082249672</v>
      </c>
      <c r="BK152" s="197">
        <f t="shared" si="370"/>
        <v>699.0896236279325</v>
      </c>
      <c r="BL152" s="197">
        <f t="shared" si="371"/>
        <v>-269.45047190884026</v>
      </c>
      <c r="BM152" s="197">
        <f t="shared" si="372"/>
        <v>-167.8437310863435</v>
      </c>
      <c r="BN152" s="196">
        <f t="shared" si="373"/>
        <v>8602.917207022685</v>
      </c>
      <c r="BO152" s="197">
        <f t="shared" si="374"/>
        <v>2034.5314794375799</v>
      </c>
      <c r="BP152" s="197">
        <f t="shared" si="375"/>
        <v>13998.28234530167</v>
      </c>
      <c r="BQ152" s="197">
        <f t="shared" si="376"/>
        <v>-5395.3651382789822</v>
      </c>
      <c r="BR152" s="199">
        <f t="shared" si="377"/>
        <v>-3360.8336588414022</v>
      </c>
      <c r="BV152" s="900">
        <v>15</v>
      </c>
      <c r="BW152" s="911">
        <f>'Arable Inputs'!$H$18*$BY$134</f>
        <v>16.28</v>
      </c>
      <c r="BX152" s="760">
        <f>'Arable Inputs'!$H$25</f>
        <v>182.8</v>
      </c>
      <c r="BY152" s="762">
        <f t="shared" si="378"/>
        <v>2975.9840000000004</v>
      </c>
      <c r="BZ152" s="197">
        <f>'Arable NPV'!$D131</f>
        <v>175.95</v>
      </c>
      <c r="CA152" s="197">
        <f t="shared" si="410"/>
        <v>3151.9340000000002</v>
      </c>
      <c r="CB152" s="197">
        <f>'Arable NPV'!$F131</f>
        <v>574.23049999999989</v>
      </c>
      <c r="CC152" s="197">
        <f>'Arable NPV'!$G131</f>
        <v>636.366536</v>
      </c>
      <c r="CD152" s="197">
        <f t="shared" si="411"/>
        <v>1210.5970359999999</v>
      </c>
      <c r="CE152" s="197">
        <f t="shared" si="379"/>
        <v>1765.3869640000005</v>
      </c>
      <c r="CF152" s="197">
        <f t="shared" si="380"/>
        <v>1941.3369640000003</v>
      </c>
      <c r="CG152" s="196">
        <f t="shared" si="381"/>
        <v>1718.556606876369</v>
      </c>
      <c r="CH152" s="197">
        <f t="shared" si="382"/>
        <v>101.60674082249672</v>
      </c>
      <c r="CI152" s="197">
        <f t="shared" si="383"/>
        <v>699.0896236279325</v>
      </c>
      <c r="CJ152" s="197">
        <f t="shared" si="384"/>
        <v>1019.4669832484366</v>
      </c>
      <c r="CK152" s="197">
        <f t="shared" si="385"/>
        <v>1121.0737240709332</v>
      </c>
      <c r="CL152" s="196">
        <f t="shared" si="386"/>
        <v>34411.66882809074</v>
      </c>
      <c r="CM152" s="197">
        <f t="shared" si="387"/>
        <v>2034.5314794375799</v>
      </c>
      <c r="CN152" s="197">
        <f t="shared" si="388"/>
        <v>13998.28234530167</v>
      </c>
      <c r="CO152" s="197">
        <f t="shared" si="389"/>
        <v>20413.386482789079</v>
      </c>
      <c r="CP152" s="199">
        <f t="shared" si="390"/>
        <v>22447.917962226653</v>
      </c>
      <c r="CT152" s="900">
        <v>15</v>
      </c>
      <c r="CU152" s="911">
        <f>'Arable Inputs'!$H$18*$CW$134</f>
        <v>0</v>
      </c>
      <c r="CV152" s="760">
        <f>'Arable Inputs'!$H$25</f>
        <v>182.8</v>
      </c>
      <c r="CW152" s="762">
        <f t="shared" si="391"/>
        <v>0</v>
      </c>
      <c r="CX152" s="197">
        <f>'Arable NPV'!$D131</f>
        <v>175.95</v>
      </c>
      <c r="CY152" s="197">
        <f t="shared" si="412"/>
        <v>175.95</v>
      </c>
      <c r="CZ152" s="197">
        <f>'Arable NPV'!$F131</f>
        <v>574.23049999999989</v>
      </c>
      <c r="DA152" s="197">
        <f>'Arable NPV'!$G131</f>
        <v>636.366536</v>
      </c>
      <c r="DB152" s="197">
        <f t="shared" si="413"/>
        <v>1210.5970359999999</v>
      </c>
      <c r="DC152" s="197">
        <f t="shared" si="392"/>
        <v>-1210.5970359999999</v>
      </c>
      <c r="DD152" s="197">
        <f t="shared" si="393"/>
        <v>-1034.6470359999998</v>
      </c>
      <c r="DE152" s="196">
        <f t="shared" si="394"/>
        <v>0</v>
      </c>
      <c r="DF152" s="197">
        <f t="shared" si="395"/>
        <v>101.60674082249672</v>
      </c>
      <c r="DG152" s="197">
        <f t="shared" si="396"/>
        <v>699.0896236279325</v>
      </c>
      <c r="DH152" s="197">
        <f t="shared" si="397"/>
        <v>-699.0896236279325</v>
      </c>
      <c r="DI152" s="197">
        <f t="shared" si="398"/>
        <v>-597.48288280543579</v>
      </c>
      <c r="DJ152" s="196">
        <f t="shared" si="399"/>
        <v>0</v>
      </c>
      <c r="DK152" s="197">
        <f t="shared" si="400"/>
        <v>2034.5314794375799</v>
      </c>
      <c r="DL152" s="197">
        <f t="shared" si="401"/>
        <v>13998.28234530167</v>
      </c>
      <c r="DM152" s="197">
        <f t="shared" si="402"/>
        <v>-13998.28234530167</v>
      </c>
      <c r="DN152" s="199">
        <f t="shared" si="403"/>
        <v>-11963.750865864091</v>
      </c>
    </row>
    <row r="153" spans="2:118" x14ac:dyDescent="0.3">
      <c r="B153" s="901">
        <v>16</v>
      </c>
      <c r="C153" s="912">
        <f>'Arable Inputs'!$H$18*$E$134</f>
        <v>8.14</v>
      </c>
      <c r="D153" s="761">
        <f>'Arable Inputs'!$H$25</f>
        <v>182.8</v>
      </c>
      <c r="E153" s="207">
        <f t="shared" si="343"/>
        <v>1487.9920000000002</v>
      </c>
      <c r="F153" s="207">
        <f>'Arable NPV'!$D132</f>
        <v>175.95</v>
      </c>
      <c r="G153" s="207">
        <f>E153+F153</f>
        <v>1663.9420000000002</v>
      </c>
      <c r="H153" s="207">
        <f>'Arable NPV'!$F132</f>
        <v>574.23049999999989</v>
      </c>
      <c r="I153" s="207">
        <f>'Arable NPV'!$G132</f>
        <v>636.366536</v>
      </c>
      <c r="J153" s="207">
        <f t="shared" si="405"/>
        <v>1210.5970359999999</v>
      </c>
      <c r="K153" s="207">
        <f t="shared" si="344"/>
        <v>277.3949640000003</v>
      </c>
      <c r="L153" s="207">
        <f t="shared" si="345"/>
        <v>453.34496400000035</v>
      </c>
      <c r="M153" s="208">
        <f t="shared" si="346"/>
        <v>826.22913792133136</v>
      </c>
      <c r="N153" s="207">
        <f t="shared" si="347"/>
        <v>97.698789252400701</v>
      </c>
      <c r="O153" s="207">
        <f>J153/(1+$B$4)^(B153-1)</f>
        <v>672.2015611807044</v>
      </c>
      <c r="P153" s="207">
        <f>K153/(1+$B$4)^(B153-1)</f>
        <v>154.02757674062693</v>
      </c>
      <c r="Q153" s="209">
        <f>L153/(1+$B$4)^(B153-1)</f>
        <v>251.72636599302766</v>
      </c>
      <c r="R153" s="208">
        <f t="shared" si="351"/>
        <v>18032.063551966701</v>
      </c>
      <c r="S153" s="207">
        <f t="shared" si="351"/>
        <v>2132.2302686899807</v>
      </c>
      <c r="T153" s="207">
        <f t="shared" si="351"/>
        <v>14670.483906482374</v>
      </c>
      <c r="U153" s="207">
        <f t="shared" si="351"/>
        <v>3361.5796454843312</v>
      </c>
      <c r="V153" s="209">
        <f t="shared" si="351"/>
        <v>5493.8099141743114</v>
      </c>
      <c r="Z153" s="901">
        <v>16</v>
      </c>
      <c r="AA153" s="912">
        <f>'Arable Inputs'!$H$18*$AC$134</f>
        <v>12.21</v>
      </c>
      <c r="AB153" s="761">
        <f>'Arable Inputs'!$H$25</f>
        <v>182.8</v>
      </c>
      <c r="AC153" s="207">
        <f t="shared" si="352"/>
        <v>2231.9880000000003</v>
      </c>
      <c r="AD153" s="207">
        <f>'Arable NPV'!$D132</f>
        <v>175.95</v>
      </c>
      <c r="AE153" s="207">
        <f>AC153+AD153</f>
        <v>2407.9380000000001</v>
      </c>
      <c r="AF153" s="207">
        <f>'Arable NPV'!$F132</f>
        <v>574.23049999999989</v>
      </c>
      <c r="AG153" s="207">
        <f>'Arable NPV'!$G132</f>
        <v>636.366536</v>
      </c>
      <c r="AH153" s="207">
        <f t="shared" si="407"/>
        <v>1210.5970359999999</v>
      </c>
      <c r="AI153" s="207">
        <f t="shared" si="353"/>
        <v>1021.3909640000004</v>
      </c>
      <c r="AJ153" s="207">
        <f t="shared" si="354"/>
        <v>1197.3409640000002</v>
      </c>
      <c r="AK153" s="208">
        <f t="shared" si="355"/>
        <v>1239.3437068819969</v>
      </c>
      <c r="AL153" s="207">
        <f t="shared" si="356"/>
        <v>97.698789252400701</v>
      </c>
      <c r="AM153" s="207">
        <f>AH153/(1+$B$4)^(Z153-1)</f>
        <v>672.2015611807044</v>
      </c>
      <c r="AN153" s="207">
        <f>AI153/(1+$B$4)^(Z153-1)</f>
        <v>567.14214570129263</v>
      </c>
      <c r="AO153" s="209">
        <f>AJ153/(1+$B$4)^(Z153-1)</f>
        <v>664.84093495369314</v>
      </c>
      <c r="AP153" s="208">
        <f t="shared" si="360"/>
        <v>27048.095327950054</v>
      </c>
      <c r="AQ153" s="207">
        <f t="shared" si="361"/>
        <v>2132.2302686899807</v>
      </c>
      <c r="AR153" s="207">
        <f t="shared" si="362"/>
        <v>14670.483906482374</v>
      </c>
      <c r="AS153" s="207">
        <f t="shared" si="363"/>
        <v>12377.611421467684</v>
      </c>
      <c r="AT153" s="209">
        <f t="shared" si="364"/>
        <v>14509.84169015766</v>
      </c>
      <c r="AX153" s="901">
        <v>16</v>
      </c>
      <c r="AY153" s="912">
        <f>'Arable Inputs'!$H$18*$BA$134</f>
        <v>4.07</v>
      </c>
      <c r="AZ153" s="761">
        <f>'Arable Inputs'!$H$25</f>
        <v>182.8</v>
      </c>
      <c r="BA153" s="207">
        <f t="shared" si="365"/>
        <v>743.99600000000009</v>
      </c>
      <c r="BB153" s="207">
        <f>'Arable NPV'!$D132</f>
        <v>175.95</v>
      </c>
      <c r="BC153" s="207">
        <f>BA153+BB153</f>
        <v>919.94600000000014</v>
      </c>
      <c r="BD153" s="207">
        <f>'Arable NPV'!$F132</f>
        <v>574.23049999999989</v>
      </c>
      <c r="BE153" s="207">
        <f>'Arable NPV'!$G132</f>
        <v>636.366536</v>
      </c>
      <c r="BF153" s="207">
        <f t="shared" si="409"/>
        <v>1210.5970359999999</v>
      </c>
      <c r="BG153" s="207">
        <f t="shared" si="366"/>
        <v>-466.60103599999979</v>
      </c>
      <c r="BH153" s="207">
        <f t="shared" si="367"/>
        <v>-290.65103599999975</v>
      </c>
      <c r="BI153" s="208">
        <f t="shared" si="368"/>
        <v>413.11456896066568</v>
      </c>
      <c r="BJ153" s="207">
        <f t="shared" si="369"/>
        <v>97.698789252400701</v>
      </c>
      <c r="BK153" s="207">
        <f>BF153/(1+$B$4)^(AX153-1)</f>
        <v>672.2015611807044</v>
      </c>
      <c r="BL153" s="207">
        <f>BG153/(1+$B$4)^(AX153-1)</f>
        <v>-259.08699222003872</v>
      </c>
      <c r="BM153" s="209">
        <f>BH153/(1+$B$4)^(AX153-1)</f>
        <v>-161.38820296763799</v>
      </c>
      <c r="BN153" s="208">
        <f t="shared" si="373"/>
        <v>9016.0317759833506</v>
      </c>
      <c r="BO153" s="207">
        <f t="shared" si="374"/>
        <v>2132.2302686899807</v>
      </c>
      <c r="BP153" s="207">
        <f t="shared" si="375"/>
        <v>14670.483906482374</v>
      </c>
      <c r="BQ153" s="207">
        <f t="shared" si="376"/>
        <v>-5654.4521304990212</v>
      </c>
      <c r="BR153" s="209">
        <f t="shared" si="377"/>
        <v>-3522.2218618090401</v>
      </c>
      <c r="BV153" s="901">
        <v>16</v>
      </c>
      <c r="BW153" s="912">
        <f>'Arable Inputs'!$H$18*$BY$134</f>
        <v>16.28</v>
      </c>
      <c r="BX153" s="761">
        <f>'Arable Inputs'!$H$25</f>
        <v>182.8</v>
      </c>
      <c r="BY153" s="207">
        <f t="shared" si="378"/>
        <v>2975.9840000000004</v>
      </c>
      <c r="BZ153" s="207">
        <f>'Arable NPV'!$D132</f>
        <v>175.95</v>
      </c>
      <c r="CA153" s="207">
        <f>BY153+BZ153</f>
        <v>3151.9340000000002</v>
      </c>
      <c r="CB153" s="207">
        <f>'Arable NPV'!$F132</f>
        <v>574.23049999999989</v>
      </c>
      <c r="CC153" s="207">
        <f>'Arable NPV'!$G132</f>
        <v>636.366536</v>
      </c>
      <c r="CD153" s="207">
        <f t="shared" si="411"/>
        <v>1210.5970359999999</v>
      </c>
      <c r="CE153" s="207">
        <f t="shared" si="379"/>
        <v>1765.3869640000005</v>
      </c>
      <c r="CF153" s="207">
        <f t="shared" si="380"/>
        <v>1941.3369640000003</v>
      </c>
      <c r="CG153" s="208">
        <f t="shared" si="381"/>
        <v>1652.4582758426627</v>
      </c>
      <c r="CH153" s="207">
        <f t="shared" si="382"/>
        <v>97.698789252400701</v>
      </c>
      <c r="CI153" s="207">
        <f>CD153/(1+$B$4)^(BV153-1)</f>
        <v>672.2015611807044</v>
      </c>
      <c r="CJ153" s="207">
        <f>CE153/(1+$B$4)^(BV153-1)</f>
        <v>980.2567146619582</v>
      </c>
      <c r="CK153" s="209">
        <f>CF153/(1+$B$4)^(BV153-1)</f>
        <v>1077.9555039143588</v>
      </c>
      <c r="CL153" s="208">
        <f t="shared" si="386"/>
        <v>36064.127103933402</v>
      </c>
      <c r="CM153" s="207">
        <f t="shared" si="387"/>
        <v>2132.2302686899807</v>
      </c>
      <c r="CN153" s="207">
        <f t="shared" si="388"/>
        <v>14670.483906482374</v>
      </c>
      <c r="CO153" s="207">
        <f t="shared" si="389"/>
        <v>21393.643197451038</v>
      </c>
      <c r="CP153" s="209">
        <f t="shared" si="390"/>
        <v>23525.873466141013</v>
      </c>
      <c r="CT153" s="901">
        <v>16</v>
      </c>
      <c r="CU153" s="912">
        <f>'Arable Inputs'!$H$18*$CW$134</f>
        <v>0</v>
      </c>
      <c r="CV153" s="761">
        <f>'Arable Inputs'!$H$25</f>
        <v>182.8</v>
      </c>
      <c r="CW153" s="207">
        <f t="shared" si="391"/>
        <v>0</v>
      </c>
      <c r="CX153" s="207">
        <f>'Arable NPV'!$D132</f>
        <v>175.95</v>
      </c>
      <c r="CY153" s="207">
        <f>CW153+CX153</f>
        <v>175.95</v>
      </c>
      <c r="CZ153" s="207">
        <f>'Arable NPV'!$F132</f>
        <v>574.23049999999989</v>
      </c>
      <c r="DA153" s="207">
        <f>'Arable NPV'!$G132</f>
        <v>636.366536</v>
      </c>
      <c r="DB153" s="207">
        <f t="shared" si="413"/>
        <v>1210.5970359999999</v>
      </c>
      <c r="DC153" s="207">
        <f t="shared" si="392"/>
        <v>-1210.5970359999999</v>
      </c>
      <c r="DD153" s="207">
        <f t="shared" si="393"/>
        <v>-1034.6470359999998</v>
      </c>
      <c r="DE153" s="208">
        <f t="shared" si="394"/>
        <v>0</v>
      </c>
      <c r="DF153" s="207">
        <f t="shared" si="395"/>
        <v>97.698789252400701</v>
      </c>
      <c r="DG153" s="207">
        <f>DB153/(1+$B$4)^(CT153-1)</f>
        <v>672.2015611807044</v>
      </c>
      <c r="DH153" s="207">
        <f>DC153/(1+$B$4)^(CT153-1)</f>
        <v>-672.2015611807044</v>
      </c>
      <c r="DI153" s="209">
        <f>DD153/(1+$B$4)^(CT153-1)</f>
        <v>-574.50277192830367</v>
      </c>
      <c r="DJ153" s="208">
        <f t="shared" si="399"/>
        <v>0</v>
      </c>
      <c r="DK153" s="207">
        <f t="shared" si="400"/>
        <v>2132.2302686899807</v>
      </c>
      <c r="DL153" s="207">
        <f t="shared" si="401"/>
        <v>14670.483906482374</v>
      </c>
      <c r="DM153" s="207">
        <f t="shared" si="402"/>
        <v>-14670.483906482374</v>
      </c>
      <c r="DN153" s="209">
        <f t="shared" si="403"/>
        <v>-12538.253637792395</v>
      </c>
    </row>
    <row r="159" spans="2:118" x14ac:dyDescent="0.3">
      <c r="B159" s="273" t="s">
        <v>336</v>
      </c>
      <c r="C159" s="274"/>
      <c r="D159" s="88"/>
      <c r="E159" s="88"/>
      <c r="F159" s="88"/>
      <c r="G159" s="275"/>
      <c r="H159" s="276" t="s">
        <v>319</v>
      </c>
      <c r="I159" s="277" t="s">
        <v>320</v>
      </c>
      <c r="J159" s="277" t="s">
        <v>321</v>
      </c>
      <c r="K159" s="277" t="s">
        <v>322</v>
      </c>
      <c r="L159" s="277" t="s">
        <v>323</v>
      </c>
      <c r="M159" s="276" t="s">
        <v>635</v>
      </c>
      <c r="N159" s="277" t="s">
        <v>636</v>
      </c>
      <c r="O159" s="277" t="s">
        <v>637</v>
      </c>
      <c r="P159" s="277" t="s">
        <v>638</v>
      </c>
      <c r="Q159" s="277" t="s">
        <v>639</v>
      </c>
      <c r="R159" s="276" t="s">
        <v>399</v>
      </c>
      <c r="S159" s="277" t="s">
        <v>400</v>
      </c>
      <c r="T159" s="277" t="s">
        <v>401</v>
      </c>
      <c r="U159" s="277" t="s">
        <v>402</v>
      </c>
      <c r="V159" s="277" t="s">
        <v>403</v>
      </c>
      <c r="W159" s="276" t="s">
        <v>430</v>
      </c>
      <c r="X159" s="277" t="s">
        <v>431</v>
      </c>
      <c r="Y159" s="277" t="s">
        <v>432</v>
      </c>
      <c r="Z159" s="277" t="s">
        <v>433</v>
      </c>
      <c r="AA159" s="277" t="s">
        <v>434</v>
      </c>
      <c r="AB159" s="276" t="s">
        <v>435</v>
      </c>
      <c r="AC159" s="277" t="s">
        <v>436</v>
      </c>
      <c r="AD159" s="277" t="s">
        <v>437</v>
      </c>
      <c r="AE159" s="277" t="s">
        <v>438</v>
      </c>
      <c r="AF159" s="277" t="s">
        <v>439</v>
      </c>
      <c r="AG159" s="276" t="s">
        <v>555</v>
      </c>
      <c r="AH159" s="277" t="s">
        <v>556</v>
      </c>
      <c r="AI159" s="277" t="s">
        <v>557</v>
      </c>
      <c r="AJ159" s="277" t="s">
        <v>558</v>
      </c>
      <c r="AK159" s="277" t="s">
        <v>559</v>
      </c>
    </row>
    <row r="160" spans="2:118" x14ac:dyDescent="0.3">
      <c r="B160" s="278" t="s">
        <v>307</v>
      </c>
      <c r="C160" s="24"/>
      <c r="D160" s="279"/>
      <c r="E160" s="279"/>
      <c r="F160" s="279"/>
      <c r="G160" s="280" t="s">
        <v>599</v>
      </c>
      <c r="H160" s="281">
        <f>S27</f>
        <v>9169.376562936568</v>
      </c>
      <c r="I160" s="281">
        <f>AQ27</f>
        <v>13754.064844404851</v>
      </c>
      <c r="J160" s="281">
        <f>BO27</f>
        <v>4584.688281468284</v>
      </c>
      <c r="K160" s="281">
        <f>CM27</f>
        <v>18338.753125873136</v>
      </c>
      <c r="L160" s="281">
        <f>DK27</f>
        <v>0</v>
      </c>
      <c r="M160" s="281">
        <f>S53</f>
        <v>12464.990332449857</v>
      </c>
      <c r="N160" s="281">
        <f>AQ53</f>
        <v>18697.485498674778</v>
      </c>
      <c r="O160" s="107">
        <f>BO53</f>
        <v>6232.4951662249287</v>
      </c>
      <c r="P160" s="107">
        <f>CM53</f>
        <v>24929.980664899715</v>
      </c>
      <c r="Q160" s="107">
        <f>DK53</f>
        <v>0</v>
      </c>
      <c r="R160" s="764">
        <f>U$78</f>
        <v>17377.889788211447</v>
      </c>
      <c r="S160" s="764">
        <f>AU$78</f>
        <v>26066.834682317167</v>
      </c>
      <c r="T160" s="107">
        <f>BU$78</f>
        <v>8688.9448941057235</v>
      </c>
      <c r="U160" s="107">
        <f>CU$78</f>
        <v>34755.779576422894</v>
      </c>
      <c r="V160" s="107">
        <f>DU$78</f>
        <v>0</v>
      </c>
      <c r="W160" s="764">
        <f>S$103</f>
        <v>7693.3998121101795</v>
      </c>
      <c r="X160" s="764">
        <f>AQ$103</f>
        <v>11540.099718165267</v>
      </c>
      <c r="Y160" s="107">
        <f>BO$103</f>
        <v>3846.6999060550897</v>
      </c>
      <c r="Z160" s="107">
        <f>CM$103</f>
        <v>15386.799624220359</v>
      </c>
      <c r="AA160" s="107">
        <f>DK$103</f>
        <v>0</v>
      </c>
      <c r="AB160" s="764">
        <f>S$128</f>
        <v>9389.4885796671915</v>
      </c>
      <c r="AC160" s="764">
        <f>AQ$128</f>
        <v>14084.232869500789</v>
      </c>
      <c r="AD160" s="107">
        <f>BO$128</f>
        <v>4694.7442898335958</v>
      </c>
      <c r="AE160" s="107">
        <f>CM$128</f>
        <v>18778.977159334383</v>
      </c>
      <c r="AF160" s="107">
        <f>DK$128</f>
        <v>0</v>
      </c>
      <c r="AG160" s="767">
        <f>R153</f>
        <v>18032.063551966701</v>
      </c>
      <c r="AH160" s="767">
        <f>AP153</f>
        <v>27048.095327950054</v>
      </c>
      <c r="AI160" s="767">
        <f>BN153</f>
        <v>9016.0317759833506</v>
      </c>
      <c r="AJ160" s="767">
        <f>CL153</f>
        <v>36064.127103933402</v>
      </c>
      <c r="AK160" s="767">
        <f>DJ153</f>
        <v>0</v>
      </c>
    </row>
    <row r="161" spans="2:37" x14ac:dyDescent="0.3">
      <c r="B161" s="282" t="s">
        <v>683</v>
      </c>
      <c r="C161" s="24"/>
      <c r="D161" s="279"/>
      <c r="E161" s="279"/>
      <c r="F161" s="279"/>
      <c r="G161" s="283" t="s">
        <v>599</v>
      </c>
      <c r="H161" s="281">
        <f>T27</f>
        <v>2132.2302686899807</v>
      </c>
      <c r="I161" s="281">
        <f>AR27</f>
        <v>2132.2302686899807</v>
      </c>
      <c r="J161" s="281">
        <f>BP27</f>
        <v>2132.2302686899807</v>
      </c>
      <c r="K161" s="281">
        <f>CN27</f>
        <v>2132.2302686899807</v>
      </c>
      <c r="L161" s="281">
        <f>DL27</f>
        <v>2132.2302686899807</v>
      </c>
      <c r="M161" s="281">
        <f>T53</f>
        <v>2132.2302686899807</v>
      </c>
      <c r="N161" s="281">
        <f>AR53</f>
        <v>2132.2302686899807</v>
      </c>
      <c r="O161" s="108">
        <f>BP53</f>
        <v>2132.2302686899807</v>
      </c>
      <c r="P161" s="108">
        <f>CN53</f>
        <v>2132.2302686899807</v>
      </c>
      <c r="Q161" s="108">
        <f>DL53</f>
        <v>2132.2302686899807</v>
      </c>
      <c r="R161" s="764">
        <f>V$78</f>
        <v>2132.2302686899807</v>
      </c>
      <c r="S161" s="764">
        <f>AV$78</f>
        <v>2132.2302686899807</v>
      </c>
      <c r="T161" s="108">
        <f>BV$78</f>
        <v>2132.2302686899807</v>
      </c>
      <c r="U161" s="108">
        <f>CV$78</f>
        <v>2132.2302686899807</v>
      </c>
      <c r="V161" s="108">
        <f>DV$78</f>
        <v>2132.2302686899807</v>
      </c>
      <c r="W161" s="764">
        <f>T$103</f>
        <v>2132.2302686899807</v>
      </c>
      <c r="X161" s="764">
        <f>AR$103</f>
        <v>2132.2302686899807</v>
      </c>
      <c r="Y161" s="108">
        <f>BP$103</f>
        <v>2132.2302686899807</v>
      </c>
      <c r="Z161" s="108">
        <f>CN$103</f>
        <v>2132.2302686899807</v>
      </c>
      <c r="AA161" s="108">
        <f>DL$103</f>
        <v>2132.2302686899807</v>
      </c>
      <c r="AB161" s="764">
        <f>T$128</f>
        <v>2132.2302686899807</v>
      </c>
      <c r="AC161" s="764">
        <f>AR$128</f>
        <v>2132.2302686899807</v>
      </c>
      <c r="AD161" s="108">
        <f>BP$128</f>
        <v>2132.2302686899807</v>
      </c>
      <c r="AE161" s="108">
        <f>CN$128</f>
        <v>2132.2302686899807</v>
      </c>
      <c r="AF161" s="108">
        <f>DL$128</f>
        <v>2132.2302686899807</v>
      </c>
      <c r="AG161" s="914">
        <f>S153</f>
        <v>2132.2302686899807</v>
      </c>
      <c r="AH161" s="914">
        <f>AQ153</f>
        <v>2132.2302686899807</v>
      </c>
      <c r="AI161" s="914">
        <f>BO153</f>
        <v>2132.2302686899807</v>
      </c>
      <c r="AJ161" s="914">
        <f>CM153</f>
        <v>2132.2302686899807</v>
      </c>
      <c r="AK161" s="914">
        <f>DK153</f>
        <v>2132.2302686899807</v>
      </c>
    </row>
    <row r="162" spans="2:37" x14ac:dyDescent="0.3">
      <c r="B162" s="284" t="s">
        <v>306</v>
      </c>
      <c r="C162" s="165"/>
      <c r="D162" s="279"/>
      <c r="E162" s="279"/>
      <c r="F162" s="279"/>
      <c r="G162" s="285" t="s">
        <v>599</v>
      </c>
      <c r="H162" s="281">
        <f>U27</f>
        <v>9679.4094715981228</v>
      </c>
      <c r="I162" s="281">
        <f>AS27</f>
        <v>9679.4094715981228</v>
      </c>
      <c r="J162" s="281">
        <f>BQ27</f>
        <v>9679.4094715981228</v>
      </c>
      <c r="K162" s="281">
        <f>CO27</f>
        <v>9679.4094715981228</v>
      </c>
      <c r="L162" s="281">
        <f>DM27</f>
        <v>9679.4094715981228</v>
      </c>
      <c r="M162" s="281">
        <f>U53</f>
        <v>7224.3101296559144</v>
      </c>
      <c r="N162" s="281">
        <f>AS53</f>
        <v>7224.3101296559144</v>
      </c>
      <c r="O162" s="294">
        <f>BQ53</f>
        <v>7224.3101296559144</v>
      </c>
      <c r="P162" s="294">
        <f>CO53</f>
        <v>7224.3101296559144</v>
      </c>
      <c r="Q162" s="294">
        <f>DM53</f>
        <v>7224.3101296559144</v>
      </c>
      <c r="R162" s="764">
        <f>W$78</f>
        <v>18018.546784997099</v>
      </c>
      <c r="S162" s="764">
        <f>AW$78</f>
        <v>18018.546784997099</v>
      </c>
      <c r="T162" s="294">
        <f>BW$78</f>
        <v>18018.546784997099</v>
      </c>
      <c r="U162" s="294">
        <f>CW$78</f>
        <v>18018.546784997099</v>
      </c>
      <c r="V162" s="294">
        <f>DW$78</f>
        <v>18018.546784997099</v>
      </c>
      <c r="W162" s="764">
        <f>U$103</f>
        <v>5505.1137655646044</v>
      </c>
      <c r="X162" s="764">
        <f>AS$103</f>
        <v>5505.1137655646044</v>
      </c>
      <c r="Y162" s="294">
        <f>BQ$103</f>
        <v>5505.1137655646044</v>
      </c>
      <c r="Z162" s="294">
        <f>CO$103</f>
        <v>5505.1137655646044</v>
      </c>
      <c r="AA162" s="294">
        <f>DM$103</f>
        <v>5505.1137655646044</v>
      </c>
      <c r="AB162" s="764">
        <f>U$128</f>
        <v>6918.0694827921807</v>
      </c>
      <c r="AC162" s="764">
        <f>AS$128</f>
        <v>6918.0694827921807</v>
      </c>
      <c r="AD162" s="294">
        <f>BQ$128</f>
        <v>6918.0694827921807</v>
      </c>
      <c r="AE162" s="294">
        <f>CO$128</f>
        <v>6918.0694827921807</v>
      </c>
      <c r="AF162" s="294">
        <f>DM$128</f>
        <v>6918.0694827921807</v>
      </c>
      <c r="AG162" s="768">
        <f>T153</f>
        <v>14670.483906482374</v>
      </c>
      <c r="AH162" s="768">
        <f>AR153</f>
        <v>14670.483906482374</v>
      </c>
      <c r="AI162" s="768">
        <f>BP153</f>
        <v>14670.483906482374</v>
      </c>
      <c r="AJ162" s="768">
        <f>CN153</f>
        <v>14670.483906482374</v>
      </c>
      <c r="AK162" s="768">
        <f>DL153</f>
        <v>14670.483906482374</v>
      </c>
    </row>
    <row r="163" spans="2:37" x14ac:dyDescent="0.3">
      <c r="B163" s="278" t="s">
        <v>684</v>
      </c>
      <c r="C163" s="24"/>
      <c r="D163" s="286"/>
      <c r="E163" s="286"/>
      <c r="F163" s="286"/>
      <c r="G163" s="280" t="s">
        <v>599</v>
      </c>
      <c r="H163" s="287">
        <f>H160-H162</f>
        <v>-510.03290866155476</v>
      </c>
      <c r="I163" s="287">
        <f t="shared" ref="I163:W163" si="414">I160-I162</f>
        <v>4074.6553728067283</v>
      </c>
      <c r="J163" s="287">
        <f t="shared" si="414"/>
        <v>-5094.7211901298388</v>
      </c>
      <c r="K163" s="287">
        <f t="shared" si="414"/>
        <v>8659.3436542750133</v>
      </c>
      <c r="L163" s="287">
        <f t="shared" si="414"/>
        <v>-9679.4094715981228</v>
      </c>
      <c r="M163" s="287">
        <f t="shared" si="414"/>
        <v>5240.680202793943</v>
      </c>
      <c r="N163" s="287">
        <f t="shared" si="414"/>
        <v>11473.175369018863</v>
      </c>
      <c r="O163" s="287">
        <f t="shared" si="414"/>
        <v>-991.8149634309857</v>
      </c>
      <c r="P163" s="287">
        <f t="shared" si="414"/>
        <v>17705.6705352438</v>
      </c>
      <c r="Q163" s="287">
        <f t="shared" si="414"/>
        <v>-7224.3101296559144</v>
      </c>
      <c r="R163" s="765">
        <f t="shared" si="414"/>
        <v>-640.65699678565215</v>
      </c>
      <c r="S163" s="765">
        <f t="shared" si="414"/>
        <v>8048.2878973200677</v>
      </c>
      <c r="T163" s="765">
        <f t="shared" si="414"/>
        <v>-9329.6018908913757</v>
      </c>
      <c r="U163" s="765">
        <f t="shared" si="414"/>
        <v>16737.232791425795</v>
      </c>
      <c r="V163" s="765">
        <f t="shared" si="414"/>
        <v>-18018.546784997099</v>
      </c>
      <c r="W163" s="765">
        <f t="shared" si="414"/>
        <v>2188.2860465455751</v>
      </c>
      <c r="X163" s="765">
        <f t="shared" ref="X163:AK163" si="415">X160-X162</f>
        <v>6034.985952600663</v>
      </c>
      <c r="Y163" s="765">
        <f t="shared" si="415"/>
        <v>-1658.4138595095146</v>
      </c>
      <c r="Z163" s="765">
        <f t="shared" si="415"/>
        <v>9881.6858586557537</v>
      </c>
      <c r="AA163" s="765">
        <f t="shared" si="415"/>
        <v>-5505.1137655646044</v>
      </c>
      <c r="AB163" s="765">
        <f t="shared" si="415"/>
        <v>2471.4190968750108</v>
      </c>
      <c r="AC163" s="765">
        <f t="shared" si="415"/>
        <v>7166.1633867086084</v>
      </c>
      <c r="AD163" s="765">
        <f t="shared" si="415"/>
        <v>-2223.3251929585849</v>
      </c>
      <c r="AE163" s="765">
        <f t="shared" si="415"/>
        <v>11860.907676542203</v>
      </c>
      <c r="AF163" s="765">
        <f t="shared" si="415"/>
        <v>-6918.0694827921807</v>
      </c>
      <c r="AG163" s="765">
        <f t="shared" si="415"/>
        <v>3361.5796454843276</v>
      </c>
      <c r="AH163" s="765">
        <f t="shared" si="415"/>
        <v>12377.61142146768</v>
      </c>
      <c r="AI163" s="765">
        <f t="shared" si="415"/>
        <v>-5654.452130499023</v>
      </c>
      <c r="AJ163" s="765">
        <f t="shared" si="415"/>
        <v>21393.643197451027</v>
      </c>
      <c r="AK163" s="765">
        <f t="shared" si="415"/>
        <v>-14670.483906482374</v>
      </c>
    </row>
    <row r="164" spans="2:37" x14ac:dyDescent="0.3">
      <c r="B164" s="284" t="s">
        <v>685</v>
      </c>
      <c r="C164" s="165"/>
      <c r="D164" s="288"/>
      <c r="E164" s="288"/>
      <c r="F164" s="288"/>
      <c r="G164" s="285" t="s">
        <v>599</v>
      </c>
      <c r="H164" s="295">
        <f>H160+H161-H162</f>
        <v>1622.1973600284255</v>
      </c>
      <c r="I164" s="295">
        <f t="shared" ref="I164:U164" si="416">I160+I161-I162</f>
        <v>6206.8856414967086</v>
      </c>
      <c r="J164" s="295">
        <f t="shared" si="416"/>
        <v>-2962.4909214398576</v>
      </c>
      <c r="K164" s="295">
        <f t="shared" si="416"/>
        <v>10791.573922964995</v>
      </c>
      <c r="L164" s="295">
        <f t="shared" si="416"/>
        <v>-7547.1792029081425</v>
      </c>
      <c r="M164" s="295">
        <f t="shared" si="416"/>
        <v>7372.9104714839232</v>
      </c>
      <c r="N164" s="295">
        <f t="shared" si="416"/>
        <v>13605.405637708845</v>
      </c>
      <c r="O164" s="295">
        <f t="shared" si="416"/>
        <v>1140.4153052589954</v>
      </c>
      <c r="P164" s="295">
        <f t="shared" si="416"/>
        <v>19837.900803933782</v>
      </c>
      <c r="Q164" s="295">
        <f t="shared" si="416"/>
        <v>-5092.0798609659341</v>
      </c>
      <c r="R164" s="766">
        <f t="shared" si="416"/>
        <v>1491.5732719043299</v>
      </c>
      <c r="S164" s="766">
        <f t="shared" si="416"/>
        <v>10180.51816601005</v>
      </c>
      <c r="T164" s="766">
        <f t="shared" si="416"/>
        <v>-7197.3716222013954</v>
      </c>
      <c r="U164" s="766">
        <f t="shared" si="416"/>
        <v>18869.463060115773</v>
      </c>
      <c r="V164" s="766">
        <f t="shared" ref="V164:W164" si="417">V160+V161-V162</f>
        <v>-15886.316516307119</v>
      </c>
      <c r="W164" s="766">
        <f t="shared" si="417"/>
        <v>4320.5163152355553</v>
      </c>
      <c r="X164" s="766">
        <f t="shared" ref="X164:AE164" si="418">X160+X161-X162</f>
        <v>8167.2162212906433</v>
      </c>
      <c r="Y164" s="766">
        <f t="shared" si="418"/>
        <v>473.8164091804656</v>
      </c>
      <c r="Z164" s="766">
        <f t="shared" si="418"/>
        <v>12013.916127345736</v>
      </c>
      <c r="AA164" s="766">
        <f t="shared" si="418"/>
        <v>-3372.8834968746237</v>
      </c>
      <c r="AB164" s="766">
        <f t="shared" si="418"/>
        <v>4603.6493655649911</v>
      </c>
      <c r="AC164" s="766">
        <f t="shared" si="418"/>
        <v>9298.3936553985877</v>
      </c>
      <c r="AD164" s="766">
        <f t="shared" si="418"/>
        <v>-91.0949242686047</v>
      </c>
      <c r="AE164" s="766">
        <f t="shared" si="418"/>
        <v>13993.137945232185</v>
      </c>
      <c r="AF164" s="766">
        <f t="shared" ref="AF164:AK164" si="419">AF160+AF161-AF162</f>
        <v>-4785.8392141021995</v>
      </c>
      <c r="AG164" s="766">
        <f t="shared" si="419"/>
        <v>5493.8099141743096</v>
      </c>
      <c r="AH164" s="766">
        <f t="shared" si="419"/>
        <v>14509.841690157662</v>
      </c>
      <c r="AI164" s="766">
        <f t="shared" si="419"/>
        <v>-3522.2218618090428</v>
      </c>
      <c r="AJ164" s="766">
        <f t="shared" si="419"/>
        <v>23525.873466141005</v>
      </c>
      <c r="AK164" s="766">
        <f t="shared" si="419"/>
        <v>-12538.253637792393</v>
      </c>
    </row>
    <row r="165" spans="2:37" x14ac:dyDescent="0.3">
      <c r="B165" s="62" t="s">
        <v>686</v>
      </c>
      <c r="C165" s="24"/>
      <c r="D165" s="289"/>
      <c r="E165" s="289"/>
      <c r="F165" s="289"/>
      <c r="G165" s="280" t="s">
        <v>599</v>
      </c>
      <c r="H165" s="290">
        <f>H163*((1+$B$4)^16)/(((1+$B$4)^16)-1)</f>
        <v>-1094.2755956126325</v>
      </c>
      <c r="I165" s="290">
        <f t="shared" ref="I165:Q166" si="420">I163*((1+$B$4)^16)/(((1+$B$4)^16)-1)</f>
        <v>8742.1730231000511</v>
      </c>
      <c r="J165" s="290">
        <f t="shared" si="420"/>
        <v>-10930.724214325317</v>
      </c>
      <c r="K165" s="290">
        <f t="shared" si="420"/>
        <v>18578.621641812737</v>
      </c>
      <c r="L165" s="290">
        <f t="shared" si="420"/>
        <v>-20767.172833038003</v>
      </c>
      <c r="M165" s="290">
        <f t="shared" si="420"/>
        <v>11243.879273157081</v>
      </c>
      <c r="N165" s="290">
        <f t="shared" si="420"/>
        <v>24615.697531063368</v>
      </c>
      <c r="O165" s="290">
        <f t="shared" si="420"/>
        <v>-2127.9389847492253</v>
      </c>
      <c r="P165" s="290">
        <f t="shared" si="420"/>
        <v>37987.515788969686</v>
      </c>
      <c r="Q165" s="290">
        <f>Q163*((1+$B$4)^16)/(((1+$B$4)^16)-1)</f>
        <v>-15499.757242655531</v>
      </c>
      <c r="R165" s="290">
        <f>R163*((1+$B$4)^16)/(((1+$B$4)^16)-1)</f>
        <v>-1374.5295741420932</v>
      </c>
      <c r="S165" s="290">
        <f t="shared" ref="S165:V166" si="421">S163*((1+$B$4)^16)/(((1+$B$4)^16)-1)</f>
        <v>17267.601527151644</v>
      </c>
      <c r="T165" s="290">
        <f t="shared" si="421"/>
        <v>-20016.66067543584</v>
      </c>
      <c r="U165" s="290">
        <f t="shared" si="421"/>
        <v>35909.732628445403</v>
      </c>
      <c r="V165" s="290">
        <f t="shared" si="421"/>
        <v>-38658.791776729588</v>
      </c>
      <c r="W165" s="290">
        <f>W163*((1+$B$4)^16)/(((1+$B$4)^16)-1)</f>
        <v>4694.9676702988236</v>
      </c>
      <c r="X165" s="290">
        <f t="shared" ref="X165:AA166" si="422">X163*((1+$B$4)^16)/(((1+$B$4)^16)-1)</f>
        <v>12948.062243917228</v>
      </c>
      <c r="Y165" s="290">
        <f t="shared" si="422"/>
        <v>-3558.1269033195858</v>
      </c>
      <c r="Z165" s="290">
        <f t="shared" si="422"/>
        <v>21201.156817535641</v>
      </c>
      <c r="AA165" s="290">
        <f t="shared" si="422"/>
        <v>-11811.221476937995</v>
      </c>
      <c r="AB165" s="290">
        <f>AB163*((1+$B$4)^16)/(((1+$B$4)^16)-1)</f>
        <v>5302.4296242733599</v>
      </c>
      <c r="AC165" s="290">
        <f t="shared" ref="AC165:AK166" si="423">AC163*((1+$B$4)^16)/(((1+$B$4)^16)-1)</f>
        <v>15375.003406793108</v>
      </c>
      <c r="AD165" s="290">
        <f t="shared" si="423"/>
        <v>-4770.144158246384</v>
      </c>
      <c r="AE165" s="290">
        <f t="shared" si="423"/>
        <v>25447.577189312851</v>
      </c>
      <c r="AF165" s="290">
        <f t="shared" si="423"/>
        <v>-14842.717940766128</v>
      </c>
      <c r="AG165" s="290">
        <f t="shared" si="423"/>
        <v>7212.2690639999919</v>
      </c>
      <c r="AH165" s="290">
        <f t="shared" si="423"/>
        <v>26556.165063999972</v>
      </c>
      <c r="AI165" s="290">
        <f t="shared" si="423"/>
        <v>-12131.626935999984</v>
      </c>
      <c r="AJ165" s="290">
        <f t="shared" si="423"/>
        <v>45900.061063999936</v>
      </c>
      <c r="AK165" s="290">
        <f t="shared" si="423"/>
        <v>-31475.522935999961</v>
      </c>
    </row>
    <row r="166" spans="2:37" x14ac:dyDescent="0.3">
      <c r="B166" s="41" t="s">
        <v>687</v>
      </c>
      <c r="C166" s="24"/>
      <c r="D166" s="149"/>
      <c r="E166" s="149"/>
      <c r="F166" s="149"/>
      <c r="G166" s="285" t="s">
        <v>599</v>
      </c>
      <c r="H166" s="293">
        <f>H164*((1+$B$4)^16)/(((1+$B$4)^16)-1)</f>
        <v>3480.4244043873618</v>
      </c>
      <c r="I166" s="293">
        <f t="shared" si="420"/>
        <v>13316.873023100045</v>
      </c>
      <c r="J166" s="293">
        <f t="shared" si="420"/>
        <v>-6356.0242143253208</v>
      </c>
      <c r="K166" s="293">
        <f t="shared" si="420"/>
        <v>23153.321641812734</v>
      </c>
      <c r="L166" s="293">
        <f t="shared" si="420"/>
        <v>-16192.472833038008</v>
      </c>
      <c r="M166" s="293">
        <f t="shared" si="420"/>
        <v>15818.579273157075</v>
      </c>
      <c r="N166" s="293">
        <f t="shared" si="420"/>
        <v>29190.397531063369</v>
      </c>
      <c r="O166" s="293">
        <f t="shared" si="420"/>
        <v>2446.7610152507705</v>
      </c>
      <c r="P166" s="293">
        <f t="shared" si="420"/>
        <v>42562.21578896969</v>
      </c>
      <c r="Q166" s="293">
        <f t="shared" si="420"/>
        <v>-10925.057242655537</v>
      </c>
      <c r="R166" s="768">
        <f>R164*((1+$B$4)^16)/(((1+$B$4)^16)-1)</f>
        <v>3200.1704258579052</v>
      </c>
      <c r="S166" s="768">
        <f t="shared" si="421"/>
        <v>21842.301527151645</v>
      </c>
      <c r="T166" s="768">
        <f t="shared" si="421"/>
        <v>-15441.960675435846</v>
      </c>
      <c r="U166" s="768">
        <f t="shared" si="421"/>
        <v>40484.432628445393</v>
      </c>
      <c r="V166" s="768">
        <f t="shared" si="421"/>
        <v>-34084.09177672959</v>
      </c>
      <c r="W166" s="768">
        <f>W164*((1+$B$4)^16)/(((1+$B$4)^16)-1)</f>
        <v>9269.667670298817</v>
      </c>
      <c r="X166" s="768">
        <f t="shared" si="422"/>
        <v>17522.762243917223</v>
      </c>
      <c r="Y166" s="768">
        <f t="shared" si="422"/>
        <v>1016.5730966804089</v>
      </c>
      <c r="Z166" s="768">
        <f t="shared" si="422"/>
        <v>25775.856817535638</v>
      </c>
      <c r="AA166" s="768">
        <f t="shared" si="422"/>
        <v>-7236.5214769379991</v>
      </c>
      <c r="AB166" s="768">
        <f>AB164*((1+$B$4)^16)/(((1+$B$4)^16)-1)</f>
        <v>9877.1296242733551</v>
      </c>
      <c r="AC166" s="768">
        <f t="shared" si="423"/>
        <v>19949.703406793102</v>
      </c>
      <c r="AD166" s="768">
        <f t="shared" si="423"/>
        <v>-195.44415824638918</v>
      </c>
      <c r="AE166" s="768">
        <f t="shared" si="423"/>
        <v>30022.277189312848</v>
      </c>
      <c r="AF166" s="768">
        <f t="shared" si="423"/>
        <v>-10268.017940766133</v>
      </c>
      <c r="AG166" s="768">
        <f t="shared" si="423"/>
        <v>11786.96906399999</v>
      </c>
      <c r="AH166" s="768">
        <f t="shared" si="423"/>
        <v>31130.865063999969</v>
      </c>
      <c r="AI166" s="768">
        <f t="shared" si="423"/>
        <v>-7556.9269359999907</v>
      </c>
      <c r="AJ166" s="768">
        <f t="shared" si="423"/>
        <v>50474.761063999933</v>
      </c>
      <c r="AK166" s="768">
        <f t="shared" si="423"/>
        <v>-26900.822935999968</v>
      </c>
    </row>
    <row r="167" spans="2:37" x14ac:dyDescent="0.3">
      <c r="B167" s="62" t="s">
        <v>688</v>
      </c>
      <c r="C167" s="265"/>
      <c r="D167" s="289"/>
      <c r="E167" s="289"/>
      <c r="F167" s="289"/>
      <c r="G167" s="280" t="s">
        <v>615</v>
      </c>
      <c r="H167" s="290">
        <f>H165*$B$4</f>
        <v>-43.771023824505299</v>
      </c>
      <c r="I167" s="290">
        <f t="shared" ref="I167:Q168" si="424">I165*$B$4</f>
        <v>349.68692092400204</v>
      </c>
      <c r="J167" s="290">
        <f t="shared" si="424"/>
        <v>-437.22896857301271</v>
      </c>
      <c r="K167" s="290">
        <f t="shared" si="424"/>
        <v>743.14486567250947</v>
      </c>
      <c r="L167" s="290">
        <f t="shared" si="424"/>
        <v>-830.68691332152014</v>
      </c>
      <c r="M167" s="290">
        <f t="shared" si="424"/>
        <v>449.75517092628326</v>
      </c>
      <c r="N167" s="290">
        <f t="shared" si="424"/>
        <v>984.62790124253479</v>
      </c>
      <c r="O167" s="290">
        <f t="shared" si="424"/>
        <v>-85.117559389969017</v>
      </c>
      <c r="P167" s="290">
        <f t="shared" si="424"/>
        <v>1519.5006315587875</v>
      </c>
      <c r="Q167" s="290">
        <f t="shared" si="424"/>
        <v>-619.99028970622123</v>
      </c>
      <c r="R167" s="767">
        <f>R165*$B$4</f>
        <v>-54.981182965683729</v>
      </c>
      <c r="S167" s="767">
        <f t="shared" ref="S167:V168" si="425">S165*$B$4</f>
        <v>690.70406108606574</v>
      </c>
      <c r="T167" s="767">
        <f t="shared" si="425"/>
        <v>-800.66642701743365</v>
      </c>
      <c r="U167" s="767">
        <f t="shared" si="425"/>
        <v>1436.3893051378161</v>
      </c>
      <c r="V167" s="767">
        <f t="shared" si="425"/>
        <v>-1546.3516710691836</v>
      </c>
      <c r="W167" s="767">
        <f>W165*$B$4</f>
        <v>187.79870681195294</v>
      </c>
      <c r="X167" s="767">
        <f t="shared" ref="X167:AA168" si="426">X165*$B$4</f>
        <v>517.92248975668906</v>
      </c>
      <c r="Y167" s="767">
        <f t="shared" si="426"/>
        <v>-142.32507613278344</v>
      </c>
      <c r="Z167" s="767">
        <f t="shared" si="426"/>
        <v>848.04627270142566</v>
      </c>
      <c r="AA167" s="767">
        <f t="shared" si="426"/>
        <v>-472.44885907751984</v>
      </c>
      <c r="AB167" s="767">
        <f>AB165*$B$4</f>
        <v>212.09718497093439</v>
      </c>
      <c r="AC167" s="767">
        <f t="shared" ref="AC167:AK168" si="427">AC165*$B$4</f>
        <v>615.00013627172439</v>
      </c>
      <c r="AD167" s="767">
        <f t="shared" si="427"/>
        <v>-190.80576632985537</v>
      </c>
      <c r="AE167" s="767">
        <f t="shared" si="427"/>
        <v>1017.9030875725141</v>
      </c>
      <c r="AF167" s="767">
        <f t="shared" si="427"/>
        <v>-593.70871763064508</v>
      </c>
      <c r="AG167" s="767">
        <f t="shared" si="427"/>
        <v>288.49076255999967</v>
      </c>
      <c r="AH167" s="767">
        <f t="shared" si="427"/>
        <v>1062.2466025599988</v>
      </c>
      <c r="AI167" s="767">
        <f t="shared" si="427"/>
        <v>-485.2650774399994</v>
      </c>
      <c r="AJ167" s="767">
        <f t="shared" si="427"/>
        <v>1836.0024425599975</v>
      </c>
      <c r="AK167" s="767">
        <f t="shared" si="427"/>
        <v>-1259.0209174399986</v>
      </c>
    </row>
    <row r="168" spans="2:37" x14ac:dyDescent="0.3">
      <c r="B168" s="46" t="s">
        <v>689</v>
      </c>
      <c r="C168" s="291"/>
      <c r="D168" s="292"/>
      <c r="E168" s="292"/>
      <c r="F168" s="292"/>
      <c r="G168" s="285" t="s">
        <v>615</v>
      </c>
      <c r="H168" s="293">
        <f>H166*$B$4</f>
        <v>139.21697617549447</v>
      </c>
      <c r="I168" s="293">
        <f t="shared" si="424"/>
        <v>532.67492092400175</v>
      </c>
      <c r="J168" s="293">
        <f t="shared" si="424"/>
        <v>-254.24096857301285</v>
      </c>
      <c r="K168" s="293">
        <f t="shared" si="424"/>
        <v>926.13286567250941</v>
      </c>
      <c r="L168" s="293">
        <f t="shared" si="424"/>
        <v>-647.69891332152031</v>
      </c>
      <c r="M168" s="293">
        <f t="shared" si="424"/>
        <v>632.74317092628303</v>
      </c>
      <c r="N168" s="293">
        <f t="shared" si="424"/>
        <v>1167.6159012425348</v>
      </c>
      <c r="O168" s="293">
        <f t="shared" si="424"/>
        <v>97.870440610030826</v>
      </c>
      <c r="P168" s="293">
        <f t="shared" si="424"/>
        <v>1702.4886315587876</v>
      </c>
      <c r="Q168" s="293">
        <f t="shared" si="424"/>
        <v>-437.00228970622152</v>
      </c>
      <c r="R168" s="768">
        <f>R166*$B$4</f>
        <v>128.00681703431621</v>
      </c>
      <c r="S168" s="768">
        <f t="shared" si="425"/>
        <v>873.69206108606579</v>
      </c>
      <c r="T168" s="768">
        <f t="shared" si="425"/>
        <v>-617.67842701743382</v>
      </c>
      <c r="U168" s="768">
        <f t="shared" si="425"/>
        <v>1619.3773051378157</v>
      </c>
      <c r="V168" s="768">
        <f t="shared" si="425"/>
        <v>-1363.3636710691837</v>
      </c>
      <c r="W168" s="768">
        <f>W166*$B$4</f>
        <v>370.78670681195268</v>
      </c>
      <c r="X168" s="768">
        <f t="shared" si="426"/>
        <v>700.91048975668889</v>
      </c>
      <c r="Y168" s="768">
        <f t="shared" si="426"/>
        <v>40.662923867216357</v>
      </c>
      <c r="Z168" s="768">
        <f t="shared" si="426"/>
        <v>1031.0342727014256</v>
      </c>
      <c r="AA168" s="768">
        <f t="shared" si="426"/>
        <v>-289.46085907751996</v>
      </c>
      <c r="AB168" s="768">
        <f>AB166*$B$4</f>
        <v>395.08518497093422</v>
      </c>
      <c r="AC168" s="768">
        <f t="shared" si="427"/>
        <v>797.9881362717241</v>
      </c>
      <c r="AD168" s="768">
        <f t="shared" si="427"/>
        <v>-7.8177663298555675</v>
      </c>
      <c r="AE168" s="768">
        <f t="shared" si="427"/>
        <v>1200.8910875725139</v>
      </c>
      <c r="AF168" s="768">
        <f t="shared" si="427"/>
        <v>-410.72071763064531</v>
      </c>
      <c r="AG168" s="768">
        <f t="shared" si="427"/>
        <v>471.47876255999961</v>
      </c>
      <c r="AH168" s="768">
        <f t="shared" si="427"/>
        <v>1245.2346025599988</v>
      </c>
      <c r="AI168" s="768">
        <f t="shared" si="427"/>
        <v>-302.27707743999963</v>
      </c>
      <c r="AJ168" s="768">
        <f t="shared" si="427"/>
        <v>2018.9904425599973</v>
      </c>
      <c r="AK168" s="768">
        <f t="shared" si="427"/>
        <v>-1076.0329174399988</v>
      </c>
    </row>
  </sheetData>
  <mergeCells count="77">
    <mergeCell ref="DF9:DJ9"/>
    <mergeCell ref="DK9:DO9"/>
    <mergeCell ref="BY35:CA35"/>
    <mergeCell ref="CD35:CE35"/>
    <mergeCell ref="CH35:CL35"/>
    <mergeCell ref="CM35:CQ35"/>
    <mergeCell ref="CW35:CY35"/>
    <mergeCell ref="DB35:DC35"/>
    <mergeCell ref="DF35:DJ35"/>
    <mergeCell ref="DK35:DO35"/>
    <mergeCell ref="AL35:AP35"/>
    <mergeCell ref="AQ35:AU35"/>
    <mergeCell ref="CH9:CL9"/>
    <mergeCell ref="CM9:CQ9"/>
    <mergeCell ref="BA35:BC35"/>
    <mergeCell ref="BF35:BG35"/>
    <mergeCell ref="BJ35:BN35"/>
    <mergeCell ref="BO35:BS35"/>
    <mergeCell ref="BA9:BC9"/>
    <mergeCell ref="BF9:BG9"/>
    <mergeCell ref="AL9:AP9"/>
    <mergeCell ref="AQ9:AU9"/>
    <mergeCell ref="BJ9:BN9"/>
    <mergeCell ref="BO9:BS9"/>
    <mergeCell ref="B2:D2"/>
    <mergeCell ref="AH35:AI35"/>
    <mergeCell ref="E9:G9"/>
    <mergeCell ref="J9:K9"/>
    <mergeCell ref="N9:R9"/>
    <mergeCell ref="S9:W9"/>
    <mergeCell ref="AC9:AE9"/>
    <mergeCell ref="AH9:AI9"/>
    <mergeCell ref="E35:G35"/>
    <mergeCell ref="J35:K35"/>
    <mergeCell ref="N35:R35"/>
    <mergeCell ref="S35:W35"/>
    <mergeCell ref="AC35:AE35"/>
    <mergeCell ref="AH85:AI85"/>
    <mergeCell ref="AL85:AP85"/>
    <mergeCell ref="AQ85:AU85"/>
    <mergeCell ref="BA85:BC85"/>
    <mergeCell ref="BF85:BG85"/>
    <mergeCell ref="E85:G85"/>
    <mergeCell ref="J85:K85"/>
    <mergeCell ref="N85:R85"/>
    <mergeCell ref="S85:W85"/>
    <mergeCell ref="AC85:AE85"/>
    <mergeCell ref="CM85:CQ85"/>
    <mergeCell ref="CW85:CY85"/>
    <mergeCell ref="DB85:DC85"/>
    <mergeCell ref="DF85:DJ85"/>
    <mergeCell ref="DK85:DO85"/>
    <mergeCell ref="BJ85:BN85"/>
    <mergeCell ref="BO85:BS85"/>
    <mergeCell ref="BY85:CA85"/>
    <mergeCell ref="CD85:CE85"/>
    <mergeCell ref="CH85:CL85"/>
    <mergeCell ref="AH110:AI110"/>
    <mergeCell ref="AL110:AP110"/>
    <mergeCell ref="AQ110:AU110"/>
    <mergeCell ref="BA110:BC110"/>
    <mergeCell ref="BF110:BG110"/>
    <mergeCell ref="E110:G110"/>
    <mergeCell ref="J110:K110"/>
    <mergeCell ref="N110:R110"/>
    <mergeCell ref="S110:W110"/>
    <mergeCell ref="AC110:AE110"/>
    <mergeCell ref="CM110:CQ110"/>
    <mergeCell ref="CW110:CY110"/>
    <mergeCell ref="DB110:DC110"/>
    <mergeCell ref="DF110:DJ110"/>
    <mergeCell ref="DK110:DO110"/>
    <mergeCell ref="BJ110:BN110"/>
    <mergeCell ref="BO110:BS110"/>
    <mergeCell ref="BY110:CA110"/>
    <mergeCell ref="CD110:CE110"/>
    <mergeCell ref="CH110:CL110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Y168"/>
  <sheetViews>
    <sheetView topLeftCell="A10" zoomScale="120" zoomScaleNormal="120" workbookViewId="0">
      <selection activeCell="E10" sqref="E10"/>
    </sheetView>
  </sheetViews>
  <sheetFormatPr defaultColWidth="9" defaultRowHeight="14" x14ac:dyDescent="0.3"/>
  <cols>
    <col min="3" max="3" width="10.1640625" bestFit="1" customWidth="1"/>
  </cols>
  <sheetData>
    <row r="2" spans="1:119" x14ac:dyDescent="0.3">
      <c r="B2" s="1094" t="s">
        <v>350</v>
      </c>
      <c r="C2" s="1095"/>
      <c r="D2" s="1096"/>
    </row>
    <row r="4" spans="1:119" x14ac:dyDescent="0.3">
      <c r="A4" t="s">
        <v>419</v>
      </c>
      <c r="B4" s="266">
        <f>'Arable Inputs'!D9</f>
        <v>0.04</v>
      </c>
    </row>
    <row r="8" spans="1:119" x14ac:dyDescent="0.3">
      <c r="B8" s="227" t="s">
        <v>96</v>
      </c>
      <c r="C8" s="763" t="s">
        <v>414</v>
      </c>
      <c r="D8" s="269" t="s">
        <v>405</v>
      </c>
      <c r="E8" s="906">
        <v>1</v>
      </c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Z8" s="227" t="s">
        <v>96</v>
      </c>
      <c r="AA8" s="211" t="s">
        <v>331</v>
      </c>
      <c r="AB8" s="906">
        <v>1.5</v>
      </c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X8" s="227" t="s">
        <v>96</v>
      </c>
      <c r="AY8" s="211" t="s">
        <v>332</v>
      </c>
      <c r="AZ8" s="906">
        <v>0.5</v>
      </c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V8" s="227" t="s">
        <v>96</v>
      </c>
      <c r="BW8" s="211" t="s">
        <v>333</v>
      </c>
      <c r="BX8" s="906">
        <v>2</v>
      </c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T8" s="227" t="s">
        <v>96</v>
      </c>
      <c r="CU8" s="211" t="s">
        <v>334</v>
      </c>
      <c r="CV8" s="906">
        <v>0</v>
      </c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</row>
    <row r="9" spans="1:119" x14ac:dyDescent="0.3">
      <c r="B9" s="203"/>
      <c r="C9" s="148"/>
      <c r="D9" s="148"/>
      <c r="E9" s="1086"/>
      <c r="F9" s="1086"/>
      <c r="G9" s="1086"/>
      <c r="H9" s="148"/>
      <c r="I9" s="931"/>
      <c r="J9" s="1086"/>
      <c r="K9" s="1086"/>
      <c r="L9" s="148"/>
      <c r="M9" s="148"/>
      <c r="N9" s="1087" t="s">
        <v>275</v>
      </c>
      <c r="O9" s="1088"/>
      <c r="P9" s="1088"/>
      <c r="Q9" s="1088"/>
      <c r="R9" s="1089"/>
      <c r="S9" s="1087" t="s">
        <v>276</v>
      </c>
      <c r="T9" s="1088"/>
      <c r="U9" s="1088"/>
      <c r="V9" s="1088"/>
      <c r="W9" s="1089"/>
      <c r="X9" s="987"/>
      <c r="Z9" s="203"/>
      <c r="AA9" s="148"/>
      <c r="AB9" s="148"/>
      <c r="AC9" s="1086"/>
      <c r="AD9" s="1086"/>
      <c r="AE9" s="1086"/>
      <c r="AF9" s="148"/>
      <c r="AG9" s="931"/>
      <c r="AH9" s="1086"/>
      <c r="AI9" s="1086"/>
      <c r="AJ9" s="148"/>
      <c r="AK9" s="148"/>
      <c r="AL9" s="1087" t="s">
        <v>317</v>
      </c>
      <c r="AM9" s="1088"/>
      <c r="AN9" s="1088"/>
      <c r="AO9" s="1088"/>
      <c r="AP9" s="1089"/>
      <c r="AQ9" s="1087" t="s">
        <v>276</v>
      </c>
      <c r="AR9" s="1088"/>
      <c r="AS9" s="1088"/>
      <c r="AT9" s="1088"/>
      <c r="AU9" s="1089"/>
      <c r="AV9" s="987"/>
      <c r="AX9" s="203"/>
      <c r="AY9" s="148"/>
      <c r="AZ9" s="148"/>
      <c r="BA9" s="232"/>
      <c r="BB9" s="232"/>
      <c r="BC9" s="232"/>
      <c r="BD9" s="148"/>
      <c r="BE9" s="931"/>
      <c r="BF9" s="232"/>
      <c r="BG9" s="232"/>
      <c r="BH9" s="148"/>
      <c r="BI9" s="148"/>
      <c r="BJ9" s="1087" t="s">
        <v>275</v>
      </c>
      <c r="BK9" s="1088"/>
      <c r="BL9" s="1088"/>
      <c r="BM9" s="1088"/>
      <c r="BN9" s="1089"/>
      <c r="BO9" s="1087" t="s">
        <v>276</v>
      </c>
      <c r="BP9" s="1088"/>
      <c r="BQ9" s="1088"/>
      <c r="BR9" s="1088"/>
      <c r="BS9" s="1089"/>
      <c r="BT9" s="987"/>
      <c r="BV9" s="203"/>
      <c r="BW9" s="148"/>
      <c r="BX9" s="148"/>
      <c r="BY9" s="265"/>
      <c r="BZ9" s="265"/>
      <c r="CA9" s="265"/>
      <c r="CB9" s="148"/>
      <c r="CC9" s="931"/>
      <c r="CD9" s="265"/>
      <c r="CE9" s="265"/>
      <c r="CF9" s="148"/>
      <c r="CG9" s="148"/>
      <c r="CH9" s="1087" t="s">
        <v>275</v>
      </c>
      <c r="CI9" s="1088"/>
      <c r="CJ9" s="1088"/>
      <c r="CK9" s="1088"/>
      <c r="CL9" s="1089"/>
      <c r="CM9" s="1087" t="s">
        <v>276</v>
      </c>
      <c r="CN9" s="1088"/>
      <c r="CO9" s="1088"/>
      <c r="CP9" s="1088"/>
      <c r="CQ9" s="1089"/>
      <c r="CR9" s="987"/>
      <c r="CT9" s="203"/>
      <c r="CU9" s="148"/>
      <c r="CV9" s="148"/>
      <c r="CW9" s="265"/>
      <c r="CX9" s="265"/>
      <c r="CY9" s="265"/>
      <c r="CZ9" s="148"/>
      <c r="DA9" s="931"/>
      <c r="DB9" s="265"/>
      <c r="DC9" s="265"/>
      <c r="DD9" s="148"/>
      <c r="DE9" s="148"/>
      <c r="DF9" s="1087" t="s">
        <v>275</v>
      </c>
      <c r="DG9" s="1088"/>
      <c r="DH9" s="1088"/>
      <c r="DI9" s="1088"/>
      <c r="DJ9" s="1089"/>
      <c r="DK9" s="1087" t="s">
        <v>276</v>
      </c>
      <c r="DL9" s="1088"/>
      <c r="DM9" s="1088"/>
      <c r="DN9" s="1088"/>
      <c r="DO9" s="1089"/>
    </row>
    <row r="10" spans="1:119" ht="51" x14ac:dyDescent="0.3">
      <c r="B10" s="204" t="s">
        <v>277</v>
      </c>
      <c r="C10" s="205" t="s">
        <v>303</v>
      </c>
      <c r="D10" s="205" t="s">
        <v>304</v>
      </c>
      <c r="E10" s="171" t="s">
        <v>675</v>
      </c>
      <c r="F10" s="171" t="s">
        <v>666</v>
      </c>
      <c r="G10" s="171" t="s">
        <v>676</v>
      </c>
      <c r="H10" s="205" t="s">
        <v>301</v>
      </c>
      <c r="I10" s="935" t="str">
        <f>'Energy NPV'!U63</f>
        <v>Total Recurring Costs</v>
      </c>
      <c r="J10" s="205" t="s">
        <v>305</v>
      </c>
      <c r="K10" s="171" t="s">
        <v>283</v>
      </c>
      <c r="L10" s="171" t="s">
        <v>677</v>
      </c>
      <c r="M10" s="171" t="s">
        <v>678</v>
      </c>
      <c r="N10" s="195" t="s">
        <v>286</v>
      </c>
      <c r="O10" s="171" t="s">
        <v>679</v>
      </c>
      <c r="P10" s="171" t="s">
        <v>288</v>
      </c>
      <c r="Q10" s="171" t="s">
        <v>680</v>
      </c>
      <c r="R10" s="198" t="s">
        <v>290</v>
      </c>
      <c r="S10" s="195" t="s">
        <v>291</v>
      </c>
      <c r="T10" s="171" t="s">
        <v>681</v>
      </c>
      <c r="U10" s="171" t="s">
        <v>293</v>
      </c>
      <c r="V10" s="171" t="s">
        <v>682</v>
      </c>
      <c r="W10" s="198" t="s">
        <v>295</v>
      </c>
      <c r="X10" s="171"/>
      <c r="Z10" s="204" t="s">
        <v>277</v>
      </c>
      <c r="AA10" s="205" t="s">
        <v>303</v>
      </c>
      <c r="AB10" s="205" t="s">
        <v>304</v>
      </c>
      <c r="AC10" s="171" t="s">
        <v>675</v>
      </c>
      <c r="AD10" s="171" t="s">
        <v>666</v>
      </c>
      <c r="AE10" s="171" t="s">
        <v>676</v>
      </c>
      <c r="AF10" s="205" t="s">
        <v>301</v>
      </c>
      <c r="AG10" s="935" t="str">
        <f>'Energy NPV'!U63</f>
        <v>Total Recurring Costs</v>
      </c>
      <c r="AH10" s="205" t="s">
        <v>305</v>
      </c>
      <c r="AI10" s="171" t="s">
        <v>283</v>
      </c>
      <c r="AJ10" s="171" t="s">
        <v>677</v>
      </c>
      <c r="AK10" s="171" t="s">
        <v>678</v>
      </c>
      <c r="AL10" s="195" t="s">
        <v>286</v>
      </c>
      <c r="AM10" s="171" t="s">
        <v>679</v>
      </c>
      <c r="AN10" s="171" t="s">
        <v>288</v>
      </c>
      <c r="AO10" s="171" t="s">
        <v>680</v>
      </c>
      <c r="AP10" s="198" t="s">
        <v>290</v>
      </c>
      <c r="AQ10" s="195" t="s">
        <v>291</v>
      </c>
      <c r="AR10" s="171" t="s">
        <v>681</v>
      </c>
      <c r="AS10" s="171" t="s">
        <v>293</v>
      </c>
      <c r="AT10" s="171" t="s">
        <v>682</v>
      </c>
      <c r="AU10" s="198" t="s">
        <v>295</v>
      </c>
      <c r="AV10" s="171"/>
      <c r="AX10" s="204" t="s">
        <v>277</v>
      </c>
      <c r="AY10" s="205" t="s">
        <v>303</v>
      </c>
      <c r="AZ10" s="205" t="s">
        <v>304</v>
      </c>
      <c r="BA10" s="171" t="s">
        <v>675</v>
      </c>
      <c r="BB10" s="171" t="s">
        <v>666</v>
      </c>
      <c r="BC10" s="171" t="s">
        <v>676</v>
      </c>
      <c r="BD10" s="205" t="s">
        <v>301</v>
      </c>
      <c r="BE10" s="935" t="str">
        <f>'Energy NPV'!U63</f>
        <v>Total Recurring Costs</v>
      </c>
      <c r="BF10" s="205" t="s">
        <v>305</v>
      </c>
      <c r="BG10" s="171" t="s">
        <v>283</v>
      </c>
      <c r="BH10" s="171" t="s">
        <v>677</v>
      </c>
      <c r="BI10" s="171" t="s">
        <v>678</v>
      </c>
      <c r="BJ10" s="195" t="s">
        <v>286</v>
      </c>
      <c r="BK10" s="171" t="s">
        <v>679</v>
      </c>
      <c r="BL10" s="171" t="s">
        <v>288</v>
      </c>
      <c r="BM10" s="171" t="s">
        <v>680</v>
      </c>
      <c r="BN10" s="198" t="s">
        <v>290</v>
      </c>
      <c r="BO10" s="195" t="s">
        <v>291</v>
      </c>
      <c r="BP10" s="171" t="s">
        <v>681</v>
      </c>
      <c r="BQ10" s="171" t="s">
        <v>293</v>
      </c>
      <c r="BR10" s="171" t="s">
        <v>682</v>
      </c>
      <c r="BS10" s="198" t="s">
        <v>295</v>
      </c>
      <c r="BT10" s="171"/>
      <c r="BV10" s="204" t="s">
        <v>277</v>
      </c>
      <c r="BW10" s="205" t="s">
        <v>303</v>
      </c>
      <c r="BX10" s="205" t="s">
        <v>304</v>
      </c>
      <c r="BY10" s="171" t="s">
        <v>675</v>
      </c>
      <c r="BZ10" s="171" t="s">
        <v>666</v>
      </c>
      <c r="CA10" s="171" t="s">
        <v>676</v>
      </c>
      <c r="CB10" s="205" t="s">
        <v>301</v>
      </c>
      <c r="CC10" s="935" t="str">
        <f>'Energy NPV'!U63</f>
        <v>Total Recurring Costs</v>
      </c>
      <c r="CD10" s="205" t="s">
        <v>305</v>
      </c>
      <c r="CE10" s="171" t="s">
        <v>283</v>
      </c>
      <c r="CF10" s="171" t="s">
        <v>677</v>
      </c>
      <c r="CG10" s="171" t="s">
        <v>678</v>
      </c>
      <c r="CH10" s="195" t="s">
        <v>286</v>
      </c>
      <c r="CI10" s="171" t="s">
        <v>679</v>
      </c>
      <c r="CJ10" s="171" t="s">
        <v>288</v>
      </c>
      <c r="CK10" s="171" t="s">
        <v>680</v>
      </c>
      <c r="CL10" s="198" t="s">
        <v>290</v>
      </c>
      <c r="CM10" s="195" t="s">
        <v>291</v>
      </c>
      <c r="CN10" s="171" t="s">
        <v>681</v>
      </c>
      <c r="CO10" s="171" t="s">
        <v>293</v>
      </c>
      <c r="CP10" s="171" t="s">
        <v>682</v>
      </c>
      <c r="CQ10" s="198" t="s">
        <v>295</v>
      </c>
      <c r="CR10" s="171"/>
      <c r="CT10" s="204" t="s">
        <v>277</v>
      </c>
      <c r="CU10" s="205" t="s">
        <v>303</v>
      </c>
      <c r="CV10" s="205" t="s">
        <v>304</v>
      </c>
      <c r="CW10" s="171" t="s">
        <v>675</v>
      </c>
      <c r="CX10" s="171" t="s">
        <v>666</v>
      </c>
      <c r="CY10" s="171" t="s">
        <v>676</v>
      </c>
      <c r="CZ10" s="205" t="s">
        <v>301</v>
      </c>
      <c r="DA10" s="935" t="str">
        <f>'Energy NPV'!U63</f>
        <v>Total Recurring Costs</v>
      </c>
      <c r="DB10" s="205" t="s">
        <v>305</v>
      </c>
      <c r="DC10" s="171" t="s">
        <v>283</v>
      </c>
      <c r="DD10" s="171" t="s">
        <v>677</v>
      </c>
      <c r="DE10" s="171" t="s">
        <v>678</v>
      </c>
      <c r="DF10" s="195" t="s">
        <v>286</v>
      </c>
      <c r="DG10" s="171" t="s">
        <v>679</v>
      </c>
      <c r="DH10" s="171" t="s">
        <v>288</v>
      </c>
      <c r="DI10" s="171" t="s">
        <v>680</v>
      </c>
      <c r="DJ10" s="198" t="s">
        <v>290</v>
      </c>
      <c r="DK10" s="195" t="s">
        <v>291</v>
      </c>
      <c r="DL10" s="171" t="s">
        <v>681</v>
      </c>
      <c r="DM10" s="171" t="s">
        <v>293</v>
      </c>
      <c r="DN10" s="171" t="s">
        <v>682</v>
      </c>
      <c r="DO10" s="198" t="s">
        <v>295</v>
      </c>
    </row>
    <row r="11" spans="1:119" x14ac:dyDescent="0.3">
      <c r="B11" s="173"/>
      <c r="C11" s="226" t="s">
        <v>341</v>
      </c>
      <c r="D11" s="226" t="s">
        <v>601</v>
      </c>
      <c r="E11" s="201" t="s">
        <v>599</v>
      </c>
      <c r="F11" s="201" t="s">
        <v>599</v>
      </c>
      <c r="G11" s="201" t="s">
        <v>599</v>
      </c>
      <c r="H11" s="201" t="s">
        <v>599</v>
      </c>
      <c r="I11" s="969" t="str">
        <f>'Energy NPV'!U64</f>
        <v>(€ ha-1)</v>
      </c>
      <c r="J11" s="201" t="s">
        <v>599</v>
      </c>
      <c r="K11" s="201" t="s">
        <v>599</v>
      </c>
      <c r="L11" s="201" t="s">
        <v>599</v>
      </c>
      <c r="M11" s="202" t="s">
        <v>599</v>
      </c>
      <c r="N11" s="201" t="s">
        <v>599</v>
      </c>
      <c r="O11" s="201" t="s">
        <v>599</v>
      </c>
      <c r="P11" s="201" t="s">
        <v>599</v>
      </c>
      <c r="Q11" s="201" t="s">
        <v>599</v>
      </c>
      <c r="R11" s="202" t="s">
        <v>599</v>
      </c>
      <c r="S11" s="201" t="s">
        <v>599</v>
      </c>
      <c r="T11" s="201" t="s">
        <v>599</v>
      </c>
      <c r="U11" s="201" t="s">
        <v>599</v>
      </c>
      <c r="V11" s="201" t="s">
        <v>599</v>
      </c>
      <c r="W11" s="202" t="s">
        <v>599</v>
      </c>
      <c r="X11" s="988"/>
      <c r="Z11" s="173"/>
      <c r="AA11" s="226" t="s">
        <v>341</v>
      </c>
      <c r="AB11" s="226" t="s">
        <v>601</v>
      </c>
      <c r="AC11" s="201" t="s">
        <v>599</v>
      </c>
      <c r="AD11" s="201" t="s">
        <v>599</v>
      </c>
      <c r="AE11" s="201" t="s">
        <v>599</v>
      </c>
      <c r="AF11" s="201" t="s">
        <v>599</v>
      </c>
      <c r="AG11" s="969" t="str">
        <f>'Energy NPV'!U64</f>
        <v>(€ ha-1)</v>
      </c>
      <c r="AH11" s="201" t="s">
        <v>599</v>
      </c>
      <c r="AI11" s="201" t="s">
        <v>599</v>
      </c>
      <c r="AJ11" s="201" t="s">
        <v>599</v>
      </c>
      <c r="AK11" s="202" t="s">
        <v>599</v>
      </c>
      <c r="AL11" s="201" t="s">
        <v>599</v>
      </c>
      <c r="AM11" s="201" t="s">
        <v>599</v>
      </c>
      <c r="AN11" s="201" t="s">
        <v>599</v>
      </c>
      <c r="AO11" s="201" t="s">
        <v>599</v>
      </c>
      <c r="AP11" s="202" t="s">
        <v>599</v>
      </c>
      <c r="AQ11" s="201" t="s">
        <v>599</v>
      </c>
      <c r="AR11" s="201" t="s">
        <v>599</v>
      </c>
      <c r="AS11" s="201" t="s">
        <v>599</v>
      </c>
      <c r="AT11" s="201" t="s">
        <v>599</v>
      </c>
      <c r="AU11" s="202" t="s">
        <v>599</v>
      </c>
      <c r="AV11" s="988"/>
      <c r="AX11" s="173"/>
      <c r="AY11" s="226" t="s">
        <v>341</v>
      </c>
      <c r="AZ11" s="226" t="s">
        <v>601</v>
      </c>
      <c r="BA11" s="201" t="s">
        <v>599</v>
      </c>
      <c r="BB11" s="201" t="s">
        <v>599</v>
      </c>
      <c r="BC11" s="201" t="s">
        <v>599</v>
      </c>
      <c r="BD11" s="201" t="s">
        <v>599</v>
      </c>
      <c r="BE11" s="969" t="str">
        <f>'Energy NPV'!U64</f>
        <v>(€ ha-1)</v>
      </c>
      <c r="BF11" s="201" t="s">
        <v>599</v>
      </c>
      <c r="BG11" s="201" t="s">
        <v>599</v>
      </c>
      <c r="BH11" s="201" t="s">
        <v>599</v>
      </c>
      <c r="BI11" s="202" t="s">
        <v>599</v>
      </c>
      <c r="BJ11" s="201" t="s">
        <v>599</v>
      </c>
      <c r="BK11" s="201" t="s">
        <v>599</v>
      </c>
      <c r="BL11" s="201" t="s">
        <v>599</v>
      </c>
      <c r="BM11" s="201" t="s">
        <v>599</v>
      </c>
      <c r="BN11" s="202" t="s">
        <v>599</v>
      </c>
      <c r="BO11" s="201" t="s">
        <v>599</v>
      </c>
      <c r="BP11" s="201" t="s">
        <v>599</v>
      </c>
      <c r="BQ11" s="201" t="s">
        <v>599</v>
      </c>
      <c r="BR11" s="201" t="s">
        <v>599</v>
      </c>
      <c r="BS11" s="202" t="s">
        <v>599</v>
      </c>
      <c r="BT11" s="988"/>
      <c r="BV11" s="173"/>
      <c r="BW11" s="226" t="s">
        <v>341</v>
      </c>
      <c r="BX11" s="226" t="s">
        <v>601</v>
      </c>
      <c r="BY11" s="201" t="s">
        <v>599</v>
      </c>
      <c r="BZ11" s="201" t="s">
        <v>599</v>
      </c>
      <c r="CA11" s="201" t="s">
        <v>599</v>
      </c>
      <c r="CB11" s="201" t="s">
        <v>599</v>
      </c>
      <c r="CC11" s="969" t="str">
        <f>'Energy NPV'!U64</f>
        <v>(€ ha-1)</v>
      </c>
      <c r="CD11" s="201" t="s">
        <v>599</v>
      </c>
      <c r="CE11" s="201" t="s">
        <v>599</v>
      </c>
      <c r="CF11" s="201" t="s">
        <v>599</v>
      </c>
      <c r="CG11" s="202" t="s">
        <v>599</v>
      </c>
      <c r="CH11" s="201" t="s">
        <v>599</v>
      </c>
      <c r="CI11" s="201" t="s">
        <v>599</v>
      </c>
      <c r="CJ11" s="201" t="s">
        <v>599</v>
      </c>
      <c r="CK11" s="201" t="s">
        <v>599</v>
      </c>
      <c r="CL11" s="202" t="s">
        <v>599</v>
      </c>
      <c r="CM11" s="201" t="s">
        <v>599</v>
      </c>
      <c r="CN11" s="201" t="s">
        <v>599</v>
      </c>
      <c r="CO11" s="201" t="s">
        <v>599</v>
      </c>
      <c r="CP11" s="201" t="s">
        <v>599</v>
      </c>
      <c r="CQ11" s="202" t="s">
        <v>599</v>
      </c>
      <c r="CR11" s="988"/>
      <c r="CT11" s="173"/>
      <c r="CU11" s="226" t="s">
        <v>341</v>
      </c>
      <c r="CV11" s="226" t="s">
        <v>601</v>
      </c>
      <c r="CW11" s="201" t="s">
        <v>599</v>
      </c>
      <c r="CX11" s="201" t="s">
        <v>599</v>
      </c>
      <c r="CY11" s="201" t="s">
        <v>599</v>
      </c>
      <c r="CZ11" s="201" t="s">
        <v>599</v>
      </c>
      <c r="DA11" s="969" t="str">
        <f>'Energy NPV'!U64</f>
        <v>(€ ha-1)</v>
      </c>
      <c r="DB11" s="201" t="s">
        <v>599</v>
      </c>
      <c r="DC11" s="201" t="s">
        <v>599</v>
      </c>
      <c r="DD11" s="201" t="s">
        <v>599</v>
      </c>
      <c r="DE11" s="202" t="s">
        <v>599</v>
      </c>
      <c r="DF11" s="201" t="s">
        <v>599</v>
      </c>
      <c r="DG11" s="201" t="s">
        <v>599</v>
      </c>
      <c r="DH11" s="201" t="s">
        <v>599</v>
      </c>
      <c r="DI11" s="201" t="s">
        <v>599</v>
      </c>
      <c r="DJ11" s="202" t="s">
        <v>599</v>
      </c>
      <c r="DK11" s="201" t="s">
        <v>599</v>
      </c>
      <c r="DL11" s="201" t="s">
        <v>599</v>
      </c>
      <c r="DM11" s="201" t="s">
        <v>599</v>
      </c>
      <c r="DN11" s="201" t="s">
        <v>599</v>
      </c>
      <c r="DO11" s="202" t="s">
        <v>599</v>
      </c>
    </row>
    <row r="12" spans="1:119" x14ac:dyDescent="0.3">
      <c r="B12" s="204">
        <v>1</v>
      </c>
      <c r="C12" s="197">
        <f>'Energy NPV'!$D65</f>
        <v>2.0466666666666664</v>
      </c>
      <c r="D12" s="197">
        <f>'Energy margins'!$S$12</f>
        <v>72</v>
      </c>
      <c r="E12" s="197">
        <f>C12*D12</f>
        <v>147.35999999999999</v>
      </c>
      <c r="F12" s="197">
        <f>'Margins summary'!$U$14</f>
        <v>175.95</v>
      </c>
      <c r="G12" s="197">
        <f>E12+F12</f>
        <v>323.30999999999995</v>
      </c>
      <c r="H12" s="197">
        <f>'Margins summary'!$T$20</f>
        <v>5737.3339839999999</v>
      </c>
      <c r="I12" s="918">
        <f>'Energy NPV'!U65</f>
        <v>112.99999999999999</v>
      </c>
      <c r="J12" s="197"/>
      <c r="K12" s="197">
        <f>(H12+I12+J12)*$E$8</f>
        <v>5850.3339839999999</v>
      </c>
      <c r="L12" s="197">
        <f t="shared" ref="L12:L27" si="0">E12-K12</f>
        <v>-5702.9739840000002</v>
      </c>
      <c r="M12" s="197">
        <f t="shared" ref="M12:M27" si="1">G12-K12</f>
        <v>-5527.0239839999995</v>
      </c>
      <c r="N12" s="1018">
        <f>E12/((1+$B$4)^(B12-1))</f>
        <v>147.35999999999999</v>
      </c>
      <c r="O12" s="213">
        <f>F12/((1+$B$4)^(B12-1))</f>
        <v>175.95</v>
      </c>
      <c r="P12" s="213">
        <f>K12/((1+$B$4)^(B12-1))</f>
        <v>5850.3339839999999</v>
      </c>
      <c r="Q12" s="213">
        <f>L12/((1+$B$4)^(B12-1))</f>
        <v>-5702.9739840000002</v>
      </c>
      <c r="R12" s="929">
        <f>M12/((1+$B$4)^(B12-1))</f>
        <v>-5527.0239839999995</v>
      </c>
      <c r="S12" s="196">
        <f>N12</f>
        <v>147.35999999999999</v>
      </c>
      <c r="T12" s="197">
        <f>O12</f>
        <v>175.95</v>
      </c>
      <c r="U12" s="197">
        <f>P12</f>
        <v>5850.3339839999999</v>
      </c>
      <c r="V12" s="197">
        <f>Q12</f>
        <v>-5702.9739840000002</v>
      </c>
      <c r="W12" s="199">
        <f>R12</f>
        <v>-5527.0239839999995</v>
      </c>
      <c r="X12" s="197"/>
      <c r="Z12" s="204">
        <v>1</v>
      </c>
      <c r="AA12" s="225">
        <f>'Energy NPV'!$D65</f>
        <v>2.0466666666666664</v>
      </c>
      <c r="AB12" s="197">
        <f>'Energy margins'!$S$12</f>
        <v>72</v>
      </c>
      <c r="AC12" s="197">
        <f>AA12*AB12</f>
        <v>147.35999999999999</v>
      </c>
      <c r="AD12" s="197">
        <f>'Margins summary'!$U$14</f>
        <v>175.95</v>
      </c>
      <c r="AE12" s="197">
        <f>AC12+AD12</f>
        <v>323.30999999999995</v>
      </c>
      <c r="AF12" s="197">
        <f>'Margins summary'!$T$20</f>
        <v>5737.3339839999999</v>
      </c>
      <c r="AG12" s="918">
        <f>'Energy NPV'!U65</f>
        <v>112.99999999999999</v>
      </c>
      <c r="AH12" s="197"/>
      <c r="AI12" s="197">
        <f>(AF12+AG12+AH12)*$AB$8</f>
        <v>8775.5009759999994</v>
      </c>
      <c r="AJ12" s="197">
        <f t="shared" ref="AJ12:AJ27" si="2">AC12-AI12</f>
        <v>-8628.1409759999988</v>
      </c>
      <c r="AK12" s="197">
        <f t="shared" ref="AK12:AK27" si="3">AE12-AI12</f>
        <v>-8452.1909759999999</v>
      </c>
      <c r="AL12" s="1018">
        <f>AC12/((1+$B$4)^(Z12-1))</f>
        <v>147.35999999999999</v>
      </c>
      <c r="AM12" s="213">
        <f>AD12/((1+$B$4)^(Z12-1))</f>
        <v>175.95</v>
      </c>
      <c r="AN12" s="213">
        <f>AI12/((1+$B$4)^(Z12-1))</f>
        <v>8775.5009759999994</v>
      </c>
      <c r="AO12" s="213">
        <f>AJ12/((1+$B$4)^(Z12-1))</f>
        <v>-8628.1409759999988</v>
      </c>
      <c r="AP12" s="929">
        <f>AK12/((1+$B$4)^(Z12-1))</f>
        <v>-8452.1909759999999</v>
      </c>
      <c r="AQ12" s="196">
        <f>AL12</f>
        <v>147.35999999999999</v>
      </c>
      <c r="AR12" s="197">
        <f>AM12</f>
        <v>175.95</v>
      </c>
      <c r="AS12" s="197">
        <f>AN12</f>
        <v>8775.5009759999994</v>
      </c>
      <c r="AT12" s="197">
        <f>AO12</f>
        <v>-8628.1409759999988</v>
      </c>
      <c r="AU12" s="199">
        <f>AP12</f>
        <v>-8452.1909759999999</v>
      </c>
      <c r="AV12" s="197"/>
      <c r="AX12" s="204">
        <v>1</v>
      </c>
      <c r="AY12" s="225">
        <f>'Energy NPV'!$D65</f>
        <v>2.0466666666666664</v>
      </c>
      <c r="AZ12" s="197">
        <f>'Energy margins'!$S$12</f>
        <v>72</v>
      </c>
      <c r="BA12" s="197">
        <f>AY12*AZ12</f>
        <v>147.35999999999999</v>
      </c>
      <c r="BB12" s="197">
        <f>'Margins summary'!$U$14</f>
        <v>175.95</v>
      </c>
      <c r="BC12" s="197">
        <f>BA12+BB12</f>
        <v>323.30999999999995</v>
      </c>
      <c r="BD12" s="197">
        <f>'Margins summary'!$T$20</f>
        <v>5737.3339839999999</v>
      </c>
      <c r="BE12" s="918">
        <f>'Energy NPV'!U65</f>
        <v>112.99999999999999</v>
      </c>
      <c r="BF12" s="197"/>
      <c r="BG12" s="197">
        <f>(BD12+BE12+BF12)*$AZ$8</f>
        <v>2925.1669919999999</v>
      </c>
      <c r="BH12" s="197">
        <f t="shared" ref="BH12:BH27" si="4">BA12-BG12</f>
        <v>-2777.8069919999998</v>
      </c>
      <c r="BI12" s="197">
        <f t="shared" ref="BI12:BI27" si="5">BC12-BG12</f>
        <v>-2601.856992</v>
      </c>
      <c r="BJ12" s="1018">
        <f>BA12/((1+$B$4)^(AX12-1))</f>
        <v>147.35999999999999</v>
      </c>
      <c r="BK12" s="213">
        <f>BB12/((1+$B$4)^(AX12-1))</f>
        <v>175.95</v>
      </c>
      <c r="BL12" s="213">
        <f>BG12/((1+$B$4)^(AX12-1))</f>
        <v>2925.1669919999999</v>
      </c>
      <c r="BM12" s="213">
        <f>BH12/((1+$B$4)^(AX12-1))</f>
        <v>-2777.8069919999998</v>
      </c>
      <c r="BN12" s="929">
        <f>BI12/((1+$B$4)^(AX12-1))</f>
        <v>-2601.856992</v>
      </c>
      <c r="BO12" s="196">
        <f>BJ12</f>
        <v>147.35999999999999</v>
      </c>
      <c r="BP12" s="197">
        <f>BK12</f>
        <v>175.95</v>
      </c>
      <c r="BQ12" s="197">
        <f>BL12</f>
        <v>2925.1669919999999</v>
      </c>
      <c r="BR12" s="197">
        <f>BM12</f>
        <v>-2777.8069919999998</v>
      </c>
      <c r="BS12" s="199">
        <f>BN12</f>
        <v>-2601.856992</v>
      </c>
      <c r="BT12" s="197"/>
      <c r="BV12" s="204">
        <v>1</v>
      </c>
      <c r="BW12" s="225">
        <f>'Energy NPV'!$D65</f>
        <v>2.0466666666666664</v>
      </c>
      <c r="BX12" s="197">
        <f>'Energy margins'!$S$12</f>
        <v>72</v>
      </c>
      <c r="BY12" s="197">
        <f>BW12*BX12</f>
        <v>147.35999999999999</v>
      </c>
      <c r="BZ12" s="197">
        <f>'Margins summary'!$U$14</f>
        <v>175.95</v>
      </c>
      <c r="CA12" s="197">
        <f>BY12+BZ12</f>
        <v>323.30999999999995</v>
      </c>
      <c r="CB12" s="197">
        <f>'Margins summary'!$T$20</f>
        <v>5737.3339839999999</v>
      </c>
      <c r="CC12" s="918">
        <f>'Energy NPV'!U65</f>
        <v>112.99999999999999</v>
      </c>
      <c r="CD12" s="197"/>
      <c r="CE12" s="197">
        <f>(CB12+CC12+CD12)*$BX$8</f>
        <v>11700.667968</v>
      </c>
      <c r="CF12" s="197">
        <f t="shared" ref="CF12:CF27" si="6">BY12-CE12</f>
        <v>-11553.307967999999</v>
      </c>
      <c r="CG12" s="197">
        <f t="shared" ref="CG12:CG27" si="7">CA12-CE12</f>
        <v>-11377.357968</v>
      </c>
      <c r="CH12" s="1018">
        <f>BY12/((1+$B$4)^(BV12-1))</f>
        <v>147.35999999999999</v>
      </c>
      <c r="CI12" s="213">
        <f>BZ12/((1+$B$4)^(BV12-1))</f>
        <v>175.95</v>
      </c>
      <c r="CJ12" s="213">
        <f>CE12/((1+$B$4)^(BV12-1))</f>
        <v>11700.667968</v>
      </c>
      <c r="CK12" s="213">
        <f>CF12/((1+$B$4)^(BV12-1))</f>
        <v>-11553.307967999999</v>
      </c>
      <c r="CL12" s="929">
        <f>CG12/((1+$B$4)^(BV12-1))</f>
        <v>-11377.357968</v>
      </c>
      <c r="CM12" s="196">
        <f>CH12</f>
        <v>147.35999999999999</v>
      </c>
      <c r="CN12" s="197">
        <f>CI12</f>
        <v>175.95</v>
      </c>
      <c r="CO12" s="197">
        <f>CJ12</f>
        <v>11700.667968</v>
      </c>
      <c r="CP12" s="197">
        <f>CK12</f>
        <v>-11553.307967999999</v>
      </c>
      <c r="CQ12" s="199">
        <f>CL12</f>
        <v>-11377.357968</v>
      </c>
      <c r="CR12" s="197"/>
      <c r="CT12" s="204">
        <v>1</v>
      </c>
      <c r="CU12" s="225">
        <f>'Energy NPV'!$D65</f>
        <v>2.0466666666666664</v>
      </c>
      <c r="CV12" s="197">
        <f>'Energy margins'!$S$12</f>
        <v>72</v>
      </c>
      <c r="CW12" s="197">
        <f>CU12*CV12</f>
        <v>147.35999999999999</v>
      </c>
      <c r="CX12" s="197">
        <f>'Margins summary'!$U$14</f>
        <v>175.95</v>
      </c>
      <c r="CY12" s="197">
        <f>CW12+CX12</f>
        <v>323.30999999999995</v>
      </c>
      <c r="CZ12" s="197">
        <f>'Margins summary'!$T$20</f>
        <v>5737.3339839999999</v>
      </c>
      <c r="DA12" s="918">
        <f>'Energy NPV'!U65</f>
        <v>112.99999999999999</v>
      </c>
      <c r="DB12" s="197"/>
      <c r="DC12" s="197">
        <f>(CZ12+DA12+DB12)*$CV$8</f>
        <v>0</v>
      </c>
      <c r="DD12" s="197">
        <f t="shared" ref="DD12:DD27" si="8">CW12-DC12</f>
        <v>147.35999999999999</v>
      </c>
      <c r="DE12" s="197">
        <f t="shared" ref="DE12:DE27" si="9">CY12-DC12</f>
        <v>323.30999999999995</v>
      </c>
      <c r="DF12" s="1018">
        <f>CW12/((1+$B$4)^(CT12-1))</f>
        <v>147.35999999999999</v>
      </c>
      <c r="DG12" s="213">
        <f>CX12/((1+$B$4)^(CT12-1))</f>
        <v>175.95</v>
      </c>
      <c r="DH12" s="213">
        <f>DC12/((1+$B$4)^(CT12-1))</f>
        <v>0</v>
      </c>
      <c r="DI12" s="213">
        <f>DD12/((1+$B$4)^(CT12-1))</f>
        <v>147.35999999999999</v>
      </c>
      <c r="DJ12" s="929">
        <f>DE12/((1+$B$4)^(CT12-1))</f>
        <v>323.30999999999995</v>
      </c>
      <c r="DK12" s="196">
        <f>DF12</f>
        <v>147.35999999999999</v>
      </c>
      <c r="DL12" s="197">
        <f>DG12</f>
        <v>175.95</v>
      </c>
      <c r="DM12" s="197">
        <f>DH12</f>
        <v>0</v>
      </c>
      <c r="DN12" s="197">
        <f>DI12</f>
        <v>147.35999999999999</v>
      </c>
      <c r="DO12" s="199">
        <f>DJ12</f>
        <v>323.30999999999995</v>
      </c>
    </row>
    <row r="13" spans="1:119" x14ac:dyDescent="0.3">
      <c r="B13" s="204">
        <v>2</v>
      </c>
      <c r="C13" s="197">
        <f>'Energy NPV'!$D66</f>
        <v>8.27</v>
      </c>
      <c r="D13" s="197">
        <f>'Energy margins'!$S$12</f>
        <v>72</v>
      </c>
      <c r="E13" s="197">
        <f t="shared" ref="E13:E27" si="10">C13*D13</f>
        <v>595.43999999999994</v>
      </c>
      <c r="F13" s="197">
        <f>'Margins summary'!$U$14</f>
        <v>175.95</v>
      </c>
      <c r="G13" s="197">
        <f t="shared" ref="G13:G27" si="11">E13+F13</f>
        <v>771.38999999999987</v>
      </c>
      <c r="H13" s="197"/>
      <c r="I13" s="918">
        <f>'Energy NPV'!U66</f>
        <v>491.50878399999999</v>
      </c>
      <c r="J13" s="197"/>
      <c r="K13" s="197">
        <f t="shared" ref="K13:K27" si="12">(H13+I13+J13)*$E$8</f>
        <v>491.50878399999999</v>
      </c>
      <c r="L13" s="197">
        <f t="shared" si="0"/>
        <v>103.93121599999995</v>
      </c>
      <c r="M13" s="197">
        <f t="shared" si="1"/>
        <v>279.88121599999988</v>
      </c>
      <c r="N13" s="196">
        <f t="shared" ref="N13:N27" si="13">E13/((1+$B$4)^(B13-1))</f>
        <v>572.53846153846143</v>
      </c>
      <c r="O13" s="197">
        <f t="shared" ref="O13:O27" si="14">F13/((1+$B$4)^(B13-1))</f>
        <v>169.18269230769229</v>
      </c>
      <c r="P13" s="197">
        <f t="shared" ref="P13:P27" si="15">K13/((1+$B$4)^(B13-1))</f>
        <v>472.60459999999995</v>
      </c>
      <c r="Q13" s="197">
        <f t="shared" ref="Q13:Q27" si="16">L13/((1+$B$4)^(B13-1))</f>
        <v>99.933861538461485</v>
      </c>
      <c r="R13" s="199">
        <f t="shared" ref="R13:R26" si="17">M13/((1+$B$4)^(B13-1))</f>
        <v>269.11655384615375</v>
      </c>
      <c r="S13" s="196">
        <f>S12+N13</f>
        <v>719.89846153846145</v>
      </c>
      <c r="T13" s="197">
        <f t="shared" ref="T13:W27" si="18">T12+O13</f>
        <v>345.13269230769231</v>
      </c>
      <c r="U13" s="197">
        <f t="shared" si="18"/>
        <v>6322.9385839999995</v>
      </c>
      <c r="V13" s="197">
        <f t="shared" si="18"/>
        <v>-5603.0401224615389</v>
      </c>
      <c r="W13" s="199">
        <f t="shared" si="18"/>
        <v>-5257.9074301538458</v>
      </c>
      <c r="X13" s="197"/>
      <c r="Z13" s="204">
        <v>2</v>
      </c>
      <c r="AA13" s="225">
        <f>'Energy NPV'!$D66</f>
        <v>8.27</v>
      </c>
      <c r="AB13" s="197">
        <f>'Energy margins'!$S$12</f>
        <v>72</v>
      </c>
      <c r="AC13" s="197">
        <f t="shared" ref="AC13:AC26" si="19">AA13*AB13</f>
        <v>595.43999999999994</v>
      </c>
      <c r="AD13" s="197">
        <f>'Margins summary'!$U$14</f>
        <v>175.95</v>
      </c>
      <c r="AE13" s="197">
        <f t="shared" ref="AE13:AE27" si="20">AC13+AD13</f>
        <v>771.38999999999987</v>
      </c>
      <c r="AF13" s="197"/>
      <c r="AG13" s="918">
        <f>'Energy NPV'!U66</f>
        <v>491.50878399999999</v>
      </c>
      <c r="AH13" s="197"/>
      <c r="AI13" s="197">
        <f t="shared" ref="AI13:AI27" si="21">(AF13+AG13+AH13)*$AB$8</f>
        <v>737.26317599999993</v>
      </c>
      <c r="AJ13" s="197">
        <f t="shared" si="2"/>
        <v>-141.82317599999999</v>
      </c>
      <c r="AK13" s="197">
        <f t="shared" si="3"/>
        <v>34.126823999999942</v>
      </c>
      <c r="AL13" s="196">
        <f t="shared" ref="AL13:AL27" si="22">AC13/((1+$B$4)^(Z13-1))</f>
        <v>572.53846153846143</v>
      </c>
      <c r="AM13" s="197">
        <f t="shared" ref="AM13:AM27" si="23">AD13/((1+$B$4)^(Z13-1))</f>
        <v>169.18269230769229</v>
      </c>
      <c r="AN13" s="197">
        <f t="shared" ref="AN13:AN27" si="24">AI13/((1+$B$4)^(Z13-1))</f>
        <v>708.90689999999995</v>
      </c>
      <c r="AO13" s="197">
        <f t="shared" ref="AO13:AO27" si="25">AJ13/((1+$B$4)^(Z13-1))</f>
        <v>-136.36843846153846</v>
      </c>
      <c r="AP13" s="199">
        <f t="shared" ref="AP13:AP26" si="26">AK13/((1+$B$4)^(Z13-1))</f>
        <v>32.81425384615379</v>
      </c>
      <c r="AQ13" s="196">
        <f>AQ12+AL13</f>
        <v>719.89846153846145</v>
      </c>
      <c r="AR13" s="197">
        <f t="shared" ref="AR13:AU27" si="27">AR12+AM13</f>
        <v>345.13269230769231</v>
      </c>
      <c r="AS13" s="197">
        <f t="shared" si="27"/>
        <v>9484.4078759999993</v>
      </c>
      <c r="AT13" s="197">
        <f t="shared" si="27"/>
        <v>-8764.5094144615377</v>
      </c>
      <c r="AU13" s="199">
        <f t="shared" si="27"/>
        <v>-8419.3767221538455</v>
      </c>
      <c r="AV13" s="197"/>
      <c r="AX13" s="204">
        <v>2</v>
      </c>
      <c r="AY13" s="225">
        <f>'Energy NPV'!$D66</f>
        <v>8.27</v>
      </c>
      <c r="AZ13" s="197">
        <f>'Energy margins'!$S$12</f>
        <v>72</v>
      </c>
      <c r="BA13" s="197">
        <f t="shared" ref="BA13:BA27" si="28">AY13*AZ13</f>
        <v>595.43999999999994</v>
      </c>
      <c r="BB13" s="197">
        <f>'Margins summary'!$U$14</f>
        <v>175.95</v>
      </c>
      <c r="BC13" s="197">
        <f t="shared" ref="BC13:BC27" si="29">BA13+BB13</f>
        <v>771.38999999999987</v>
      </c>
      <c r="BD13" s="197"/>
      <c r="BE13" s="918">
        <f>'Energy NPV'!U66</f>
        <v>491.50878399999999</v>
      </c>
      <c r="BF13" s="197"/>
      <c r="BG13" s="197">
        <f t="shared" ref="BG13:BG27" si="30">(BD13+BE13+BF13)*$AZ$8</f>
        <v>245.754392</v>
      </c>
      <c r="BH13" s="197">
        <f t="shared" si="4"/>
        <v>349.68560799999995</v>
      </c>
      <c r="BI13" s="197">
        <f t="shared" si="5"/>
        <v>525.63560799999982</v>
      </c>
      <c r="BJ13" s="196">
        <f t="shared" ref="BJ13:BJ27" si="31">BA13/((1+$B$4)^(AX13-1))</f>
        <v>572.53846153846143</v>
      </c>
      <c r="BK13" s="197">
        <f t="shared" ref="BK13:BK27" si="32">BB13/((1+$B$4)^(AX13-1))</f>
        <v>169.18269230769229</v>
      </c>
      <c r="BL13" s="197">
        <f t="shared" ref="BL13:BL27" si="33">BG13/((1+$B$4)^(AX13-1))</f>
        <v>236.30229999999997</v>
      </c>
      <c r="BM13" s="197">
        <f t="shared" ref="BM13:BM27" si="34">BH13/((1+$B$4)^(AX13-1))</f>
        <v>336.23616153846149</v>
      </c>
      <c r="BN13" s="199">
        <f t="shared" ref="BN13:BN26" si="35">BI13/((1+$B$4)^(AX13-1))</f>
        <v>505.41885384615364</v>
      </c>
      <c r="BO13" s="196">
        <f>BO12+BJ13</f>
        <v>719.89846153846145</v>
      </c>
      <c r="BP13" s="197">
        <f t="shared" ref="BP13:BS27" si="36">BP12+BK13</f>
        <v>345.13269230769231</v>
      </c>
      <c r="BQ13" s="197">
        <f t="shared" si="36"/>
        <v>3161.4692919999998</v>
      </c>
      <c r="BR13" s="197">
        <f t="shared" si="36"/>
        <v>-2441.5708304615382</v>
      </c>
      <c r="BS13" s="199">
        <f t="shared" si="36"/>
        <v>-2096.4381381538465</v>
      </c>
      <c r="BT13" s="197"/>
      <c r="BV13" s="204">
        <v>2</v>
      </c>
      <c r="BW13" s="225">
        <f>'Energy NPV'!$D66</f>
        <v>8.27</v>
      </c>
      <c r="BX13" s="197">
        <f>'Energy margins'!$S$12</f>
        <v>72</v>
      </c>
      <c r="BY13" s="197">
        <f t="shared" ref="BY13:BY27" si="37">BW13*BX13</f>
        <v>595.43999999999994</v>
      </c>
      <c r="BZ13" s="197">
        <f>'Margins summary'!$U$14</f>
        <v>175.95</v>
      </c>
      <c r="CA13" s="197">
        <f t="shared" ref="CA13:CA27" si="38">BY13+BZ13</f>
        <v>771.38999999999987</v>
      </c>
      <c r="CB13" s="197"/>
      <c r="CC13" s="918">
        <f>'Energy NPV'!U66</f>
        <v>491.50878399999999</v>
      </c>
      <c r="CD13" s="197"/>
      <c r="CE13" s="197">
        <f t="shared" ref="CE13:CE27" si="39">(CB13+CC13+CD13)*$BX$8</f>
        <v>983.01756799999998</v>
      </c>
      <c r="CF13" s="197">
        <f t="shared" si="6"/>
        <v>-387.57756800000004</v>
      </c>
      <c r="CG13" s="197">
        <f t="shared" si="7"/>
        <v>-211.62756800000011</v>
      </c>
      <c r="CH13" s="196">
        <f t="shared" ref="CH13:CH27" si="40">BY13/((1+$B$4)^(BV13-1))</f>
        <v>572.53846153846143</v>
      </c>
      <c r="CI13" s="197">
        <f t="shared" ref="CI13:CI27" si="41">BZ13/((1+$B$4)^(BV13-1))</f>
        <v>169.18269230769229</v>
      </c>
      <c r="CJ13" s="197">
        <f t="shared" ref="CJ13:CJ27" si="42">CE13/((1+$B$4)^(BV13-1))</f>
        <v>945.2091999999999</v>
      </c>
      <c r="CK13" s="197">
        <f t="shared" ref="CK13:CK27" si="43">CF13/((1+$B$4)^(BV13-1))</f>
        <v>-372.67073846153846</v>
      </c>
      <c r="CL13" s="199">
        <f t="shared" ref="CL13:CL26" si="44">CG13/((1+$B$4)^(BV13-1))</f>
        <v>-203.48804615384626</v>
      </c>
      <c r="CM13" s="196">
        <f>CM12+CH13</f>
        <v>719.89846153846145</v>
      </c>
      <c r="CN13" s="197">
        <f t="shared" ref="CN13:CN27" si="45">CN12+CI13</f>
        <v>345.13269230769231</v>
      </c>
      <c r="CO13" s="197">
        <f t="shared" ref="CO13:CO27" si="46">CO12+CJ13</f>
        <v>12645.877167999999</v>
      </c>
      <c r="CP13" s="197">
        <f t="shared" ref="CP13:CP27" si="47">CP12+CK13</f>
        <v>-11925.978706461538</v>
      </c>
      <c r="CQ13" s="199">
        <f t="shared" ref="CQ13:CQ27" si="48">CQ12+CL13</f>
        <v>-11580.846014153847</v>
      </c>
      <c r="CR13" s="197"/>
      <c r="CT13" s="204">
        <v>2</v>
      </c>
      <c r="CU13" s="225">
        <f>'Energy NPV'!$D66</f>
        <v>8.27</v>
      </c>
      <c r="CV13" s="197">
        <f>'Energy margins'!$S$12</f>
        <v>72</v>
      </c>
      <c r="CW13" s="197">
        <f t="shared" ref="CW13:CW27" si="49">CU13*CV13</f>
        <v>595.43999999999994</v>
      </c>
      <c r="CX13" s="197">
        <f>'Margins summary'!$U$14</f>
        <v>175.95</v>
      </c>
      <c r="CY13" s="197">
        <f t="shared" ref="CY13:CY27" si="50">CW13+CX13</f>
        <v>771.38999999999987</v>
      </c>
      <c r="CZ13" s="197"/>
      <c r="DA13" s="918">
        <f>'Energy NPV'!U66</f>
        <v>491.50878399999999</v>
      </c>
      <c r="DB13" s="197"/>
      <c r="DC13" s="197">
        <f t="shared" ref="DC13:DC27" si="51">(CZ13+DA13+DB13)*$CV$8</f>
        <v>0</v>
      </c>
      <c r="DD13" s="197">
        <f t="shared" si="8"/>
        <v>595.43999999999994</v>
      </c>
      <c r="DE13" s="197">
        <f t="shared" si="9"/>
        <v>771.38999999999987</v>
      </c>
      <c r="DF13" s="196">
        <f t="shared" ref="DF13:DF27" si="52">CW13/((1+$B$4)^(CT13-1))</f>
        <v>572.53846153846143</v>
      </c>
      <c r="DG13" s="197">
        <f t="shared" ref="DG13:DG27" si="53">CX13/((1+$B$4)^(CT13-1))</f>
        <v>169.18269230769229</v>
      </c>
      <c r="DH13" s="197">
        <f t="shared" ref="DH13:DH27" si="54">DC13/((1+$B$4)^(CT13-1))</f>
        <v>0</v>
      </c>
      <c r="DI13" s="197">
        <f t="shared" ref="DI13:DI27" si="55">DD13/((1+$B$4)^(CT13-1))</f>
        <v>572.53846153846143</v>
      </c>
      <c r="DJ13" s="199">
        <f t="shared" ref="DJ13:DJ26" si="56">DE13/((1+$B$4)^(CT13-1))</f>
        <v>741.7211538461537</v>
      </c>
      <c r="DK13" s="196">
        <f>DK12+DF13</f>
        <v>719.89846153846145</v>
      </c>
      <c r="DL13" s="197">
        <f t="shared" ref="DL13:DL27" si="57">DL12+DG13</f>
        <v>345.13269230769231</v>
      </c>
      <c r="DM13" s="197">
        <f t="shared" ref="DM13:DM27" si="58">DM12+DH13</f>
        <v>0</v>
      </c>
      <c r="DN13" s="197">
        <f t="shared" ref="DN13:DN27" si="59">DN12+DI13</f>
        <v>719.89846153846145</v>
      </c>
      <c r="DO13" s="199">
        <f t="shared" ref="DO13:DO27" si="60">DO12+DJ13</f>
        <v>1065.0311538461538</v>
      </c>
    </row>
    <row r="14" spans="1:119" x14ac:dyDescent="0.3">
      <c r="B14" s="204">
        <f t="shared" ref="B14:B27" si="61">B13+1</f>
        <v>3</v>
      </c>
      <c r="C14" s="197">
        <f>'Energy NPV'!$D67</f>
        <v>10.926666666666668</v>
      </c>
      <c r="D14" s="197">
        <f>'Energy margins'!$S$12</f>
        <v>72</v>
      </c>
      <c r="E14" s="197">
        <f t="shared" si="10"/>
        <v>786.72</v>
      </c>
      <c r="F14" s="197">
        <f>'Margins summary'!$U$14</f>
        <v>175.95</v>
      </c>
      <c r="G14" s="197">
        <f t="shared" si="11"/>
        <v>962.67000000000007</v>
      </c>
      <c r="H14" s="197"/>
      <c r="I14" s="918">
        <f>'Energy NPV'!U67</f>
        <v>491.50878399999999</v>
      </c>
      <c r="J14" s="197"/>
      <c r="K14" s="197">
        <f t="shared" si="12"/>
        <v>491.50878399999999</v>
      </c>
      <c r="L14" s="197">
        <f t="shared" si="0"/>
        <v>295.21121600000004</v>
      </c>
      <c r="M14" s="197">
        <f t="shared" si="1"/>
        <v>471.16121600000008</v>
      </c>
      <c r="N14" s="196">
        <f t="shared" si="13"/>
        <v>727.36686390532543</v>
      </c>
      <c r="O14" s="197">
        <f t="shared" si="14"/>
        <v>162.67566568047334</v>
      </c>
      <c r="P14" s="197">
        <f t="shared" si="15"/>
        <v>454.42749999999995</v>
      </c>
      <c r="Q14" s="197">
        <f t="shared" si="16"/>
        <v>272.93936390532542</v>
      </c>
      <c r="R14" s="199">
        <f t="shared" si="17"/>
        <v>435.61502958579882</v>
      </c>
      <c r="S14" s="196">
        <f t="shared" ref="S14:S27" si="62">S13+N14</f>
        <v>1447.2653254437869</v>
      </c>
      <c r="T14" s="197">
        <f t="shared" si="18"/>
        <v>507.80835798816565</v>
      </c>
      <c r="U14" s="197">
        <f t="shared" si="18"/>
        <v>6777.3660839999993</v>
      </c>
      <c r="V14" s="197">
        <f t="shared" si="18"/>
        <v>-5330.1007585562138</v>
      </c>
      <c r="W14" s="199">
        <f t="shared" si="18"/>
        <v>-4822.292400568047</v>
      </c>
      <c r="X14" s="197"/>
      <c r="Z14" s="204">
        <f t="shared" ref="Z14:Z27" si="63">Z13+1</f>
        <v>3</v>
      </c>
      <c r="AA14" s="225">
        <f>'Energy NPV'!$D67</f>
        <v>10.926666666666668</v>
      </c>
      <c r="AB14" s="197">
        <f>'Energy margins'!$S$12</f>
        <v>72</v>
      </c>
      <c r="AC14" s="197">
        <f t="shared" si="19"/>
        <v>786.72</v>
      </c>
      <c r="AD14" s="197">
        <f>'Margins summary'!$U$14</f>
        <v>175.95</v>
      </c>
      <c r="AE14" s="197">
        <f t="shared" si="20"/>
        <v>962.67000000000007</v>
      </c>
      <c r="AF14" s="197"/>
      <c r="AG14" s="918">
        <f>'Energy NPV'!U67</f>
        <v>491.50878399999999</v>
      </c>
      <c r="AH14" s="197"/>
      <c r="AI14" s="197">
        <f t="shared" si="21"/>
        <v>737.26317599999993</v>
      </c>
      <c r="AJ14" s="197">
        <f t="shared" si="2"/>
        <v>49.456824000000097</v>
      </c>
      <c r="AK14" s="197">
        <f t="shared" si="3"/>
        <v>225.40682400000014</v>
      </c>
      <c r="AL14" s="196">
        <f t="shared" si="22"/>
        <v>727.36686390532543</v>
      </c>
      <c r="AM14" s="197">
        <f t="shared" si="23"/>
        <v>162.67566568047334</v>
      </c>
      <c r="AN14" s="197">
        <f t="shared" si="24"/>
        <v>681.6412499999999</v>
      </c>
      <c r="AO14" s="197">
        <f t="shared" si="25"/>
        <v>45.725613905325531</v>
      </c>
      <c r="AP14" s="199">
        <f t="shared" si="26"/>
        <v>208.40127958579893</v>
      </c>
      <c r="AQ14" s="196">
        <f t="shared" ref="AQ14:AQ27" si="64">AQ13+AL14</f>
        <v>1447.2653254437869</v>
      </c>
      <c r="AR14" s="197">
        <f t="shared" si="27"/>
        <v>507.80835798816565</v>
      </c>
      <c r="AS14" s="197">
        <f t="shared" si="27"/>
        <v>10166.049126</v>
      </c>
      <c r="AT14" s="197">
        <f t="shared" si="27"/>
        <v>-8718.7838005562116</v>
      </c>
      <c r="AU14" s="199">
        <f t="shared" si="27"/>
        <v>-8210.9754425680458</v>
      </c>
      <c r="AV14" s="197"/>
      <c r="AX14" s="204">
        <f t="shared" ref="AX14:AX27" si="65">AX13+1</f>
        <v>3</v>
      </c>
      <c r="AY14" s="225">
        <f>'Energy NPV'!$D67</f>
        <v>10.926666666666668</v>
      </c>
      <c r="AZ14" s="197">
        <f>'Energy margins'!$S$12</f>
        <v>72</v>
      </c>
      <c r="BA14" s="197">
        <f t="shared" si="28"/>
        <v>786.72</v>
      </c>
      <c r="BB14" s="197">
        <f>'Margins summary'!$U$14</f>
        <v>175.95</v>
      </c>
      <c r="BC14" s="197">
        <f t="shared" si="29"/>
        <v>962.67000000000007</v>
      </c>
      <c r="BD14" s="197"/>
      <c r="BE14" s="918">
        <f>'Energy NPV'!U67</f>
        <v>491.50878399999999</v>
      </c>
      <c r="BF14" s="197"/>
      <c r="BG14" s="197">
        <f t="shared" si="30"/>
        <v>245.754392</v>
      </c>
      <c r="BH14" s="197">
        <f t="shared" si="4"/>
        <v>540.96560799999997</v>
      </c>
      <c r="BI14" s="197">
        <f t="shared" si="5"/>
        <v>716.91560800000002</v>
      </c>
      <c r="BJ14" s="196">
        <f t="shared" si="31"/>
        <v>727.36686390532543</v>
      </c>
      <c r="BK14" s="197">
        <f t="shared" si="32"/>
        <v>162.67566568047334</v>
      </c>
      <c r="BL14" s="197">
        <f t="shared" si="33"/>
        <v>227.21374999999998</v>
      </c>
      <c r="BM14" s="197">
        <f t="shared" si="34"/>
        <v>500.15311390532537</v>
      </c>
      <c r="BN14" s="199">
        <f t="shared" si="35"/>
        <v>662.82877958579877</v>
      </c>
      <c r="BO14" s="196">
        <f t="shared" ref="BO14:BO27" si="66">BO13+BJ14</f>
        <v>1447.2653254437869</v>
      </c>
      <c r="BP14" s="197">
        <f t="shared" si="36"/>
        <v>507.80835798816565</v>
      </c>
      <c r="BQ14" s="197">
        <f t="shared" si="36"/>
        <v>3388.6830419999997</v>
      </c>
      <c r="BR14" s="197">
        <f t="shared" si="36"/>
        <v>-1941.4177165562128</v>
      </c>
      <c r="BS14" s="199">
        <f t="shared" si="36"/>
        <v>-1433.6093585680478</v>
      </c>
      <c r="BT14" s="197"/>
      <c r="BV14" s="204">
        <f t="shared" ref="BV14:BV27" si="67">BV13+1</f>
        <v>3</v>
      </c>
      <c r="BW14" s="225">
        <f>'Energy NPV'!$D67</f>
        <v>10.926666666666668</v>
      </c>
      <c r="BX14" s="197">
        <f>'Energy margins'!$S$12</f>
        <v>72</v>
      </c>
      <c r="BY14" s="197">
        <f t="shared" si="37"/>
        <v>786.72</v>
      </c>
      <c r="BZ14" s="197">
        <f>'Margins summary'!$U$14</f>
        <v>175.95</v>
      </c>
      <c r="CA14" s="197">
        <f t="shared" si="38"/>
        <v>962.67000000000007</v>
      </c>
      <c r="CB14" s="197"/>
      <c r="CC14" s="918">
        <f>'Energy NPV'!U67</f>
        <v>491.50878399999999</v>
      </c>
      <c r="CD14" s="197"/>
      <c r="CE14" s="197">
        <f t="shared" si="39"/>
        <v>983.01756799999998</v>
      </c>
      <c r="CF14" s="197">
        <f t="shared" si="6"/>
        <v>-196.29756799999996</v>
      </c>
      <c r="CG14" s="197">
        <f t="shared" si="7"/>
        <v>-20.34756799999991</v>
      </c>
      <c r="CH14" s="196">
        <f t="shared" si="40"/>
        <v>727.36686390532543</v>
      </c>
      <c r="CI14" s="197">
        <f t="shared" si="41"/>
        <v>162.67566568047334</v>
      </c>
      <c r="CJ14" s="197">
        <f t="shared" si="42"/>
        <v>908.8549999999999</v>
      </c>
      <c r="CK14" s="197">
        <f t="shared" si="43"/>
        <v>-181.4881360946745</v>
      </c>
      <c r="CL14" s="199">
        <f t="shared" si="44"/>
        <v>-18.812470414201098</v>
      </c>
      <c r="CM14" s="196">
        <f t="shared" ref="CM14:CM27" si="68">CM13+CH14</f>
        <v>1447.2653254437869</v>
      </c>
      <c r="CN14" s="197">
        <f t="shared" si="45"/>
        <v>507.80835798816565</v>
      </c>
      <c r="CO14" s="197">
        <f t="shared" si="46"/>
        <v>13554.732167999999</v>
      </c>
      <c r="CP14" s="197">
        <f t="shared" si="47"/>
        <v>-12107.466842556212</v>
      </c>
      <c r="CQ14" s="199">
        <f t="shared" si="48"/>
        <v>-11599.658484568048</v>
      </c>
      <c r="CR14" s="197"/>
      <c r="CT14" s="204">
        <f t="shared" ref="CT14:CT27" si="69">CT13+1</f>
        <v>3</v>
      </c>
      <c r="CU14" s="225">
        <f>'Energy NPV'!$D67</f>
        <v>10.926666666666668</v>
      </c>
      <c r="CV14" s="197">
        <f>'Energy margins'!$S$12</f>
        <v>72</v>
      </c>
      <c r="CW14" s="197">
        <f t="shared" si="49"/>
        <v>786.72</v>
      </c>
      <c r="CX14" s="197">
        <f>'Margins summary'!$U$14</f>
        <v>175.95</v>
      </c>
      <c r="CY14" s="197">
        <f t="shared" si="50"/>
        <v>962.67000000000007</v>
      </c>
      <c r="CZ14" s="197"/>
      <c r="DA14" s="918">
        <f>'Energy NPV'!U67</f>
        <v>491.50878399999999</v>
      </c>
      <c r="DB14" s="197"/>
      <c r="DC14" s="197">
        <f t="shared" si="51"/>
        <v>0</v>
      </c>
      <c r="DD14" s="197">
        <f t="shared" si="8"/>
        <v>786.72</v>
      </c>
      <c r="DE14" s="197">
        <f t="shared" si="9"/>
        <v>962.67000000000007</v>
      </c>
      <c r="DF14" s="196">
        <f t="shared" si="52"/>
        <v>727.36686390532543</v>
      </c>
      <c r="DG14" s="197">
        <f t="shared" si="53"/>
        <v>162.67566568047334</v>
      </c>
      <c r="DH14" s="197">
        <f t="shared" si="54"/>
        <v>0</v>
      </c>
      <c r="DI14" s="197">
        <f t="shared" si="55"/>
        <v>727.36686390532543</v>
      </c>
      <c r="DJ14" s="199">
        <f t="shared" si="56"/>
        <v>890.04252958579877</v>
      </c>
      <c r="DK14" s="196">
        <f t="shared" ref="DK14:DK27" si="70">DK13+DF14</f>
        <v>1447.2653254437869</v>
      </c>
      <c r="DL14" s="197">
        <f t="shared" si="57"/>
        <v>507.80835798816565</v>
      </c>
      <c r="DM14" s="197">
        <f t="shared" si="58"/>
        <v>0</v>
      </c>
      <c r="DN14" s="197">
        <f t="shared" si="59"/>
        <v>1447.2653254437869</v>
      </c>
      <c r="DO14" s="199">
        <f t="shared" si="60"/>
        <v>1955.0736834319525</v>
      </c>
    </row>
    <row r="15" spans="1:119" x14ac:dyDescent="0.3">
      <c r="B15" s="204">
        <f t="shared" si="61"/>
        <v>4</v>
      </c>
      <c r="C15" s="197">
        <f>'Energy NPV'!$D68</f>
        <v>11.617000000000001</v>
      </c>
      <c r="D15" s="197">
        <f>'Energy margins'!$S$12</f>
        <v>72</v>
      </c>
      <c r="E15" s="197">
        <f t="shared" si="10"/>
        <v>836.42400000000009</v>
      </c>
      <c r="F15" s="197">
        <f>'Margins summary'!$U$14</f>
        <v>175.95</v>
      </c>
      <c r="G15" s="197">
        <f t="shared" si="11"/>
        <v>1012.374</v>
      </c>
      <c r="H15" s="197"/>
      <c r="I15" s="918">
        <f>'Energy NPV'!U68</f>
        <v>309.57878399999998</v>
      </c>
      <c r="J15" s="197"/>
      <c r="K15" s="197">
        <f t="shared" si="12"/>
        <v>309.57878399999998</v>
      </c>
      <c r="L15" s="197">
        <f t="shared" si="0"/>
        <v>526.84521600000016</v>
      </c>
      <c r="M15" s="197">
        <f t="shared" si="1"/>
        <v>702.79521599999998</v>
      </c>
      <c r="N15" s="196">
        <f t="shared" si="13"/>
        <v>743.57789030496133</v>
      </c>
      <c r="O15" s="197">
        <f t="shared" si="14"/>
        <v>156.41890930814745</v>
      </c>
      <c r="P15" s="197">
        <f t="shared" si="15"/>
        <v>275.21441169776966</v>
      </c>
      <c r="Q15" s="197">
        <f t="shared" si="16"/>
        <v>468.36347860719172</v>
      </c>
      <c r="R15" s="199">
        <f t="shared" si="17"/>
        <v>624.78238791533909</v>
      </c>
      <c r="S15" s="196">
        <f t="shared" si="62"/>
        <v>2190.8432157487482</v>
      </c>
      <c r="T15" s="197">
        <f t="shared" si="18"/>
        <v>664.22726729631313</v>
      </c>
      <c r="U15" s="197">
        <f t="shared" si="18"/>
        <v>7052.580495697769</v>
      </c>
      <c r="V15" s="197">
        <f t="shared" si="18"/>
        <v>-4861.7372799490222</v>
      </c>
      <c r="W15" s="199">
        <f t="shared" si="18"/>
        <v>-4197.5100126527077</v>
      </c>
      <c r="X15" s="197"/>
      <c r="Z15" s="204">
        <f t="shared" si="63"/>
        <v>4</v>
      </c>
      <c r="AA15" s="225">
        <f>'Energy NPV'!$D68</f>
        <v>11.617000000000001</v>
      </c>
      <c r="AB15" s="197">
        <f>'Energy margins'!$S$12</f>
        <v>72</v>
      </c>
      <c r="AC15" s="197">
        <f t="shared" si="19"/>
        <v>836.42400000000009</v>
      </c>
      <c r="AD15" s="197">
        <f>'Margins summary'!$U$14</f>
        <v>175.95</v>
      </c>
      <c r="AE15" s="197">
        <f t="shared" si="20"/>
        <v>1012.374</v>
      </c>
      <c r="AF15" s="197"/>
      <c r="AG15" s="918">
        <f>'Energy NPV'!U68</f>
        <v>309.57878399999998</v>
      </c>
      <c r="AH15" s="197"/>
      <c r="AI15" s="197">
        <f t="shared" si="21"/>
        <v>464.36817599999995</v>
      </c>
      <c r="AJ15" s="197">
        <f t="shared" si="2"/>
        <v>372.05582400000014</v>
      </c>
      <c r="AK15" s="197">
        <f t="shared" si="3"/>
        <v>548.00582400000008</v>
      </c>
      <c r="AL15" s="196">
        <f t="shared" si="22"/>
        <v>743.57789030496133</v>
      </c>
      <c r="AM15" s="197">
        <f t="shared" si="23"/>
        <v>156.41890930814745</v>
      </c>
      <c r="AN15" s="197">
        <f t="shared" si="24"/>
        <v>412.82161754665447</v>
      </c>
      <c r="AO15" s="197">
        <f t="shared" si="25"/>
        <v>330.75627275830686</v>
      </c>
      <c r="AP15" s="199">
        <f t="shared" si="26"/>
        <v>487.17518206645428</v>
      </c>
      <c r="AQ15" s="196">
        <f t="shared" si="64"/>
        <v>2190.8432157487482</v>
      </c>
      <c r="AR15" s="197">
        <f t="shared" si="27"/>
        <v>664.22726729631313</v>
      </c>
      <c r="AS15" s="197">
        <f t="shared" si="27"/>
        <v>10578.870743546655</v>
      </c>
      <c r="AT15" s="197">
        <f t="shared" si="27"/>
        <v>-8388.0275277979053</v>
      </c>
      <c r="AU15" s="199">
        <f t="shared" si="27"/>
        <v>-7723.8002605015918</v>
      </c>
      <c r="AV15" s="197"/>
      <c r="AX15" s="204">
        <f t="shared" si="65"/>
        <v>4</v>
      </c>
      <c r="AY15" s="225">
        <f>'Energy NPV'!$D68</f>
        <v>11.617000000000001</v>
      </c>
      <c r="AZ15" s="197">
        <f>'Energy margins'!$S$12</f>
        <v>72</v>
      </c>
      <c r="BA15" s="197">
        <f t="shared" si="28"/>
        <v>836.42400000000009</v>
      </c>
      <c r="BB15" s="197">
        <f>'Margins summary'!$U$14</f>
        <v>175.95</v>
      </c>
      <c r="BC15" s="197">
        <f t="shared" si="29"/>
        <v>1012.374</v>
      </c>
      <c r="BD15" s="197"/>
      <c r="BE15" s="918">
        <f>'Energy NPV'!U68</f>
        <v>309.57878399999998</v>
      </c>
      <c r="BF15" s="197"/>
      <c r="BG15" s="197">
        <f t="shared" si="30"/>
        <v>154.78939199999999</v>
      </c>
      <c r="BH15" s="197">
        <f t="shared" si="4"/>
        <v>681.63460800000007</v>
      </c>
      <c r="BI15" s="197">
        <f t="shared" si="5"/>
        <v>857.584608</v>
      </c>
      <c r="BJ15" s="196">
        <f t="shared" si="31"/>
        <v>743.57789030496133</v>
      </c>
      <c r="BK15" s="197">
        <f t="shared" si="32"/>
        <v>156.41890930814745</v>
      </c>
      <c r="BL15" s="197">
        <f t="shared" si="33"/>
        <v>137.60720584888483</v>
      </c>
      <c r="BM15" s="197">
        <f t="shared" si="34"/>
        <v>605.97068445607647</v>
      </c>
      <c r="BN15" s="199">
        <f t="shared" si="35"/>
        <v>762.38959376422383</v>
      </c>
      <c r="BO15" s="196">
        <f t="shared" si="66"/>
        <v>2190.8432157487482</v>
      </c>
      <c r="BP15" s="197">
        <f t="shared" si="36"/>
        <v>664.22726729631313</v>
      </c>
      <c r="BQ15" s="197">
        <f t="shared" si="36"/>
        <v>3526.2902478488845</v>
      </c>
      <c r="BR15" s="197">
        <f t="shared" si="36"/>
        <v>-1335.4470321001363</v>
      </c>
      <c r="BS15" s="199">
        <f t="shared" si="36"/>
        <v>-671.21976480382398</v>
      </c>
      <c r="BT15" s="197"/>
      <c r="BV15" s="204">
        <f t="shared" si="67"/>
        <v>4</v>
      </c>
      <c r="BW15" s="225">
        <f>'Energy NPV'!$D68</f>
        <v>11.617000000000001</v>
      </c>
      <c r="BX15" s="197">
        <f>'Energy margins'!$S$12</f>
        <v>72</v>
      </c>
      <c r="BY15" s="197">
        <f t="shared" si="37"/>
        <v>836.42400000000009</v>
      </c>
      <c r="BZ15" s="197">
        <f>'Margins summary'!$U$14</f>
        <v>175.95</v>
      </c>
      <c r="CA15" s="197">
        <f t="shared" si="38"/>
        <v>1012.374</v>
      </c>
      <c r="CB15" s="197"/>
      <c r="CC15" s="918">
        <f>'Energy NPV'!U68</f>
        <v>309.57878399999998</v>
      </c>
      <c r="CD15" s="197"/>
      <c r="CE15" s="197">
        <f t="shared" si="39"/>
        <v>619.15756799999997</v>
      </c>
      <c r="CF15" s="197">
        <f t="shared" si="6"/>
        <v>217.26643200000012</v>
      </c>
      <c r="CG15" s="197">
        <f t="shared" si="7"/>
        <v>393.21643200000005</v>
      </c>
      <c r="CH15" s="196">
        <f t="shared" si="40"/>
        <v>743.57789030496133</v>
      </c>
      <c r="CI15" s="197">
        <f t="shared" si="41"/>
        <v>156.41890930814745</v>
      </c>
      <c r="CJ15" s="197">
        <f t="shared" si="42"/>
        <v>550.42882339553933</v>
      </c>
      <c r="CK15" s="197">
        <f t="shared" si="43"/>
        <v>193.14906690942203</v>
      </c>
      <c r="CL15" s="199">
        <f t="shared" si="44"/>
        <v>349.56797621756942</v>
      </c>
      <c r="CM15" s="196">
        <f t="shared" si="68"/>
        <v>2190.8432157487482</v>
      </c>
      <c r="CN15" s="197">
        <f t="shared" si="45"/>
        <v>664.22726729631313</v>
      </c>
      <c r="CO15" s="197">
        <f t="shared" si="46"/>
        <v>14105.160991395538</v>
      </c>
      <c r="CP15" s="197">
        <f t="shared" si="47"/>
        <v>-11914.31777564679</v>
      </c>
      <c r="CQ15" s="199">
        <f t="shared" si="48"/>
        <v>-11250.090508350479</v>
      </c>
      <c r="CR15" s="197"/>
      <c r="CT15" s="204">
        <f t="shared" si="69"/>
        <v>4</v>
      </c>
      <c r="CU15" s="225">
        <f>'Energy NPV'!$D68</f>
        <v>11.617000000000001</v>
      </c>
      <c r="CV15" s="197">
        <f>'Energy margins'!$S$12</f>
        <v>72</v>
      </c>
      <c r="CW15" s="197">
        <f t="shared" si="49"/>
        <v>836.42400000000009</v>
      </c>
      <c r="CX15" s="197">
        <f>'Margins summary'!$U$14</f>
        <v>175.95</v>
      </c>
      <c r="CY15" s="197">
        <f t="shared" si="50"/>
        <v>1012.374</v>
      </c>
      <c r="CZ15" s="197"/>
      <c r="DA15" s="918">
        <f>'Energy NPV'!U68</f>
        <v>309.57878399999998</v>
      </c>
      <c r="DB15" s="197"/>
      <c r="DC15" s="197">
        <f t="shared" si="51"/>
        <v>0</v>
      </c>
      <c r="DD15" s="197">
        <f t="shared" si="8"/>
        <v>836.42400000000009</v>
      </c>
      <c r="DE15" s="197">
        <f t="shared" si="9"/>
        <v>1012.374</v>
      </c>
      <c r="DF15" s="196">
        <f t="shared" si="52"/>
        <v>743.57789030496133</v>
      </c>
      <c r="DG15" s="197">
        <f t="shared" si="53"/>
        <v>156.41890930814745</v>
      </c>
      <c r="DH15" s="197">
        <f t="shared" si="54"/>
        <v>0</v>
      </c>
      <c r="DI15" s="197">
        <f t="shared" si="55"/>
        <v>743.57789030496133</v>
      </c>
      <c r="DJ15" s="199">
        <f t="shared" si="56"/>
        <v>899.99679961310869</v>
      </c>
      <c r="DK15" s="196">
        <f t="shared" si="70"/>
        <v>2190.8432157487482</v>
      </c>
      <c r="DL15" s="197">
        <f t="shared" si="57"/>
        <v>664.22726729631313</v>
      </c>
      <c r="DM15" s="197">
        <f t="shared" si="58"/>
        <v>0</v>
      </c>
      <c r="DN15" s="197">
        <f t="shared" si="59"/>
        <v>2190.8432157487482</v>
      </c>
      <c r="DO15" s="199">
        <f t="shared" si="60"/>
        <v>2855.0704830450613</v>
      </c>
    </row>
    <row r="16" spans="1:119" x14ac:dyDescent="0.3">
      <c r="B16" s="204">
        <f t="shared" si="61"/>
        <v>5</v>
      </c>
      <c r="C16" s="197">
        <f>'Energy NPV'!$D69</f>
        <v>11.617000000000001</v>
      </c>
      <c r="D16" s="197">
        <f>'Energy margins'!$S$12</f>
        <v>72</v>
      </c>
      <c r="E16" s="197">
        <f t="shared" si="10"/>
        <v>836.42400000000009</v>
      </c>
      <c r="F16" s="197">
        <f>'Margins summary'!$U$14</f>
        <v>175.95</v>
      </c>
      <c r="G16" s="197">
        <f t="shared" si="11"/>
        <v>1012.374</v>
      </c>
      <c r="H16" s="197"/>
      <c r="I16" s="918">
        <f>'Energy NPV'!U69</f>
        <v>309.57878399999998</v>
      </c>
      <c r="J16" s="197"/>
      <c r="K16" s="197">
        <f t="shared" si="12"/>
        <v>309.57878399999998</v>
      </c>
      <c r="L16" s="197">
        <f t="shared" si="0"/>
        <v>526.84521600000016</v>
      </c>
      <c r="M16" s="197">
        <f t="shared" si="1"/>
        <v>702.79521599999998</v>
      </c>
      <c r="N16" s="196">
        <f t="shared" si="13"/>
        <v>714.97874067784733</v>
      </c>
      <c r="O16" s="197">
        <f t="shared" si="14"/>
        <v>150.40279741168024</v>
      </c>
      <c r="P16" s="197">
        <f t="shared" si="15"/>
        <v>264.6292420170862</v>
      </c>
      <c r="Q16" s="197">
        <f t="shared" si="16"/>
        <v>450.34949866076124</v>
      </c>
      <c r="R16" s="199">
        <f t="shared" si="17"/>
        <v>600.75229607244137</v>
      </c>
      <c r="S16" s="196">
        <f t="shared" si="62"/>
        <v>2905.8219564265955</v>
      </c>
      <c r="T16" s="197">
        <f t="shared" si="18"/>
        <v>814.63006470799337</v>
      </c>
      <c r="U16" s="197">
        <f t="shared" si="18"/>
        <v>7317.2097377148548</v>
      </c>
      <c r="V16" s="197">
        <f t="shared" si="18"/>
        <v>-4411.3877812882611</v>
      </c>
      <c r="W16" s="199">
        <f t="shared" si="18"/>
        <v>-3596.7577165802663</v>
      </c>
      <c r="X16" s="197"/>
      <c r="Z16" s="204">
        <f t="shared" si="63"/>
        <v>5</v>
      </c>
      <c r="AA16" s="225">
        <f>'Energy NPV'!$D69</f>
        <v>11.617000000000001</v>
      </c>
      <c r="AB16" s="197">
        <f>'Energy margins'!$S$12</f>
        <v>72</v>
      </c>
      <c r="AC16" s="197">
        <f t="shared" si="19"/>
        <v>836.42400000000009</v>
      </c>
      <c r="AD16" s="197">
        <f>'Margins summary'!$U$14</f>
        <v>175.95</v>
      </c>
      <c r="AE16" s="197">
        <f t="shared" si="20"/>
        <v>1012.374</v>
      </c>
      <c r="AF16" s="197"/>
      <c r="AG16" s="918">
        <f>'Energy NPV'!U69</f>
        <v>309.57878399999998</v>
      </c>
      <c r="AH16" s="197"/>
      <c r="AI16" s="197">
        <f t="shared" si="21"/>
        <v>464.36817599999995</v>
      </c>
      <c r="AJ16" s="197">
        <f t="shared" si="2"/>
        <v>372.05582400000014</v>
      </c>
      <c r="AK16" s="197">
        <f t="shared" si="3"/>
        <v>548.00582400000008</v>
      </c>
      <c r="AL16" s="196">
        <f t="shared" si="22"/>
        <v>714.97874067784733</v>
      </c>
      <c r="AM16" s="197">
        <f t="shared" si="23"/>
        <v>150.40279741168024</v>
      </c>
      <c r="AN16" s="197">
        <f t="shared" si="24"/>
        <v>396.94386302562924</v>
      </c>
      <c r="AO16" s="197">
        <f t="shared" si="25"/>
        <v>318.03487765221814</v>
      </c>
      <c r="AP16" s="199">
        <f t="shared" si="26"/>
        <v>468.43767506389833</v>
      </c>
      <c r="AQ16" s="196">
        <f t="shared" si="64"/>
        <v>2905.8219564265955</v>
      </c>
      <c r="AR16" s="197">
        <f t="shared" si="27"/>
        <v>814.63006470799337</v>
      </c>
      <c r="AS16" s="197">
        <f t="shared" si="27"/>
        <v>10975.814606572285</v>
      </c>
      <c r="AT16" s="197">
        <f t="shared" si="27"/>
        <v>-8069.9926501456875</v>
      </c>
      <c r="AU16" s="199">
        <f t="shared" si="27"/>
        <v>-7255.3625854376933</v>
      </c>
      <c r="AV16" s="197"/>
      <c r="AX16" s="204">
        <f t="shared" si="65"/>
        <v>5</v>
      </c>
      <c r="AY16" s="225">
        <f>'Energy NPV'!$D69</f>
        <v>11.617000000000001</v>
      </c>
      <c r="AZ16" s="197">
        <f>'Energy margins'!$S$12</f>
        <v>72</v>
      </c>
      <c r="BA16" s="197">
        <f t="shared" si="28"/>
        <v>836.42400000000009</v>
      </c>
      <c r="BB16" s="197">
        <f>'Margins summary'!$U$14</f>
        <v>175.95</v>
      </c>
      <c r="BC16" s="197">
        <f t="shared" si="29"/>
        <v>1012.374</v>
      </c>
      <c r="BD16" s="197"/>
      <c r="BE16" s="918">
        <f>'Energy NPV'!U69</f>
        <v>309.57878399999998</v>
      </c>
      <c r="BF16" s="197"/>
      <c r="BG16" s="197">
        <f t="shared" si="30"/>
        <v>154.78939199999999</v>
      </c>
      <c r="BH16" s="197">
        <f t="shared" si="4"/>
        <v>681.63460800000007</v>
      </c>
      <c r="BI16" s="197">
        <f t="shared" si="5"/>
        <v>857.584608</v>
      </c>
      <c r="BJ16" s="196">
        <f t="shared" si="31"/>
        <v>714.97874067784733</v>
      </c>
      <c r="BK16" s="197">
        <f t="shared" si="32"/>
        <v>150.40279741168024</v>
      </c>
      <c r="BL16" s="197">
        <f t="shared" si="33"/>
        <v>132.3146210085431</v>
      </c>
      <c r="BM16" s="197">
        <f t="shared" si="34"/>
        <v>582.66411966930423</v>
      </c>
      <c r="BN16" s="199">
        <f t="shared" si="35"/>
        <v>733.06691708098447</v>
      </c>
      <c r="BO16" s="196">
        <f t="shared" si="66"/>
        <v>2905.8219564265955</v>
      </c>
      <c r="BP16" s="197">
        <f t="shared" si="36"/>
        <v>814.63006470799337</v>
      </c>
      <c r="BQ16" s="197">
        <f t="shared" si="36"/>
        <v>3658.6048688574274</v>
      </c>
      <c r="BR16" s="197">
        <f t="shared" si="36"/>
        <v>-752.78291243083208</v>
      </c>
      <c r="BS16" s="199">
        <f t="shared" si="36"/>
        <v>61.84715227716049</v>
      </c>
      <c r="BT16" s="197"/>
      <c r="BV16" s="204">
        <f t="shared" si="67"/>
        <v>5</v>
      </c>
      <c r="BW16" s="225">
        <f>'Energy NPV'!$D69</f>
        <v>11.617000000000001</v>
      </c>
      <c r="BX16" s="197">
        <f>'Energy margins'!$S$12</f>
        <v>72</v>
      </c>
      <c r="BY16" s="197">
        <f t="shared" si="37"/>
        <v>836.42400000000009</v>
      </c>
      <c r="BZ16" s="197">
        <f>'Margins summary'!$U$14</f>
        <v>175.95</v>
      </c>
      <c r="CA16" s="197">
        <f t="shared" si="38"/>
        <v>1012.374</v>
      </c>
      <c r="CB16" s="197"/>
      <c r="CC16" s="918">
        <f>'Energy NPV'!U69</f>
        <v>309.57878399999998</v>
      </c>
      <c r="CD16" s="197"/>
      <c r="CE16" s="197">
        <f t="shared" si="39"/>
        <v>619.15756799999997</v>
      </c>
      <c r="CF16" s="197">
        <f t="shared" si="6"/>
        <v>217.26643200000012</v>
      </c>
      <c r="CG16" s="197">
        <f t="shared" si="7"/>
        <v>393.21643200000005</v>
      </c>
      <c r="CH16" s="196">
        <f t="shared" si="40"/>
        <v>714.97874067784733</v>
      </c>
      <c r="CI16" s="197">
        <f t="shared" si="41"/>
        <v>150.40279741168024</v>
      </c>
      <c r="CJ16" s="197">
        <f t="shared" si="42"/>
        <v>529.2584840341724</v>
      </c>
      <c r="CK16" s="197">
        <f t="shared" si="43"/>
        <v>185.72025664367501</v>
      </c>
      <c r="CL16" s="199">
        <f t="shared" si="44"/>
        <v>336.12305405535517</v>
      </c>
      <c r="CM16" s="196">
        <f t="shared" si="68"/>
        <v>2905.8219564265955</v>
      </c>
      <c r="CN16" s="197">
        <f t="shared" si="45"/>
        <v>814.63006470799337</v>
      </c>
      <c r="CO16" s="197">
        <f t="shared" si="46"/>
        <v>14634.41947542971</v>
      </c>
      <c r="CP16" s="197">
        <f t="shared" si="47"/>
        <v>-11728.597519003115</v>
      </c>
      <c r="CQ16" s="199">
        <f t="shared" si="48"/>
        <v>-10913.967454295123</v>
      </c>
      <c r="CR16" s="197"/>
      <c r="CT16" s="204">
        <f t="shared" si="69"/>
        <v>5</v>
      </c>
      <c r="CU16" s="225">
        <f>'Energy NPV'!$D69</f>
        <v>11.617000000000001</v>
      </c>
      <c r="CV16" s="197">
        <f>'Energy margins'!$S$12</f>
        <v>72</v>
      </c>
      <c r="CW16" s="197">
        <f t="shared" si="49"/>
        <v>836.42400000000009</v>
      </c>
      <c r="CX16" s="197">
        <f>'Margins summary'!$U$14</f>
        <v>175.95</v>
      </c>
      <c r="CY16" s="197">
        <f t="shared" si="50"/>
        <v>1012.374</v>
      </c>
      <c r="CZ16" s="197"/>
      <c r="DA16" s="918">
        <f>'Energy NPV'!U69</f>
        <v>309.57878399999998</v>
      </c>
      <c r="DB16" s="197"/>
      <c r="DC16" s="197">
        <f t="shared" si="51"/>
        <v>0</v>
      </c>
      <c r="DD16" s="197">
        <f t="shared" si="8"/>
        <v>836.42400000000009</v>
      </c>
      <c r="DE16" s="197">
        <f t="shared" si="9"/>
        <v>1012.374</v>
      </c>
      <c r="DF16" s="196">
        <f t="shared" si="52"/>
        <v>714.97874067784733</v>
      </c>
      <c r="DG16" s="197">
        <f t="shared" si="53"/>
        <v>150.40279741168024</v>
      </c>
      <c r="DH16" s="197">
        <f t="shared" si="54"/>
        <v>0</v>
      </c>
      <c r="DI16" s="197">
        <f t="shared" si="55"/>
        <v>714.97874067784733</v>
      </c>
      <c r="DJ16" s="199">
        <f t="shared" si="56"/>
        <v>865.38153808952757</v>
      </c>
      <c r="DK16" s="196">
        <f t="shared" si="70"/>
        <v>2905.8219564265955</v>
      </c>
      <c r="DL16" s="197">
        <f t="shared" si="57"/>
        <v>814.63006470799337</v>
      </c>
      <c r="DM16" s="197">
        <f t="shared" si="58"/>
        <v>0</v>
      </c>
      <c r="DN16" s="197">
        <f t="shared" si="59"/>
        <v>2905.8219564265955</v>
      </c>
      <c r="DO16" s="199">
        <f t="shared" si="60"/>
        <v>3720.4520211345889</v>
      </c>
    </row>
    <row r="17" spans="2:119" x14ac:dyDescent="0.3">
      <c r="B17" s="204">
        <f t="shared" si="61"/>
        <v>6</v>
      </c>
      <c r="C17" s="197">
        <f>'Energy NPV'!$D70</f>
        <v>11.617000000000001</v>
      </c>
      <c r="D17" s="197">
        <f>'Energy margins'!$S$12</f>
        <v>72</v>
      </c>
      <c r="E17" s="197">
        <f t="shared" si="10"/>
        <v>836.42400000000009</v>
      </c>
      <c r="F17" s="197">
        <f>'Margins summary'!$U$14</f>
        <v>175.95</v>
      </c>
      <c r="G17" s="197">
        <f t="shared" si="11"/>
        <v>1012.374</v>
      </c>
      <c r="H17" s="197"/>
      <c r="I17" s="918">
        <f>'Energy NPV'!U70</f>
        <v>309.57878399999998</v>
      </c>
      <c r="J17" s="197"/>
      <c r="K17" s="197">
        <f t="shared" si="12"/>
        <v>309.57878399999998</v>
      </c>
      <c r="L17" s="197">
        <f t="shared" si="0"/>
        <v>526.84521600000016</v>
      </c>
      <c r="M17" s="197">
        <f t="shared" si="1"/>
        <v>702.79521599999998</v>
      </c>
      <c r="N17" s="196">
        <f t="shared" si="13"/>
        <v>687.4795583440839</v>
      </c>
      <c r="O17" s="197">
        <f t="shared" si="14"/>
        <v>144.61807443430789</v>
      </c>
      <c r="P17" s="197">
        <f t="shared" si="15"/>
        <v>254.45119424719823</v>
      </c>
      <c r="Q17" s="197">
        <f t="shared" si="16"/>
        <v>433.02836409688575</v>
      </c>
      <c r="R17" s="199">
        <f t="shared" si="17"/>
        <v>577.64643853119355</v>
      </c>
      <c r="S17" s="196">
        <f t="shared" si="62"/>
        <v>3593.3015147706792</v>
      </c>
      <c r="T17" s="197">
        <f t="shared" si="18"/>
        <v>959.24813914230128</v>
      </c>
      <c r="U17" s="197">
        <f t="shared" si="18"/>
        <v>7571.6609319620529</v>
      </c>
      <c r="V17" s="197">
        <f t="shared" si="18"/>
        <v>-3978.3594171913755</v>
      </c>
      <c r="W17" s="199">
        <f t="shared" si="18"/>
        <v>-3019.111278049073</v>
      </c>
      <c r="X17" s="197"/>
      <c r="Z17" s="204">
        <f t="shared" si="63"/>
        <v>6</v>
      </c>
      <c r="AA17" s="225">
        <f>'Energy NPV'!$D70</f>
        <v>11.617000000000001</v>
      </c>
      <c r="AB17" s="197">
        <f>'Energy margins'!$S$12</f>
        <v>72</v>
      </c>
      <c r="AC17" s="197">
        <f t="shared" si="19"/>
        <v>836.42400000000009</v>
      </c>
      <c r="AD17" s="197">
        <f>'Margins summary'!$U$14</f>
        <v>175.95</v>
      </c>
      <c r="AE17" s="197">
        <f t="shared" si="20"/>
        <v>1012.374</v>
      </c>
      <c r="AF17" s="197"/>
      <c r="AG17" s="918">
        <f>'Energy NPV'!U70</f>
        <v>309.57878399999998</v>
      </c>
      <c r="AH17" s="197"/>
      <c r="AI17" s="197">
        <f t="shared" si="21"/>
        <v>464.36817599999995</v>
      </c>
      <c r="AJ17" s="197">
        <f t="shared" si="2"/>
        <v>372.05582400000014</v>
      </c>
      <c r="AK17" s="197">
        <f t="shared" si="3"/>
        <v>548.00582400000008</v>
      </c>
      <c r="AL17" s="196">
        <f t="shared" si="22"/>
        <v>687.4795583440839</v>
      </c>
      <c r="AM17" s="197">
        <f t="shared" si="23"/>
        <v>144.61807443430789</v>
      </c>
      <c r="AN17" s="197">
        <f t="shared" si="24"/>
        <v>381.67679137079733</v>
      </c>
      <c r="AO17" s="197">
        <f t="shared" si="25"/>
        <v>305.80276697328662</v>
      </c>
      <c r="AP17" s="199">
        <f t="shared" si="26"/>
        <v>450.42084140759448</v>
      </c>
      <c r="AQ17" s="196">
        <f t="shared" si="64"/>
        <v>3593.3015147706792</v>
      </c>
      <c r="AR17" s="197">
        <f t="shared" si="27"/>
        <v>959.24813914230128</v>
      </c>
      <c r="AS17" s="197">
        <f t="shared" si="27"/>
        <v>11357.491397943082</v>
      </c>
      <c r="AT17" s="197">
        <f t="shared" si="27"/>
        <v>-7764.1898831724011</v>
      </c>
      <c r="AU17" s="199">
        <f t="shared" si="27"/>
        <v>-6804.9417440300986</v>
      </c>
      <c r="AV17" s="197"/>
      <c r="AX17" s="204">
        <f t="shared" si="65"/>
        <v>6</v>
      </c>
      <c r="AY17" s="225">
        <f>'Energy NPV'!$D70</f>
        <v>11.617000000000001</v>
      </c>
      <c r="AZ17" s="197">
        <f>'Energy margins'!$S$12</f>
        <v>72</v>
      </c>
      <c r="BA17" s="197">
        <f t="shared" si="28"/>
        <v>836.42400000000009</v>
      </c>
      <c r="BB17" s="197">
        <f>'Margins summary'!$U$14</f>
        <v>175.95</v>
      </c>
      <c r="BC17" s="197">
        <f t="shared" si="29"/>
        <v>1012.374</v>
      </c>
      <c r="BD17" s="197"/>
      <c r="BE17" s="918">
        <f>'Energy NPV'!U70</f>
        <v>309.57878399999998</v>
      </c>
      <c r="BF17" s="197"/>
      <c r="BG17" s="197">
        <f t="shared" si="30"/>
        <v>154.78939199999999</v>
      </c>
      <c r="BH17" s="197">
        <f t="shared" si="4"/>
        <v>681.63460800000007</v>
      </c>
      <c r="BI17" s="197">
        <f t="shared" si="5"/>
        <v>857.584608</v>
      </c>
      <c r="BJ17" s="196">
        <f t="shared" si="31"/>
        <v>687.4795583440839</v>
      </c>
      <c r="BK17" s="197">
        <f t="shared" si="32"/>
        <v>144.61807443430789</v>
      </c>
      <c r="BL17" s="197">
        <f t="shared" si="33"/>
        <v>127.22559712359912</v>
      </c>
      <c r="BM17" s="197">
        <f t="shared" si="34"/>
        <v>560.25396122048483</v>
      </c>
      <c r="BN17" s="199">
        <f t="shared" si="35"/>
        <v>704.87203565479263</v>
      </c>
      <c r="BO17" s="196">
        <f t="shared" si="66"/>
        <v>3593.3015147706792</v>
      </c>
      <c r="BP17" s="197">
        <f t="shared" si="36"/>
        <v>959.24813914230128</v>
      </c>
      <c r="BQ17" s="197">
        <f t="shared" si="36"/>
        <v>3785.8304659810265</v>
      </c>
      <c r="BR17" s="197">
        <f t="shared" si="36"/>
        <v>-192.52895121034726</v>
      </c>
      <c r="BS17" s="199">
        <f t="shared" si="36"/>
        <v>766.71918793195312</v>
      </c>
      <c r="BT17" s="197"/>
      <c r="BV17" s="204">
        <f t="shared" si="67"/>
        <v>6</v>
      </c>
      <c r="BW17" s="225">
        <f>'Energy NPV'!$D70</f>
        <v>11.617000000000001</v>
      </c>
      <c r="BX17" s="197">
        <f>'Energy margins'!$S$12</f>
        <v>72</v>
      </c>
      <c r="BY17" s="197">
        <f t="shared" si="37"/>
        <v>836.42400000000009</v>
      </c>
      <c r="BZ17" s="197">
        <f>'Margins summary'!$U$14</f>
        <v>175.95</v>
      </c>
      <c r="CA17" s="197">
        <f t="shared" si="38"/>
        <v>1012.374</v>
      </c>
      <c r="CB17" s="197"/>
      <c r="CC17" s="918">
        <f>'Energy NPV'!U70</f>
        <v>309.57878399999998</v>
      </c>
      <c r="CD17" s="197"/>
      <c r="CE17" s="197">
        <f t="shared" si="39"/>
        <v>619.15756799999997</v>
      </c>
      <c r="CF17" s="197">
        <f t="shared" si="6"/>
        <v>217.26643200000012</v>
      </c>
      <c r="CG17" s="197">
        <f t="shared" si="7"/>
        <v>393.21643200000005</v>
      </c>
      <c r="CH17" s="196">
        <f t="shared" si="40"/>
        <v>687.4795583440839</v>
      </c>
      <c r="CI17" s="197">
        <f t="shared" si="41"/>
        <v>144.61807443430789</v>
      </c>
      <c r="CJ17" s="197">
        <f t="shared" si="42"/>
        <v>508.90238849439646</v>
      </c>
      <c r="CK17" s="197">
        <f t="shared" si="43"/>
        <v>178.57716984968749</v>
      </c>
      <c r="CL17" s="199">
        <f t="shared" si="44"/>
        <v>323.19524428399535</v>
      </c>
      <c r="CM17" s="196">
        <f t="shared" si="68"/>
        <v>3593.3015147706792</v>
      </c>
      <c r="CN17" s="197">
        <f t="shared" si="45"/>
        <v>959.24813914230128</v>
      </c>
      <c r="CO17" s="197">
        <f t="shared" si="46"/>
        <v>15143.321863924106</v>
      </c>
      <c r="CP17" s="197">
        <f t="shared" si="47"/>
        <v>-11550.020349153427</v>
      </c>
      <c r="CQ17" s="199">
        <f t="shared" si="48"/>
        <v>-10590.772210011128</v>
      </c>
      <c r="CR17" s="197"/>
      <c r="CT17" s="204">
        <f t="shared" si="69"/>
        <v>6</v>
      </c>
      <c r="CU17" s="225">
        <f>'Energy NPV'!$D70</f>
        <v>11.617000000000001</v>
      </c>
      <c r="CV17" s="197">
        <f>'Energy margins'!$S$12</f>
        <v>72</v>
      </c>
      <c r="CW17" s="197">
        <f t="shared" si="49"/>
        <v>836.42400000000009</v>
      </c>
      <c r="CX17" s="197">
        <f>'Margins summary'!$U$14</f>
        <v>175.95</v>
      </c>
      <c r="CY17" s="197">
        <f t="shared" si="50"/>
        <v>1012.374</v>
      </c>
      <c r="CZ17" s="197"/>
      <c r="DA17" s="918">
        <f>'Energy NPV'!U70</f>
        <v>309.57878399999998</v>
      </c>
      <c r="DB17" s="197"/>
      <c r="DC17" s="197">
        <f t="shared" si="51"/>
        <v>0</v>
      </c>
      <c r="DD17" s="197">
        <f t="shared" si="8"/>
        <v>836.42400000000009</v>
      </c>
      <c r="DE17" s="197">
        <f t="shared" si="9"/>
        <v>1012.374</v>
      </c>
      <c r="DF17" s="196">
        <f t="shared" si="52"/>
        <v>687.4795583440839</v>
      </c>
      <c r="DG17" s="197">
        <f t="shared" si="53"/>
        <v>144.61807443430789</v>
      </c>
      <c r="DH17" s="197">
        <f t="shared" si="54"/>
        <v>0</v>
      </c>
      <c r="DI17" s="197">
        <f t="shared" si="55"/>
        <v>687.4795583440839</v>
      </c>
      <c r="DJ17" s="199">
        <f t="shared" si="56"/>
        <v>832.09763277839181</v>
      </c>
      <c r="DK17" s="196">
        <f t="shared" si="70"/>
        <v>3593.3015147706792</v>
      </c>
      <c r="DL17" s="197">
        <f t="shared" si="57"/>
        <v>959.24813914230128</v>
      </c>
      <c r="DM17" s="197">
        <f t="shared" si="58"/>
        <v>0</v>
      </c>
      <c r="DN17" s="197">
        <f t="shared" si="59"/>
        <v>3593.3015147706792</v>
      </c>
      <c r="DO17" s="199">
        <f t="shared" si="60"/>
        <v>4552.5496539129808</v>
      </c>
    </row>
    <row r="18" spans="2:119" x14ac:dyDescent="0.3">
      <c r="B18" s="204">
        <f t="shared" si="61"/>
        <v>7</v>
      </c>
      <c r="C18" s="197">
        <f>'Energy NPV'!$D71</f>
        <v>11.617000000000001</v>
      </c>
      <c r="D18" s="197">
        <f>'Energy margins'!$S$12</f>
        <v>72</v>
      </c>
      <c r="E18" s="197">
        <f t="shared" si="10"/>
        <v>836.42400000000009</v>
      </c>
      <c r="F18" s="197">
        <f>'Margins summary'!$U$14</f>
        <v>175.95</v>
      </c>
      <c r="G18" s="197">
        <f t="shared" si="11"/>
        <v>1012.374</v>
      </c>
      <c r="H18" s="197"/>
      <c r="I18" s="918">
        <f>'Energy NPV'!U71</f>
        <v>309.57878399999998</v>
      </c>
      <c r="J18" s="197"/>
      <c r="K18" s="197">
        <f t="shared" si="12"/>
        <v>309.57878399999998</v>
      </c>
      <c r="L18" s="197">
        <f t="shared" si="0"/>
        <v>526.84521600000016</v>
      </c>
      <c r="M18" s="197">
        <f t="shared" si="1"/>
        <v>702.79521599999998</v>
      </c>
      <c r="N18" s="196">
        <f t="shared" si="13"/>
        <v>661.03803686931144</v>
      </c>
      <c r="O18" s="197">
        <f t="shared" si="14"/>
        <v>139.05584080221914</v>
      </c>
      <c r="P18" s="197">
        <f t="shared" si="15"/>
        <v>244.66460985307521</v>
      </c>
      <c r="Q18" s="197">
        <f t="shared" si="16"/>
        <v>416.37342701623629</v>
      </c>
      <c r="R18" s="199">
        <f t="shared" si="17"/>
        <v>555.42926781845529</v>
      </c>
      <c r="S18" s="196">
        <f t="shared" si="62"/>
        <v>4254.3395516399905</v>
      </c>
      <c r="T18" s="197">
        <f t="shared" si="18"/>
        <v>1098.3039799445205</v>
      </c>
      <c r="U18" s="197">
        <f t="shared" si="18"/>
        <v>7816.3255418151284</v>
      </c>
      <c r="V18" s="197">
        <f t="shared" si="18"/>
        <v>-3561.9859901751392</v>
      </c>
      <c r="W18" s="199">
        <f t="shared" si="18"/>
        <v>-2463.6820102306178</v>
      </c>
      <c r="X18" s="197"/>
      <c r="Z18" s="204">
        <f t="shared" si="63"/>
        <v>7</v>
      </c>
      <c r="AA18" s="225">
        <f>'Energy NPV'!$D71</f>
        <v>11.617000000000001</v>
      </c>
      <c r="AB18" s="197">
        <f>'Energy margins'!$S$12</f>
        <v>72</v>
      </c>
      <c r="AC18" s="197">
        <f t="shared" si="19"/>
        <v>836.42400000000009</v>
      </c>
      <c r="AD18" s="197">
        <f>'Margins summary'!$U$14</f>
        <v>175.95</v>
      </c>
      <c r="AE18" s="197">
        <f t="shared" si="20"/>
        <v>1012.374</v>
      </c>
      <c r="AF18" s="197"/>
      <c r="AG18" s="918">
        <f>'Energy NPV'!U71</f>
        <v>309.57878399999998</v>
      </c>
      <c r="AH18" s="197"/>
      <c r="AI18" s="197">
        <f t="shared" si="21"/>
        <v>464.36817599999995</v>
      </c>
      <c r="AJ18" s="197">
        <f t="shared" si="2"/>
        <v>372.05582400000014</v>
      </c>
      <c r="AK18" s="197">
        <f t="shared" si="3"/>
        <v>548.00582400000008</v>
      </c>
      <c r="AL18" s="196">
        <f t="shared" si="22"/>
        <v>661.03803686931144</v>
      </c>
      <c r="AM18" s="197">
        <f t="shared" si="23"/>
        <v>139.05584080221914</v>
      </c>
      <c r="AN18" s="197">
        <f t="shared" si="24"/>
        <v>366.99691477961278</v>
      </c>
      <c r="AO18" s="197">
        <f t="shared" si="25"/>
        <v>294.04112208969866</v>
      </c>
      <c r="AP18" s="199">
        <f t="shared" si="26"/>
        <v>433.09696289191777</v>
      </c>
      <c r="AQ18" s="196">
        <f t="shared" si="64"/>
        <v>4254.3395516399905</v>
      </c>
      <c r="AR18" s="197">
        <f t="shared" si="27"/>
        <v>1098.3039799445205</v>
      </c>
      <c r="AS18" s="197">
        <f t="shared" si="27"/>
        <v>11724.488312722695</v>
      </c>
      <c r="AT18" s="197">
        <f t="shared" si="27"/>
        <v>-7470.1487610827025</v>
      </c>
      <c r="AU18" s="199">
        <f t="shared" si="27"/>
        <v>-6371.8447811381811</v>
      </c>
      <c r="AV18" s="197"/>
      <c r="AX18" s="204">
        <f t="shared" si="65"/>
        <v>7</v>
      </c>
      <c r="AY18" s="225">
        <f>'Energy NPV'!$D71</f>
        <v>11.617000000000001</v>
      </c>
      <c r="AZ18" s="197">
        <f>'Energy margins'!$S$12</f>
        <v>72</v>
      </c>
      <c r="BA18" s="197">
        <f t="shared" si="28"/>
        <v>836.42400000000009</v>
      </c>
      <c r="BB18" s="197">
        <f>'Margins summary'!$U$14</f>
        <v>175.95</v>
      </c>
      <c r="BC18" s="197">
        <f t="shared" si="29"/>
        <v>1012.374</v>
      </c>
      <c r="BD18" s="197"/>
      <c r="BE18" s="918">
        <f>'Energy NPV'!U71</f>
        <v>309.57878399999998</v>
      </c>
      <c r="BF18" s="197"/>
      <c r="BG18" s="197">
        <f t="shared" si="30"/>
        <v>154.78939199999999</v>
      </c>
      <c r="BH18" s="197">
        <f t="shared" si="4"/>
        <v>681.63460800000007</v>
      </c>
      <c r="BI18" s="197">
        <f t="shared" si="5"/>
        <v>857.584608</v>
      </c>
      <c r="BJ18" s="196">
        <f t="shared" si="31"/>
        <v>661.03803686931144</v>
      </c>
      <c r="BK18" s="197">
        <f t="shared" si="32"/>
        <v>139.05584080221914</v>
      </c>
      <c r="BL18" s="197">
        <f t="shared" si="33"/>
        <v>122.3323049265376</v>
      </c>
      <c r="BM18" s="197">
        <f t="shared" si="34"/>
        <v>538.70573194277381</v>
      </c>
      <c r="BN18" s="199">
        <f t="shared" si="35"/>
        <v>677.76157274499292</v>
      </c>
      <c r="BO18" s="196">
        <f t="shared" si="66"/>
        <v>4254.3395516399905</v>
      </c>
      <c r="BP18" s="197">
        <f t="shared" si="36"/>
        <v>1098.3039799445205</v>
      </c>
      <c r="BQ18" s="197">
        <f t="shared" si="36"/>
        <v>3908.1627709075642</v>
      </c>
      <c r="BR18" s="197">
        <f t="shared" si="36"/>
        <v>346.17678073242655</v>
      </c>
      <c r="BS18" s="199">
        <f t="shared" si="36"/>
        <v>1444.4807606769459</v>
      </c>
      <c r="BT18" s="197"/>
      <c r="BV18" s="204">
        <f t="shared" si="67"/>
        <v>7</v>
      </c>
      <c r="BW18" s="225">
        <f>'Energy NPV'!$D71</f>
        <v>11.617000000000001</v>
      </c>
      <c r="BX18" s="197">
        <f>'Energy margins'!$S$12</f>
        <v>72</v>
      </c>
      <c r="BY18" s="197">
        <f t="shared" si="37"/>
        <v>836.42400000000009</v>
      </c>
      <c r="BZ18" s="197">
        <f>'Margins summary'!$U$14</f>
        <v>175.95</v>
      </c>
      <c r="CA18" s="197">
        <f t="shared" si="38"/>
        <v>1012.374</v>
      </c>
      <c r="CB18" s="197"/>
      <c r="CC18" s="918">
        <f>'Energy NPV'!U71</f>
        <v>309.57878399999998</v>
      </c>
      <c r="CD18" s="197"/>
      <c r="CE18" s="197">
        <f t="shared" si="39"/>
        <v>619.15756799999997</v>
      </c>
      <c r="CF18" s="197">
        <f t="shared" si="6"/>
        <v>217.26643200000012</v>
      </c>
      <c r="CG18" s="197">
        <f t="shared" si="7"/>
        <v>393.21643200000005</v>
      </c>
      <c r="CH18" s="196">
        <f t="shared" si="40"/>
        <v>661.03803686931144</v>
      </c>
      <c r="CI18" s="197">
        <f t="shared" si="41"/>
        <v>139.05584080221914</v>
      </c>
      <c r="CJ18" s="197">
        <f t="shared" si="42"/>
        <v>489.32921970615041</v>
      </c>
      <c r="CK18" s="197">
        <f t="shared" si="43"/>
        <v>171.70881716316106</v>
      </c>
      <c r="CL18" s="199">
        <f t="shared" si="44"/>
        <v>310.76465796538014</v>
      </c>
      <c r="CM18" s="196">
        <f t="shared" si="68"/>
        <v>4254.3395516399905</v>
      </c>
      <c r="CN18" s="197">
        <f t="shared" si="45"/>
        <v>1098.3039799445205</v>
      </c>
      <c r="CO18" s="197">
        <f t="shared" si="46"/>
        <v>15632.651083630257</v>
      </c>
      <c r="CP18" s="197">
        <f t="shared" si="47"/>
        <v>-11378.311531990266</v>
      </c>
      <c r="CQ18" s="199">
        <f t="shared" si="48"/>
        <v>-10280.007552045747</v>
      </c>
      <c r="CR18" s="197"/>
      <c r="CT18" s="204">
        <f t="shared" si="69"/>
        <v>7</v>
      </c>
      <c r="CU18" s="225">
        <f>'Energy NPV'!$D71</f>
        <v>11.617000000000001</v>
      </c>
      <c r="CV18" s="197">
        <f>'Energy margins'!$S$12</f>
        <v>72</v>
      </c>
      <c r="CW18" s="197">
        <f t="shared" si="49"/>
        <v>836.42400000000009</v>
      </c>
      <c r="CX18" s="197">
        <f>'Margins summary'!$U$14</f>
        <v>175.95</v>
      </c>
      <c r="CY18" s="197">
        <f t="shared" si="50"/>
        <v>1012.374</v>
      </c>
      <c r="CZ18" s="197"/>
      <c r="DA18" s="918">
        <f>'Energy NPV'!U71</f>
        <v>309.57878399999998</v>
      </c>
      <c r="DB18" s="197"/>
      <c r="DC18" s="197">
        <f t="shared" si="51"/>
        <v>0</v>
      </c>
      <c r="DD18" s="197">
        <f t="shared" si="8"/>
        <v>836.42400000000009</v>
      </c>
      <c r="DE18" s="197">
        <f t="shared" si="9"/>
        <v>1012.374</v>
      </c>
      <c r="DF18" s="196">
        <f t="shared" si="52"/>
        <v>661.03803686931144</v>
      </c>
      <c r="DG18" s="197">
        <f t="shared" si="53"/>
        <v>139.05584080221914</v>
      </c>
      <c r="DH18" s="197">
        <f t="shared" si="54"/>
        <v>0</v>
      </c>
      <c r="DI18" s="197">
        <f t="shared" si="55"/>
        <v>661.03803686931144</v>
      </c>
      <c r="DJ18" s="199">
        <f t="shared" si="56"/>
        <v>800.09387767153055</v>
      </c>
      <c r="DK18" s="196">
        <f t="shared" si="70"/>
        <v>4254.3395516399905</v>
      </c>
      <c r="DL18" s="197">
        <f t="shared" si="57"/>
        <v>1098.3039799445205</v>
      </c>
      <c r="DM18" s="197">
        <f t="shared" si="58"/>
        <v>0</v>
      </c>
      <c r="DN18" s="197">
        <f t="shared" si="59"/>
        <v>4254.3395516399905</v>
      </c>
      <c r="DO18" s="199">
        <f t="shared" si="60"/>
        <v>5352.643531584511</v>
      </c>
    </row>
    <row r="19" spans="2:119" x14ac:dyDescent="0.3">
      <c r="B19" s="204">
        <f t="shared" si="61"/>
        <v>8</v>
      </c>
      <c r="C19" s="197">
        <f>'Energy NPV'!$D72</f>
        <v>11.617000000000001</v>
      </c>
      <c r="D19" s="197">
        <f>'Energy margins'!$S$12</f>
        <v>72</v>
      </c>
      <c r="E19" s="197">
        <f t="shared" si="10"/>
        <v>836.42400000000009</v>
      </c>
      <c r="F19" s="197">
        <f>'Margins summary'!$U$14</f>
        <v>175.95</v>
      </c>
      <c r="G19" s="197">
        <f t="shared" si="11"/>
        <v>1012.374</v>
      </c>
      <c r="H19" s="197"/>
      <c r="I19" s="918">
        <f>'Energy NPV'!U72</f>
        <v>309.57878399999998</v>
      </c>
      <c r="J19" s="197"/>
      <c r="K19" s="197">
        <f t="shared" si="12"/>
        <v>309.57878399999998</v>
      </c>
      <c r="L19" s="197">
        <f t="shared" si="0"/>
        <v>526.84521600000016</v>
      </c>
      <c r="M19" s="197">
        <f t="shared" si="1"/>
        <v>702.79521599999998</v>
      </c>
      <c r="N19" s="196">
        <f t="shared" si="13"/>
        <v>635.61349698972265</v>
      </c>
      <c r="O19" s="197">
        <f t="shared" si="14"/>
        <v>133.70753923290303</v>
      </c>
      <c r="P19" s="197">
        <f t="shared" si="15"/>
        <v>235.25443255103389</v>
      </c>
      <c r="Q19" s="197">
        <f t="shared" si="16"/>
        <v>400.35906443868879</v>
      </c>
      <c r="R19" s="199">
        <f t="shared" si="17"/>
        <v>534.06660367159168</v>
      </c>
      <c r="S19" s="196">
        <f t="shared" si="62"/>
        <v>4889.9530486297135</v>
      </c>
      <c r="T19" s="197">
        <f t="shared" si="18"/>
        <v>1232.0115191774235</v>
      </c>
      <c r="U19" s="197">
        <f t="shared" si="18"/>
        <v>8051.5799743661619</v>
      </c>
      <c r="V19" s="197">
        <f t="shared" si="18"/>
        <v>-3161.6269257364506</v>
      </c>
      <c r="W19" s="199">
        <f t="shared" si="18"/>
        <v>-1929.6154065590263</v>
      </c>
      <c r="X19" s="197"/>
      <c r="Z19" s="204">
        <f t="shared" si="63"/>
        <v>8</v>
      </c>
      <c r="AA19" s="225">
        <f>'Energy NPV'!$D72</f>
        <v>11.617000000000001</v>
      </c>
      <c r="AB19" s="197">
        <f>'Energy margins'!$S$12</f>
        <v>72</v>
      </c>
      <c r="AC19" s="197">
        <f t="shared" si="19"/>
        <v>836.42400000000009</v>
      </c>
      <c r="AD19" s="197">
        <f>'Margins summary'!$U$14</f>
        <v>175.95</v>
      </c>
      <c r="AE19" s="197">
        <f t="shared" si="20"/>
        <v>1012.374</v>
      </c>
      <c r="AF19" s="197"/>
      <c r="AG19" s="918">
        <f>'Energy NPV'!U72</f>
        <v>309.57878399999998</v>
      </c>
      <c r="AH19" s="197"/>
      <c r="AI19" s="197">
        <f t="shared" si="21"/>
        <v>464.36817599999995</v>
      </c>
      <c r="AJ19" s="197">
        <f t="shared" si="2"/>
        <v>372.05582400000014</v>
      </c>
      <c r="AK19" s="197">
        <f t="shared" si="3"/>
        <v>548.00582400000008</v>
      </c>
      <c r="AL19" s="196">
        <f t="shared" si="22"/>
        <v>635.61349698972265</v>
      </c>
      <c r="AM19" s="197">
        <f t="shared" si="23"/>
        <v>133.70753923290303</v>
      </c>
      <c r="AN19" s="197">
        <f t="shared" si="24"/>
        <v>352.88164882655082</v>
      </c>
      <c r="AO19" s="197">
        <f t="shared" si="25"/>
        <v>282.73184816317183</v>
      </c>
      <c r="AP19" s="199">
        <f t="shared" si="26"/>
        <v>416.43938739607484</v>
      </c>
      <c r="AQ19" s="196">
        <f t="shared" si="64"/>
        <v>4889.9530486297135</v>
      </c>
      <c r="AR19" s="197">
        <f t="shared" si="27"/>
        <v>1232.0115191774235</v>
      </c>
      <c r="AS19" s="197">
        <f t="shared" si="27"/>
        <v>12077.369961549246</v>
      </c>
      <c r="AT19" s="197">
        <f t="shared" si="27"/>
        <v>-7187.4169129195307</v>
      </c>
      <c r="AU19" s="199">
        <f t="shared" si="27"/>
        <v>-5955.4053937421068</v>
      </c>
      <c r="AV19" s="197"/>
      <c r="AX19" s="204">
        <f t="shared" si="65"/>
        <v>8</v>
      </c>
      <c r="AY19" s="225">
        <f>'Energy NPV'!$D72</f>
        <v>11.617000000000001</v>
      </c>
      <c r="AZ19" s="197">
        <f>'Energy margins'!$S$12</f>
        <v>72</v>
      </c>
      <c r="BA19" s="197">
        <f t="shared" si="28"/>
        <v>836.42400000000009</v>
      </c>
      <c r="BB19" s="197">
        <f>'Margins summary'!$U$14</f>
        <v>175.95</v>
      </c>
      <c r="BC19" s="197">
        <f t="shared" si="29"/>
        <v>1012.374</v>
      </c>
      <c r="BD19" s="197"/>
      <c r="BE19" s="918">
        <f>'Energy NPV'!U72</f>
        <v>309.57878399999998</v>
      </c>
      <c r="BF19" s="197"/>
      <c r="BG19" s="197">
        <f t="shared" si="30"/>
        <v>154.78939199999999</v>
      </c>
      <c r="BH19" s="197">
        <f t="shared" si="4"/>
        <v>681.63460800000007</v>
      </c>
      <c r="BI19" s="197">
        <f t="shared" si="5"/>
        <v>857.584608</v>
      </c>
      <c r="BJ19" s="196">
        <f t="shared" si="31"/>
        <v>635.61349698972265</v>
      </c>
      <c r="BK19" s="197">
        <f t="shared" si="32"/>
        <v>133.70753923290303</v>
      </c>
      <c r="BL19" s="197">
        <f t="shared" si="33"/>
        <v>117.62721627551694</v>
      </c>
      <c r="BM19" s="197">
        <f t="shared" si="34"/>
        <v>517.98628071420569</v>
      </c>
      <c r="BN19" s="199">
        <f t="shared" si="35"/>
        <v>651.69381994710864</v>
      </c>
      <c r="BO19" s="196">
        <f t="shared" si="66"/>
        <v>4889.9530486297135</v>
      </c>
      <c r="BP19" s="197">
        <f t="shared" si="36"/>
        <v>1232.0115191774235</v>
      </c>
      <c r="BQ19" s="197">
        <f t="shared" si="36"/>
        <v>4025.7899871830809</v>
      </c>
      <c r="BR19" s="197">
        <f t="shared" si="36"/>
        <v>864.16306144663224</v>
      </c>
      <c r="BS19" s="199">
        <f t="shared" si="36"/>
        <v>2096.1745806240547</v>
      </c>
      <c r="BT19" s="197"/>
      <c r="BV19" s="204">
        <f t="shared" si="67"/>
        <v>8</v>
      </c>
      <c r="BW19" s="225">
        <f>'Energy NPV'!$D72</f>
        <v>11.617000000000001</v>
      </c>
      <c r="BX19" s="197">
        <f>'Energy margins'!$S$12</f>
        <v>72</v>
      </c>
      <c r="BY19" s="197">
        <f t="shared" si="37"/>
        <v>836.42400000000009</v>
      </c>
      <c r="BZ19" s="197">
        <f>'Margins summary'!$U$14</f>
        <v>175.95</v>
      </c>
      <c r="CA19" s="197">
        <f t="shared" si="38"/>
        <v>1012.374</v>
      </c>
      <c r="CB19" s="197"/>
      <c r="CC19" s="918">
        <f>'Energy NPV'!U72</f>
        <v>309.57878399999998</v>
      </c>
      <c r="CD19" s="197"/>
      <c r="CE19" s="197">
        <f t="shared" si="39"/>
        <v>619.15756799999997</v>
      </c>
      <c r="CF19" s="197">
        <f t="shared" si="6"/>
        <v>217.26643200000012</v>
      </c>
      <c r="CG19" s="197">
        <f t="shared" si="7"/>
        <v>393.21643200000005</v>
      </c>
      <c r="CH19" s="196">
        <f t="shared" si="40"/>
        <v>635.61349698972265</v>
      </c>
      <c r="CI19" s="197">
        <f t="shared" si="41"/>
        <v>133.70753923290303</v>
      </c>
      <c r="CJ19" s="197">
        <f t="shared" si="42"/>
        <v>470.50886510206777</v>
      </c>
      <c r="CK19" s="197">
        <f t="shared" si="43"/>
        <v>165.10463188765488</v>
      </c>
      <c r="CL19" s="199">
        <f t="shared" si="44"/>
        <v>298.81217112055788</v>
      </c>
      <c r="CM19" s="196">
        <f t="shared" si="68"/>
        <v>4889.9530486297135</v>
      </c>
      <c r="CN19" s="197">
        <f t="shared" si="45"/>
        <v>1232.0115191774235</v>
      </c>
      <c r="CO19" s="197">
        <f t="shared" si="46"/>
        <v>16103.159948732324</v>
      </c>
      <c r="CP19" s="197">
        <f t="shared" si="47"/>
        <v>-11213.206900102612</v>
      </c>
      <c r="CQ19" s="199">
        <f t="shared" si="48"/>
        <v>-9981.1953809251881</v>
      </c>
      <c r="CR19" s="197"/>
      <c r="CT19" s="204">
        <f t="shared" si="69"/>
        <v>8</v>
      </c>
      <c r="CU19" s="225">
        <f>'Energy NPV'!$D72</f>
        <v>11.617000000000001</v>
      </c>
      <c r="CV19" s="197">
        <f>'Energy margins'!$S$12</f>
        <v>72</v>
      </c>
      <c r="CW19" s="197">
        <f t="shared" si="49"/>
        <v>836.42400000000009</v>
      </c>
      <c r="CX19" s="197">
        <f>'Margins summary'!$U$14</f>
        <v>175.95</v>
      </c>
      <c r="CY19" s="197">
        <f t="shared" si="50"/>
        <v>1012.374</v>
      </c>
      <c r="CZ19" s="197"/>
      <c r="DA19" s="918">
        <f>'Energy NPV'!U72</f>
        <v>309.57878399999998</v>
      </c>
      <c r="DB19" s="197"/>
      <c r="DC19" s="197">
        <f t="shared" si="51"/>
        <v>0</v>
      </c>
      <c r="DD19" s="197">
        <f t="shared" si="8"/>
        <v>836.42400000000009</v>
      </c>
      <c r="DE19" s="197">
        <f t="shared" si="9"/>
        <v>1012.374</v>
      </c>
      <c r="DF19" s="196">
        <f t="shared" si="52"/>
        <v>635.61349698972265</v>
      </c>
      <c r="DG19" s="197">
        <f t="shared" si="53"/>
        <v>133.70753923290303</v>
      </c>
      <c r="DH19" s="197">
        <f t="shared" si="54"/>
        <v>0</v>
      </c>
      <c r="DI19" s="197">
        <f t="shared" si="55"/>
        <v>635.61349698972265</v>
      </c>
      <c r="DJ19" s="199">
        <f t="shared" si="56"/>
        <v>769.32103622262559</v>
      </c>
      <c r="DK19" s="196">
        <f t="shared" si="70"/>
        <v>4889.9530486297135</v>
      </c>
      <c r="DL19" s="197">
        <f t="shared" si="57"/>
        <v>1232.0115191774235</v>
      </c>
      <c r="DM19" s="197">
        <f t="shared" si="58"/>
        <v>0</v>
      </c>
      <c r="DN19" s="197">
        <f t="shared" si="59"/>
        <v>4889.9530486297135</v>
      </c>
      <c r="DO19" s="199">
        <f t="shared" si="60"/>
        <v>6121.9645678071365</v>
      </c>
    </row>
    <row r="20" spans="2:119" x14ac:dyDescent="0.3">
      <c r="B20" s="204">
        <f t="shared" si="61"/>
        <v>9</v>
      </c>
      <c r="C20" s="197">
        <f>'Energy NPV'!$D73</f>
        <v>11.617000000000001</v>
      </c>
      <c r="D20" s="197">
        <f>'Energy margins'!$S$12</f>
        <v>72</v>
      </c>
      <c r="E20" s="197">
        <f t="shared" si="10"/>
        <v>836.42400000000009</v>
      </c>
      <c r="F20" s="197">
        <f>'Margins summary'!$U$14</f>
        <v>175.95</v>
      </c>
      <c r="G20" s="197">
        <f t="shared" si="11"/>
        <v>1012.374</v>
      </c>
      <c r="H20" s="197"/>
      <c r="I20" s="918">
        <f>'Energy NPV'!U73</f>
        <v>309.57878399999998</v>
      </c>
      <c r="J20" s="197"/>
      <c r="K20" s="197">
        <f t="shared" si="12"/>
        <v>309.57878399999998</v>
      </c>
      <c r="L20" s="197">
        <f t="shared" si="0"/>
        <v>526.84521600000016</v>
      </c>
      <c r="M20" s="197">
        <f t="shared" si="1"/>
        <v>702.79521599999998</v>
      </c>
      <c r="N20" s="196">
        <f t="shared" si="13"/>
        <v>611.1668240285793</v>
      </c>
      <c r="O20" s="197">
        <f t="shared" si="14"/>
        <v>128.56494157009902</v>
      </c>
      <c r="P20" s="197">
        <f t="shared" si="15"/>
        <v>226.20618514522485</v>
      </c>
      <c r="Q20" s="197">
        <f t="shared" si="16"/>
        <v>384.96063888335453</v>
      </c>
      <c r="R20" s="199">
        <f t="shared" si="17"/>
        <v>513.52558045345347</v>
      </c>
      <c r="S20" s="196">
        <f t="shared" si="62"/>
        <v>5501.1198726582925</v>
      </c>
      <c r="T20" s="197">
        <f t="shared" si="18"/>
        <v>1360.5764607475226</v>
      </c>
      <c r="U20" s="197">
        <f t="shared" si="18"/>
        <v>8277.7861595113864</v>
      </c>
      <c r="V20" s="197">
        <f t="shared" si="18"/>
        <v>-2776.6662868530962</v>
      </c>
      <c r="W20" s="199">
        <f t="shared" si="18"/>
        <v>-1416.0898261055727</v>
      </c>
      <c r="X20" s="197"/>
      <c r="Z20" s="204">
        <f t="shared" si="63"/>
        <v>9</v>
      </c>
      <c r="AA20" s="225">
        <f>'Energy NPV'!$D73</f>
        <v>11.617000000000001</v>
      </c>
      <c r="AB20" s="197">
        <f>'Energy margins'!$S$12</f>
        <v>72</v>
      </c>
      <c r="AC20" s="197">
        <f t="shared" si="19"/>
        <v>836.42400000000009</v>
      </c>
      <c r="AD20" s="197">
        <f>'Margins summary'!$U$14</f>
        <v>175.95</v>
      </c>
      <c r="AE20" s="197">
        <f t="shared" si="20"/>
        <v>1012.374</v>
      </c>
      <c r="AF20" s="197"/>
      <c r="AG20" s="918">
        <f>'Energy NPV'!U73</f>
        <v>309.57878399999998</v>
      </c>
      <c r="AH20" s="197"/>
      <c r="AI20" s="197">
        <f t="shared" si="21"/>
        <v>464.36817599999995</v>
      </c>
      <c r="AJ20" s="197">
        <f t="shared" si="2"/>
        <v>372.05582400000014</v>
      </c>
      <c r="AK20" s="197">
        <f t="shared" si="3"/>
        <v>548.00582400000008</v>
      </c>
      <c r="AL20" s="196">
        <f t="shared" si="22"/>
        <v>611.1668240285793</v>
      </c>
      <c r="AM20" s="197">
        <f t="shared" si="23"/>
        <v>128.56494157009902</v>
      </c>
      <c r="AN20" s="197">
        <f t="shared" si="24"/>
        <v>339.30927771783723</v>
      </c>
      <c r="AO20" s="197">
        <f t="shared" si="25"/>
        <v>271.85754631074212</v>
      </c>
      <c r="AP20" s="199">
        <f t="shared" si="26"/>
        <v>400.42248788084112</v>
      </c>
      <c r="AQ20" s="196">
        <f t="shared" si="64"/>
        <v>5501.1198726582925</v>
      </c>
      <c r="AR20" s="197">
        <f t="shared" si="27"/>
        <v>1360.5764607475226</v>
      </c>
      <c r="AS20" s="197">
        <f t="shared" si="27"/>
        <v>12416.679239267083</v>
      </c>
      <c r="AT20" s="197">
        <f t="shared" si="27"/>
        <v>-6915.5593666087889</v>
      </c>
      <c r="AU20" s="199">
        <f t="shared" si="27"/>
        <v>-5554.9829058612659</v>
      </c>
      <c r="AV20" s="197"/>
      <c r="AX20" s="204">
        <f t="shared" si="65"/>
        <v>9</v>
      </c>
      <c r="AY20" s="225">
        <f>'Energy NPV'!$D73</f>
        <v>11.617000000000001</v>
      </c>
      <c r="AZ20" s="197">
        <f>'Energy margins'!$S$12</f>
        <v>72</v>
      </c>
      <c r="BA20" s="197">
        <f t="shared" si="28"/>
        <v>836.42400000000009</v>
      </c>
      <c r="BB20" s="197">
        <f>'Margins summary'!$U$14</f>
        <v>175.95</v>
      </c>
      <c r="BC20" s="197">
        <f t="shared" si="29"/>
        <v>1012.374</v>
      </c>
      <c r="BD20" s="197"/>
      <c r="BE20" s="918">
        <f>'Energy NPV'!U73</f>
        <v>309.57878399999998</v>
      </c>
      <c r="BF20" s="197"/>
      <c r="BG20" s="197">
        <f t="shared" si="30"/>
        <v>154.78939199999999</v>
      </c>
      <c r="BH20" s="197">
        <f t="shared" si="4"/>
        <v>681.63460800000007</v>
      </c>
      <c r="BI20" s="197">
        <f t="shared" si="5"/>
        <v>857.584608</v>
      </c>
      <c r="BJ20" s="196">
        <f t="shared" si="31"/>
        <v>611.1668240285793</v>
      </c>
      <c r="BK20" s="197">
        <f t="shared" si="32"/>
        <v>128.56494157009902</v>
      </c>
      <c r="BL20" s="197">
        <f t="shared" si="33"/>
        <v>113.10309257261243</v>
      </c>
      <c r="BM20" s="197">
        <f t="shared" si="34"/>
        <v>498.06373145596689</v>
      </c>
      <c r="BN20" s="199">
        <f t="shared" si="35"/>
        <v>626.62867302606594</v>
      </c>
      <c r="BO20" s="196">
        <f t="shared" si="66"/>
        <v>5501.1198726582925</v>
      </c>
      <c r="BP20" s="197">
        <f t="shared" si="36"/>
        <v>1360.5764607475226</v>
      </c>
      <c r="BQ20" s="197">
        <f t="shared" si="36"/>
        <v>4138.8930797556932</v>
      </c>
      <c r="BR20" s="197">
        <f t="shared" si="36"/>
        <v>1362.2267929025991</v>
      </c>
      <c r="BS20" s="199">
        <f t="shared" si="36"/>
        <v>2722.8032536501205</v>
      </c>
      <c r="BT20" s="197"/>
      <c r="BV20" s="204">
        <f t="shared" si="67"/>
        <v>9</v>
      </c>
      <c r="BW20" s="225">
        <f>'Energy NPV'!$D73</f>
        <v>11.617000000000001</v>
      </c>
      <c r="BX20" s="197">
        <f>'Energy margins'!$S$12</f>
        <v>72</v>
      </c>
      <c r="BY20" s="197">
        <f t="shared" si="37"/>
        <v>836.42400000000009</v>
      </c>
      <c r="BZ20" s="197">
        <f>'Margins summary'!$U$14</f>
        <v>175.95</v>
      </c>
      <c r="CA20" s="197">
        <f t="shared" si="38"/>
        <v>1012.374</v>
      </c>
      <c r="CB20" s="197"/>
      <c r="CC20" s="918">
        <f>'Energy NPV'!U73</f>
        <v>309.57878399999998</v>
      </c>
      <c r="CD20" s="197"/>
      <c r="CE20" s="197">
        <f t="shared" si="39"/>
        <v>619.15756799999997</v>
      </c>
      <c r="CF20" s="197">
        <f t="shared" si="6"/>
        <v>217.26643200000012</v>
      </c>
      <c r="CG20" s="197">
        <f t="shared" si="7"/>
        <v>393.21643200000005</v>
      </c>
      <c r="CH20" s="196">
        <f t="shared" si="40"/>
        <v>611.1668240285793</v>
      </c>
      <c r="CI20" s="197">
        <f t="shared" si="41"/>
        <v>128.56494157009902</v>
      </c>
      <c r="CJ20" s="197">
        <f t="shared" si="42"/>
        <v>452.4123702904497</v>
      </c>
      <c r="CK20" s="197">
        <f t="shared" si="43"/>
        <v>158.75445373812965</v>
      </c>
      <c r="CL20" s="199">
        <f t="shared" si="44"/>
        <v>287.31939530822865</v>
      </c>
      <c r="CM20" s="196">
        <f t="shared" si="68"/>
        <v>5501.1198726582925</v>
      </c>
      <c r="CN20" s="197">
        <f t="shared" si="45"/>
        <v>1360.5764607475226</v>
      </c>
      <c r="CO20" s="197">
        <f t="shared" si="46"/>
        <v>16555.572319022773</v>
      </c>
      <c r="CP20" s="197">
        <f t="shared" si="47"/>
        <v>-11054.452446364483</v>
      </c>
      <c r="CQ20" s="199">
        <f t="shared" si="48"/>
        <v>-9693.87598561696</v>
      </c>
      <c r="CR20" s="197"/>
      <c r="CT20" s="204">
        <f t="shared" si="69"/>
        <v>9</v>
      </c>
      <c r="CU20" s="225">
        <f>'Energy NPV'!$D73</f>
        <v>11.617000000000001</v>
      </c>
      <c r="CV20" s="197">
        <f>'Energy margins'!$S$12</f>
        <v>72</v>
      </c>
      <c r="CW20" s="197">
        <f t="shared" si="49"/>
        <v>836.42400000000009</v>
      </c>
      <c r="CX20" s="197">
        <f>'Margins summary'!$U$14</f>
        <v>175.95</v>
      </c>
      <c r="CY20" s="197">
        <f t="shared" si="50"/>
        <v>1012.374</v>
      </c>
      <c r="CZ20" s="197"/>
      <c r="DA20" s="918">
        <f>'Energy NPV'!U73</f>
        <v>309.57878399999998</v>
      </c>
      <c r="DB20" s="197"/>
      <c r="DC20" s="197">
        <f t="shared" si="51"/>
        <v>0</v>
      </c>
      <c r="DD20" s="197">
        <f t="shared" si="8"/>
        <v>836.42400000000009</v>
      </c>
      <c r="DE20" s="197">
        <f t="shared" si="9"/>
        <v>1012.374</v>
      </c>
      <c r="DF20" s="196">
        <f t="shared" si="52"/>
        <v>611.1668240285793</v>
      </c>
      <c r="DG20" s="197">
        <f t="shared" si="53"/>
        <v>128.56494157009902</v>
      </c>
      <c r="DH20" s="197">
        <f t="shared" si="54"/>
        <v>0</v>
      </c>
      <c r="DI20" s="197">
        <f t="shared" si="55"/>
        <v>611.1668240285793</v>
      </c>
      <c r="DJ20" s="199">
        <f t="shared" si="56"/>
        <v>739.73176559867829</v>
      </c>
      <c r="DK20" s="196">
        <f t="shared" si="70"/>
        <v>5501.1198726582925</v>
      </c>
      <c r="DL20" s="197">
        <f t="shared" si="57"/>
        <v>1360.5764607475226</v>
      </c>
      <c r="DM20" s="197">
        <f t="shared" si="58"/>
        <v>0</v>
      </c>
      <c r="DN20" s="197">
        <f t="shared" si="59"/>
        <v>5501.1198726582925</v>
      </c>
      <c r="DO20" s="199">
        <f t="shared" si="60"/>
        <v>6861.6963334058146</v>
      </c>
    </row>
    <row r="21" spans="2:119" x14ac:dyDescent="0.3">
      <c r="B21" s="204">
        <f t="shared" si="61"/>
        <v>10</v>
      </c>
      <c r="C21" s="197">
        <f>'Energy NPV'!$D74</f>
        <v>11.617000000000001</v>
      </c>
      <c r="D21" s="197">
        <f>'Energy margins'!$S$12</f>
        <v>72</v>
      </c>
      <c r="E21" s="197">
        <f t="shared" si="10"/>
        <v>836.42400000000009</v>
      </c>
      <c r="F21" s="197">
        <f>'Margins summary'!$U$14</f>
        <v>175.95</v>
      </c>
      <c r="G21" s="197">
        <f t="shared" si="11"/>
        <v>1012.374</v>
      </c>
      <c r="H21" s="197"/>
      <c r="I21" s="918">
        <f>'Energy NPV'!U74</f>
        <v>309.57878399999998</v>
      </c>
      <c r="J21" s="197"/>
      <c r="K21" s="197">
        <f t="shared" si="12"/>
        <v>309.57878399999998</v>
      </c>
      <c r="L21" s="197">
        <f t="shared" si="0"/>
        <v>526.84521600000016</v>
      </c>
      <c r="M21" s="197">
        <f t="shared" si="1"/>
        <v>702.79521599999998</v>
      </c>
      <c r="N21" s="196">
        <f t="shared" si="13"/>
        <v>587.66040771978783</v>
      </c>
      <c r="O21" s="197">
        <f t="shared" si="14"/>
        <v>123.62013612509521</v>
      </c>
      <c r="P21" s="197">
        <f t="shared" si="15"/>
        <v>217.50594725502387</v>
      </c>
      <c r="Q21" s="197">
        <f t="shared" si="16"/>
        <v>370.15446046476393</v>
      </c>
      <c r="R21" s="199">
        <f t="shared" si="17"/>
        <v>493.77459658985907</v>
      </c>
      <c r="S21" s="196">
        <f t="shared" si="62"/>
        <v>6088.7802803780805</v>
      </c>
      <c r="T21" s="197">
        <f t="shared" si="18"/>
        <v>1484.1965968726179</v>
      </c>
      <c r="U21" s="197">
        <f t="shared" si="18"/>
        <v>8495.2921067664101</v>
      </c>
      <c r="V21" s="197">
        <f t="shared" si="18"/>
        <v>-2406.5118263883323</v>
      </c>
      <c r="W21" s="199">
        <f t="shared" si="18"/>
        <v>-922.31522951571355</v>
      </c>
      <c r="X21" s="197"/>
      <c r="Z21" s="204">
        <f t="shared" si="63"/>
        <v>10</v>
      </c>
      <c r="AA21" s="225">
        <f>'Energy NPV'!$D74</f>
        <v>11.617000000000001</v>
      </c>
      <c r="AB21" s="197">
        <f>'Energy margins'!$S$12</f>
        <v>72</v>
      </c>
      <c r="AC21" s="197">
        <f t="shared" si="19"/>
        <v>836.42400000000009</v>
      </c>
      <c r="AD21" s="197">
        <f>'Margins summary'!$U$14</f>
        <v>175.95</v>
      </c>
      <c r="AE21" s="197">
        <f t="shared" si="20"/>
        <v>1012.374</v>
      </c>
      <c r="AF21" s="197"/>
      <c r="AG21" s="918">
        <f>'Energy NPV'!U74</f>
        <v>309.57878399999998</v>
      </c>
      <c r="AH21" s="197"/>
      <c r="AI21" s="197">
        <f t="shared" si="21"/>
        <v>464.36817599999995</v>
      </c>
      <c r="AJ21" s="197">
        <f t="shared" si="2"/>
        <v>372.05582400000014</v>
      </c>
      <c r="AK21" s="197">
        <f t="shared" si="3"/>
        <v>548.00582400000008</v>
      </c>
      <c r="AL21" s="196">
        <f t="shared" si="22"/>
        <v>587.66040771978783</v>
      </c>
      <c r="AM21" s="197">
        <f t="shared" si="23"/>
        <v>123.62013612509521</v>
      </c>
      <c r="AN21" s="197">
        <f t="shared" si="24"/>
        <v>326.25892088253579</v>
      </c>
      <c r="AO21" s="197">
        <f t="shared" si="25"/>
        <v>261.40148683725198</v>
      </c>
      <c r="AP21" s="199">
        <f t="shared" si="26"/>
        <v>385.02162296234718</v>
      </c>
      <c r="AQ21" s="196">
        <f t="shared" si="64"/>
        <v>6088.7802803780805</v>
      </c>
      <c r="AR21" s="197">
        <f t="shared" si="27"/>
        <v>1484.1965968726179</v>
      </c>
      <c r="AS21" s="197">
        <f t="shared" si="27"/>
        <v>12742.938160149619</v>
      </c>
      <c r="AT21" s="197">
        <f t="shared" si="27"/>
        <v>-6654.1578797715365</v>
      </c>
      <c r="AU21" s="199">
        <f t="shared" si="27"/>
        <v>-5169.9612828989184</v>
      </c>
      <c r="AV21" s="197"/>
      <c r="AX21" s="204">
        <f t="shared" si="65"/>
        <v>10</v>
      </c>
      <c r="AY21" s="225">
        <f>'Energy NPV'!$D74</f>
        <v>11.617000000000001</v>
      </c>
      <c r="AZ21" s="197">
        <f>'Energy margins'!$S$12</f>
        <v>72</v>
      </c>
      <c r="BA21" s="197">
        <f t="shared" si="28"/>
        <v>836.42400000000009</v>
      </c>
      <c r="BB21" s="197">
        <f>'Margins summary'!$U$14</f>
        <v>175.95</v>
      </c>
      <c r="BC21" s="197">
        <f t="shared" si="29"/>
        <v>1012.374</v>
      </c>
      <c r="BD21" s="197"/>
      <c r="BE21" s="918">
        <f>'Energy NPV'!U74</f>
        <v>309.57878399999998</v>
      </c>
      <c r="BF21" s="197"/>
      <c r="BG21" s="197">
        <f t="shared" si="30"/>
        <v>154.78939199999999</v>
      </c>
      <c r="BH21" s="197">
        <f t="shared" si="4"/>
        <v>681.63460800000007</v>
      </c>
      <c r="BI21" s="197">
        <f t="shared" si="5"/>
        <v>857.584608</v>
      </c>
      <c r="BJ21" s="196">
        <f t="shared" si="31"/>
        <v>587.66040771978783</v>
      </c>
      <c r="BK21" s="197">
        <f t="shared" si="32"/>
        <v>123.62013612509521</v>
      </c>
      <c r="BL21" s="197">
        <f t="shared" si="33"/>
        <v>108.75297362751193</v>
      </c>
      <c r="BM21" s="197">
        <f t="shared" si="34"/>
        <v>478.90743409227582</v>
      </c>
      <c r="BN21" s="199">
        <f t="shared" si="35"/>
        <v>602.52757021737102</v>
      </c>
      <c r="BO21" s="196">
        <f t="shared" si="66"/>
        <v>6088.7802803780805</v>
      </c>
      <c r="BP21" s="197">
        <f t="shared" si="36"/>
        <v>1484.1965968726179</v>
      </c>
      <c r="BQ21" s="197">
        <f t="shared" si="36"/>
        <v>4247.6460533832051</v>
      </c>
      <c r="BR21" s="197">
        <f t="shared" si="36"/>
        <v>1841.134226994875</v>
      </c>
      <c r="BS21" s="199">
        <f t="shared" si="36"/>
        <v>3325.3308238674917</v>
      </c>
      <c r="BT21" s="197"/>
      <c r="BV21" s="204">
        <f t="shared" si="67"/>
        <v>10</v>
      </c>
      <c r="BW21" s="225">
        <f>'Energy NPV'!$D74</f>
        <v>11.617000000000001</v>
      </c>
      <c r="BX21" s="197">
        <f>'Energy margins'!$S$12</f>
        <v>72</v>
      </c>
      <c r="BY21" s="197">
        <f t="shared" si="37"/>
        <v>836.42400000000009</v>
      </c>
      <c r="BZ21" s="197">
        <f>'Margins summary'!$U$14</f>
        <v>175.95</v>
      </c>
      <c r="CA21" s="197">
        <f t="shared" si="38"/>
        <v>1012.374</v>
      </c>
      <c r="CB21" s="197"/>
      <c r="CC21" s="918">
        <f>'Energy NPV'!U74</f>
        <v>309.57878399999998</v>
      </c>
      <c r="CD21" s="197"/>
      <c r="CE21" s="197">
        <f t="shared" si="39"/>
        <v>619.15756799999997</v>
      </c>
      <c r="CF21" s="197">
        <f t="shared" si="6"/>
        <v>217.26643200000012</v>
      </c>
      <c r="CG21" s="197">
        <f t="shared" si="7"/>
        <v>393.21643200000005</v>
      </c>
      <c r="CH21" s="196">
        <f t="shared" si="40"/>
        <v>587.66040771978783</v>
      </c>
      <c r="CI21" s="197">
        <f t="shared" si="41"/>
        <v>123.62013612509521</v>
      </c>
      <c r="CJ21" s="197">
        <f t="shared" si="42"/>
        <v>435.01189451004774</v>
      </c>
      <c r="CK21" s="197">
        <f t="shared" si="43"/>
        <v>152.64851320974003</v>
      </c>
      <c r="CL21" s="199">
        <f t="shared" si="44"/>
        <v>276.26864933483523</v>
      </c>
      <c r="CM21" s="196">
        <f t="shared" si="68"/>
        <v>6088.7802803780805</v>
      </c>
      <c r="CN21" s="197">
        <f t="shared" si="45"/>
        <v>1484.1965968726179</v>
      </c>
      <c r="CO21" s="197">
        <f t="shared" si="46"/>
        <v>16990.58421353282</v>
      </c>
      <c r="CP21" s="197">
        <f t="shared" si="47"/>
        <v>-10901.803933154742</v>
      </c>
      <c r="CQ21" s="199">
        <f t="shared" si="48"/>
        <v>-9417.6073362821244</v>
      </c>
      <c r="CR21" s="197"/>
      <c r="CT21" s="204">
        <f t="shared" si="69"/>
        <v>10</v>
      </c>
      <c r="CU21" s="225">
        <f>'Energy NPV'!$D74</f>
        <v>11.617000000000001</v>
      </c>
      <c r="CV21" s="197">
        <f>'Energy margins'!$S$12</f>
        <v>72</v>
      </c>
      <c r="CW21" s="197">
        <f t="shared" si="49"/>
        <v>836.42400000000009</v>
      </c>
      <c r="CX21" s="197">
        <f>'Margins summary'!$U$14</f>
        <v>175.95</v>
      </c>
      <c r="CY21" s="197">
        <f t="shared" si="50"/>
        <v>1012.374</v>
      </c>
      <c r="CZ21" s="197"/>
      <c r="DA21" s="918">
        <f>'Energy NPV'!U74</f>
        <v>309.57878399999998</v>
      </c>
      <c r="DB21" s="197"/>
      <c r="DC21" s="197">
        <f t="shared" si="51"/>
        <v>0</v>
      </c>
      <c r="DD21" s="197">
        <f t="shared" si="8"/>
        <v>836.42400000000009</v>
      </c>
      <c r="DE21" s="197">
        <f t="shared" si="9"/>
        <v>1012.374</v>
      </c>
      <c r="DF21" s="196">
        <f t="shared" si="52"/>
        <v>587.66040771978783</v>
      </c>
      <c r="DG21" s="197">
        <f t="shared" si="53"/>
        <v>123.62013612509521</v>
      </c>
      <c r="DH21" s="197">
        <f t="shared" si="54"/>
        <v>0</v>
      </c>
      <c r="DI21" s="197">
        <f t="shared" si="55"/>
        <v>587.66040771978783</v>
      </c>
      <c r="DJ21" s="199">
        <f t="shared" si="56"/>
        <v>711.28054384488291</v>
      </c>
      <c r="DK21" s="196">
        <f t="shared" si="70"/>
        <v>6088.7802803780805</v>
      </c>
      <c r="DL21" s="197">
        <f t="shared" si="57"/>
        <v>1484.1965968726179</v>
      </c>
      <c r="DM21" s="197">
        <f t="shared" si="58"/>
        <v>0</v>
      </c>
      <c r="DN21" s="197">
        <f t="shared" si="59"/>
        <v>6088.7802803780805</v>
      </c>
      <c r="DO21" s="199">
        <f t="shared" si="60"/>
        <v>7572.9768772506977</v>
      </c>
    </row>
    <row r="22" spans="2:119" x14ac:dyDescent="0.3">
      <c r="B22" s="204">
        <f t="shared" si="61"/>
        <v>11</v>
      </c>
      <c r="C22" s="197">
        <f>'Energy NPV'!$D75</f>
        <v>11.617000000000001</v>
      </c>
      <c r="D22" s="197">
        <f>'Energy margins'!$S$12</f>
        <v>72</v>
      </c>
      <c r="E22" s="197">
        <f t="shared" si="10"/>
        <v>836.42400000000009</v>
      </c>
      <c r="F22" s="197">
        <f>'Margins summary'!$U$14</f>
        <v>175.95</v>
      </c>
      <c r="G22" s="197">
        <f t="shared" si="11"/>
        <v>1012.374</v>
      </c>
      <c r="H22" s="197"/>
      <c r="I22" s="918">
        <f>'Energy NPV'!U75</f>
        <v>309.57878399999998</v>
      </c>
      <c r="J22" s="197"/>
      <c r="K22" s="197">
        <f t="shared" si="12"/>
        <v>309.57878399999998</v>
      </c>
      <c r="L22" s="197">
        <f t="shared" si="0"/>
        <v>526.84521600000016</v>
      </c>
      <c r="M22" s="197">
        <f t="shared" si="1"/>
        <v>702.79521599999998</v>
      </c>
      <c r="N22" s="196">
        <f t="shared" si="13"/>
        <v>565.05808434594974</v>
      </c>
      <c r="O22" s="197">
        <f t="shared" si="14"/>
        <v>118.86551550489925</v>
      </c>
      <c r="P22" s="197">
        <f t="shared" si="15"/>
        <v>209.1403338990614</v>
      </c>
      <c r="Q22" s="197">
        <f t="shared" si="16"/>
        <v>355.91775044688842</v>
      </c>
      <c r="R22" s="199">
        <f t="shared" si="17"/>
        <v>474.78326595178754</v>
      </c>
      <c r="S22" s="196">
        <f t="shared" si="62"/>
        <v>6653.8383647240298</v>
      </c>
      <c r="T22" s="197">
        <f t="shared" si="18"/>
        <v>1603.0621123775172</v>
      </c>
      <c r="U22" s="197">
        <f t="shared" si="18"/>
        <v>8704.4324406654723</v>
      </c>
      <c r="V22" s="197">
        <f t="shared" si="18"/>
        <v>-2050.5940759414439</v>
      </c>
      <c r="W22" s="199">
        <f t="shared" si="18"/>
        <v>-447.53196356392601</v>
      </c>
      <c r="X22" s="197"/>
      <c r="Z22" s="204">
        <f t="shared" si="63"/>
        <v>11</v>
      </c>
      <c r="AA22" s="225">
        <f>'Energy NPV'!$D75</f>
        <v>11.617000000000001</v>
      </c>
      <c r="AB22" s="197">
        <f>'Energy margins'!$S$12</f>
        <v>72</v>
      </c>
      <c r="AC22" s="197">
        <f t="shared" si="19"/>
        <v>836.42400000000009</v>
      </c>
      <c r="AD22" s="197">
        <f>'Margins summary'!$U$14</f>
        <v>175.95</v>
      </c>
      <c r="AE22" s="197">
        <f t="shared" si="20"/>
        <v>1012.374</v>
      </c>
      <c r="AF22" s="197"/>
      <c r="AG22" s="918">
        <f>'Energy NPV'!U75</f>
        <v>309.57878399999998</v>
      </c>
      <c r="AH22" s="197"/>
      <c r="AI22" s="197">
        <f t="shared" si="21"/>
        <v>464.36817599999995</v>
      </c>
      <c r="AJ22" s="197">
        <f t="shared" si="2"/>
        <v>372.05582400000014</v>
      </c>
      <c r="AK22" s="197">
        <f t="shared" si="3"/>
        <v>548.00582400000008</v>
      </c>
      <c r="AL22" s="196">
        <f t="shared" si="22"/>
        <v>565.05808434594974</v>
      </c>
      <c r="AM22" s="197">
        <f t="shared" si="23"/>
        <v>118.86551550489925</v>
      </c>
      <c r="AN22" s="197">
        <f t="shared" si="24"/>
        <v>313.71050084859212</v>
      </c>
      <c r="AO22" s="197">
        <f t="shared" si="25"/>
        <v>251.3475834973577</v>
      </c>
      <c r="AP22" s="199">
        <f t="shared" si="26"/>
        <v>370.21309900225691</v>
      </c>
      <c r="AQ22" s="196">
        <f t="shared" si="64"/>
        <v>6653.8383647240298</v>
      </c>
      <c r="AR22" s="197">
        <f t="shared" si="27"/>
        <v>1603.0621123775172</v>
      </c>
      <c r="AS22" s="197">
        <f t="shared" si="27"/>
        <v>13056.648660998211</v>
      </c>
      <c r="AT22" s="197">
        <f t="shared" si="27"/>
        <v>-6402.8102962741787</v>
      </c>
      <c r="AU22" s="199">
        <f t="shared" si="27"/>
        <v>-4799.7481838966614</v>
      </c>
      <c r="AV22" s="197"/>
      <c r="AX22" s="204">
        <f t="shared" si="65"/>
        <v>11</v>
      </c>
      <c r="AY22" s="225">
        <f>'Energy NPV'!$D75</f>
        <v>11.617000000000001</v>
      </c>
      <c r="AZ22" s="197">
        <f>'Energy margins'!$S$12</f>
        <v>72</v>
      </c>
      <c r="BA22" s="197">
        <f t="shared" si="28"/>
        <v>836.42400000000009</v>
      </c>
      <c r="BB22" s="197">
        <f>'Margins summary'!$U$14</f>
        <v>175.95</v>
      </c>
      <c r="BC22" s="197">
        <f t="shared" si="29"/>
        <v>1012.374</v>
      </c>
      <c r="BD22" s="197"/>
      <c r="BE22" s="918">
        <f>'Energy NPV'!U75</f>
        <v>309.57878399999998</v>
      </c>
      <c r="BF22" s="197"/>
      <c r="BG22" s="197">
        <f t="shared" si="30"/>
        <v>154.78939199999999</v>
      </c>
      <c r="BH22" s="197">
        <f t="shared" si="4"/>
        <v>681.63460800000007</v>
      </c>
      <c r="BI22" s="197">
        <f t="shared" si="5"/>
        <v>857.584608</v>
      </c>
      <c r="BJ22" s="196">
        <f t="shared" si="31"/>
        <v>565.05808434594974</v>
      </c>
      <c r="BK22" s="197">
        <f t="shared" si="32"/>
        <v>118.86551550489925</v>
      </c>
      <c r="BL22" s="197">
        <f t="shared" si="33"/>
        <v>104.5701669495307</v>
      </c>
      <c r="BM22" s="197">
        <f t="shared" si="34"/>
        <v>460.48791739641905</v>
      </c>
      <c r="BN22" s="199">
        <f t="shared" si="35"/>
        <v>579.35343290131823</v>
      </c>
      <c r="BO22" s="196">
        <f t="shared" si="66"/>
        <v>6653.8383647240298</v>
      </c>
      <c r="BP22" s="197">
        <f t="shared" si="36"/>
        <v>1603.0621123775172</v>
      </c>
      <c r="BQ22" s="197">
        <f t="shared" si="36"/>
        <v>4352.2162203327362</v>
      </c>
      <c r="BR22" s="197">
        <f t="shared" si="36"/>
        <v>2301.6221443912941</v>
      </c>
      <c r="BS22" s="199">
        <f t="shared" si="36"/>
        <v>3904.68425676881</v>
      </c>
      <c r="BT22" s="197"/>
      <c r="BV22" s="204">
        <f t="shared" si="67"/>
        <v>11</v>
      </c>
      <c r="BW22" s="225">
        <f>'Energy NPV'!$D75</f>
        <v>11.617000000000001</v>
      </c>
      <c r="BX22" s="197">
        <f>'Energy margins'!$S$12</f>
        <v>72</v>
      </c>
      <c r="BY22" s="197">
        <f t="shared" si="37"/>
        <v>836.42400000000009</v>
      </c>
      <c r="BZ22" s="197">
        <f>'Margins summary'!$U$14</f>
        <v>175.95</v>
      </c>
      <c r="CA22" s="197">
        <f t="shared" si="38"/>
        <v>1012.374</v>
      </c>
      <c r="CB22" s="197"/>
      <c r="CC22" s="918">
        <f>'Energy NPV'!U75</f>
        <v>309.57878399999998</v>
      </c>
      <c r="CD22" s="197"/>
      <c r="CE22" s="197">
        <f t="shared" si="39"/>
        <v>619.15756799999997</v>
      </c>
      <c r="CF22" s="197">
        <f t="shared" si="6"/>
        <v>217.26643200000012</v>
      </c>
      <c r="CG22" s="197">
        <f t="shared" si="7"/>
        <v>393.21643200000005</v>
      </c>
      <c r="CH22" s="196">
        <f t="shared" si="40"/>
        <v>565.05808434594974</v>
      </c>
      <c r="CI22" s="197">
        <f t="shared" si="41"/>
        <v>118.86551550489925</v>
      </c>
      <c r="CJ22" s="197">
        <f t="shared" si="42"/>
        <v>418.28066779812281</v>
      </c>
      <c r="CK22" s="197">
        <f t="shared" si="43"/>
        <v>146.77741654782696</v>
      </c>
      <c r="CL22" s="199">
        <f t="shared" si="44"/>
        <v>265.64293205272617</v>
      </c>
      <c r="CM22" s="196">
        <f t="shared" si="68"/>
        <v>6653.8383647240298</v>
      </c>
      <c r="CN22" s="197">
        <f t="shared" si="45"/>
        <v>1603.0621123775172</v>
      </c>
      <c r="CO22" s="197">
        <f t="shared" si="46"/>
        <v>17408.864881330945</v>
      </c>
      <c r="CP22" s="197">
        <f t="shared" si="47"/>
        <v>-10755.026516606915</v>
      </c>
      <c r="CQ22" s="199">
        <f t="shared" si="48"/>
        <v>-9151.9644042293985</v>
      </c>
      <c r="CR22" s="197"/>
      <c r="CT22" s="204">
        <f t="shared" si="69"/>
        <v>11</v>
      </c>
      <c r="CU22" s="225">
        <f>'Energy NPV'!$D75</f>
        <v>11.617000000000001</v>
      </c>
      <c r="CV22" s="197">
        <f>'Energy margins'!$S$12</f>
        <v>72</v>
      </c>
      <c r="CW22" s="197">
        <f t="shared" si="49"/>
        <v>836.42400000000009</v>
      </c>
      <c r="CX22" s="197">
        <f>'Margins summary'!$U$14</f>
        <v>175.95</v>
      </c>
      <c r="CY22" s="197">
        <f t="shared" si="50"/>
        <v>1012.374</v>
      </c>
      <c r="CZ22" s="197"/>
      <c r="DA22" s="918">
        <f>'Energy NPV'!U75</f>
        <v>309.57878399999998</v>
      </c>
      <c r="DB22" s="197"/>
      <c r="DC22" s="197">
        <f t="shared" si="51"/>
        <v>0</v>
      </c>
      <c r="DD22" s="197">
        <f t="shared" si="8"/>
        <v>836.42400000000009</v>
      </c>
      <c r="DE22" s="197">
        <f t="shared" si="9"/>
        <v>1012.374</v>
      </c>
      <c r="DF22" s="196">
        <f t="shared" si="52"/>
        <v>565.05808434594974</v>
      </c>
      <c r="DG22" s="197">
        <f t="shared" si="53"/>
        <v>118.86551550489925</v>
      </c>
      <c r="DH22" s="197">
        <f t="shared" si="54"/>
        <v>0</v>
      </c>
      <c r="DI22" s="197">
        <f t="shared" si="55"/>
        <v>565.05808434594974</v>
      </c>
      <c r="DJ22" s="199">
        <f t="shared" si="56"/>
        <v>683.92359985084897</v>
      </c>
      <c r="DK22" s="196">
        <f t="shared" si="70"/>
        <v>6653.8383647240298</v>
      </c>
      <c r="DL22" s="197">
        <f t="shared" si="57"/>
        <v>1603.0621123775172</v>
      </c>
      <c r="DM22" s="197">
        <f t="shared" si="58"/>
        <v>0</v>
      </c>
      <c r="DN22" s="197">
        <f t="shared" si="59"/>
        <v>6653.8383647240298</v>
      </c>
      <c r="DO22" s="199">
        <f t="shared" si="60"/>
        <v>8256.9004771015461</v>
      </c>
    </row>
    <row r="23" spans="2:119" x14ac:dyDescent="0.3">
      <c r="B23" s="204">
        <f t="shared" si="61"/>
        <v>12</v>
      </c>
      <c r="C23" s="197">
        <f>'Energy NPV'!$D76</f>
        <v>11.617000000000001</v>
      </c>
      <c r="D23" s="197">
        <f>'Energy margins'!$S$12</f>
        <v>72</v>
      </c>
      <c r="E23" s="197">
        <f t="shared" si="10"/>
        <v>836.42400000000009</v>
      </c>
      <c r="F23" s="197">
        <f>'Margins summary'!$U$14</f>
        <v>175.95</v>
      </c>
      <c r="G23" s="197">
        <f t="shared" si="11"/>
        <v>1012.374</v>
      </c>
      <c r="H23" s="197"/>
      <c r="I23" s="918">
        <f>'Energy NPV'!U76</f>
        <v>309.57878399999998</v>
      </c>
      <c r="J23" s="197"/>
      <c r="K23" s="197">
        <f t="shared" si="12"/>
        <v>309.57878399999998</v>
      </c>
      <c r="L23" s="197">
        <f t="shared" si="0"/>
        <v>526.84521600000016</v>
      </c>
      <c r="M23" s="197">
        <f t="shared" si="1"/>
        <v>702.79521599999998</v>
      </c>
      <c r="N23" s="196">
        <f t="shared" si="13"/>
        <v>543.32508110187484</v>
      </c>
      <c r="O23" s="197">
        <f t="shared" si="14"/>
        <v>114.29376490855698</v>
      </c>
      <c r="P23" s="197">
        <f t="shared" si="15"/>
        <v>201.09647490294367</v>
      </c>
      <c r="Q23" s="197">
        <f t="shared" si="16"/>
        <v>342.22860619893117</v>
      </c>
      <c r="R23" s="199">
        <f t="shared" si="17"/>
        <v>456.52237110748808</v>
      </c>
      <c r="S23" s="196">
        <f t="shared" si="62"/>
        <v>7197.163445825905</v>
      </c>
      <c r="T23" s="197">
        <f t="shared" si="18"/>
        <v>1717.3558772860742</v>
      </c>
      <c r="U23" s="197">
        <f t="shared" si="18"/>
        <v>8905.5289155684168</v>
      </c>
      <c r="V23" s="197">
        <f t="shared" si="18"/>
        <v>-1708.3654697425127</v>
      </c>
      <c r="W23" s="199">
        <f t="shared" si="18"/>
        <v>8.9904075435620712</v>
      </c>
      <c r="X23" s="197"/>
      <c r="Z23" s="204">
        <f t="shared" si="63"/>
        <v>12</v>
      </c>
      <c r="AA23" s="225">
        <f>'Energy NPV'!$D76</f>
        <v>11.617000000000001</v>
      </c>
      <c r="AB23" s="197">
        <f>'Energy margins'!$S$12</f>
        <v>72</v>
      </c>
      <c r="AC23" s="197">
        <f t="shared" si="19"/>
        <v>836.42400000000009</v>
      </c>
      <c r="AD23" s="197">
        <f>'Margins summary'!$U$14</f>
        <v>175.95</v>
      </c>
      <c r="AE23" s="197">
        <f t="shared" si="20"/>
        <v>1012.374</v>
      </c>
      <c r="AF23" s="197"/>
      <c r="AG23" s="918">
        <f>'Energy NPV'!U76</f>
        <v>309.57878399999998</v>
      </c>
      <c r="AH23" s="197"/>
      <c r="AI23" s="197">
        <f t="shared" si="21"/>
        <v>464.36817599999995</v>
      </c>
      <c r="AJ23" s="197">
        <f t="shared" si="2"/>
        <v>372.05582400000014</v>
      </c>
      <c r="AK23" s="197">
        <f t="shared" si="3"/>
        <v>548.00582400000008</v>
      </c>
      <c r="AL23" s="196">
        <f t="shared" si="22"/>
        <v>543.32508110187484</v>
      </c>
      <c r="AM23" s="197">
        <f t="shared" si="23"/>
        <v>114.29376490855698</v>
      </c>
      <c r="AN23" s="197">
        <f t="shared" si="24"/>
        <v>301.6447123544155</v>
      </c>
      <c r="AO23" s="197">
        <f t="shared" si="25"/>
        <v>241.68036874745934</v>
      </c>
      <c r="AP23" s="199">
        <f t="shared" si="26"/>
        <v>355.97413365601625</v>
      </c>
      <c r="AQ23" s="196">
        <f t="shared" si="64"/>
        <v>7197.163445825905</v>
      </c>
      <c r="AR23" s="197">
        <f t="shared" si="27"/>
        <v>1717.3558772860742</v>
      </c>
      <c r="AS23" s="197">
        <f t="shared" si="27"/>
        <v>13358.293373352626</v>
      </c>
      <c r="AT23" s="197">
        <f t="shared" si="27"/>
        <v>-6161.1299275267193</v>
      </c>
      <c r="AU23" s="199">
        <f t="shared" si="27"/>
        <v>-4443.774050240645</v>
      </c>
      <c r="AV23" s="197"/>
      <c r="AX23" s="204">
        <f t="shared" si="65"/>
        <v>12</v>
      </c>
      <c r="AY23" s="225">
        <f>'Energy NPV'!$D76</f>
        <v>11.617000000000001</v>
      </c>
      <c r="AZ23" s="197">
        <f>'Energy margins'!$S$12</f>
        <v>72</v>
      </c>
      <c r="BA23" s="197">
        <f t="shared" si="28"/>
        <v>836.42400000000009</v>
      </c>
      <c r="BB23" s="197">
        <f>'Margins summary'!$U$14</f>
        <v>175.95</v>
      </c>
      <c r="BC23" s="197">
        <f t="shared" si="29"/>
        <v>1012.374</v>
      </c>
      <c r="BD23" s="197"/>
      <c r="BE23" s="918">
        <f>'Energy NPV'!U76</f>
        <v>309.57878399999998</v>
      </c>
      <c r="BF23" s="197"/>
      <c r="BG23" s="197">
        <f t="shared" si="30"/>
        <v>154.78939199999999</v>
      </c>
      <c r="BH23" s="197">
        <f t="shared" si="4"/>
        <v>681.63460800000007</v>
      </c>
      <c r="BI23" s="197">
        <f t="shared" si="5"/>
        <v>857.584608</v>
      </c>
      <c r="BJ23" s="196">
        <f t="shared" si="31"/>
        <v>543.32508110187484</v>
      </c>
      <c r="BK23" s="197">
        <f t="shared" si="32"/>
        <v>114.29376490855698</v>
      </c>
      <c r="BL23" s="197">
        <f t="shared" si="33"/>
        <v>100.54823745147183</v>
      </c>
      <c r="BM23" s="197">
        <f t="shared" si="34"/>
        <v>442.77684365040301</v>
      </c>
      <c r="BN23" s="199">
        <f t="shared" si="35"/>
        <v>557.07060855895998</v>
      </c>
      <c r="BO23" s="196">
        <f t="shared" si="66"/>
        <v>7197.163445825905</v>
      </c>
      <c r="BP23" s="197">
        <f t="shared" si="36"/>
        <v>1717.3558772860742</v>
      </c>
      <c r="BQ23" s="197">
        <f t="shared" si="36"/>
        <v>4452.7644577842084</v>
      </c>
      <c r="BR23" s="197">
        <f t="shared" si="36"/>
        <v>2744.3989880416971</v>
      </c>
      <c r="BS23" s="199">
        <f t="shared" si="36"/>
        <v>4461.7548653277699</v>
      </c>
      <c r="BT23" s="197"/>
      <c r="BV23" s="204">
        <f t="shared" si="67"/>
        <v>12</v>
      </c>
      <c r="BW23" s="225">
        <f>'Energy NPV'!$D76</f>
        <v>11.617000000000001</v>
      </c>
      <c r="BX23" s="197">
        <f>'Energy margins'!$S$12</f>
        <v>72</v>
      </c>
      <c r="BY23" s="197">
        <f t="shared" si="37"/>
        <v>836.42400000000009</v>
      </c>
      <c r="BZ23" s="197">
        <f>'Margins summary'!$U$14</f>
        <v>175.95</v>
      </c>
      <c r="CA23" s="197">
        <f t="shared" si="38"/>
        <v>1012.374</v>
      </c>
      <c r="CB23" s="197"/>
      <c r="CC23" s="918">
        <f>'Energy NPV'!U76</f>
        <v>309.57878399999998</v>
      </c>
      <c r="CD23" s="197"/>
      <c r="CE23" s="197">
        <f t="shared" si="39"/>
        <v>619.15756799999997</v>
      </c>
      <c r="CF23" s="197">
        <f t="shared" si="6"/>
        <v>217.26643200000012</v>
      </c>
      <c r="CG23" s="197">
        <f t="shared" si="7"/>
        <v>393.21643200000005</v>
      </c>
      <c r="CH23" s="196">
        <f t="shared" si="40"/>
        <v>543.32508110187484</v>
      </c>
      <c r="CI23" s="197">
        <f t="shared" si="41"/>
        <v>114.29376490855698</v>
      </c>
      <c r="CJ23" s="197">
        <f t="shared" si="42"/>
        <v>402.19294980588734</v>
      </c>
      <c r="CK23" s="197">
        <f t="shared" si="43"/>
        <v>141.13213129598748</v>
      </c>
      <c r="CL23" s="199">
        <f t="shared" si="44"/>
        <v>255.42589620454442</v>
      </c>
      <c r="CM23" s="196">
        <f t="shared" si="68"/>
        <v>7197.163445825905</v>
      </c>
      <c r="CN23" s="197">
        <f t="shared" si="45"/>
        <v>1717.3558772860742</v>
      </c>
      <c r="CO23" s="197">
        <f t="shared" si="46"/>
        <v>17811.057831136834</v>
      </c>
      <c r="CP23" s="197">
        <f t="shared" si="47"/>
        <v>-10613.894385310927</v>
      </c>
      <c r="CQ23" s="199">
        <f t="shared" si="48"/>
        <v>-8896.5385080248543</v>
      </c>
      <c r="CR23" s="197"/>
      <c r="CT23" s="204">
        <f t="shared" si="69"/>
        <v>12</v>
      </c>
      <c r="CU23" s="225">
        <f>'Energy NPV'!$D76</f>
        <v>11.617000000000001</v>
      </c>
      <c r="CV23" s="197">
        <f>'Energy margins'!$S$12</f>
        <v>72</v>
      </c>
      <c r="CW23" s="197">
        <f t="shared" si="49"/>
        <v>836.42400000000009</v>
      </c>
      <c r="CX23" s="197">
        <f>'Margins summary'!$U$14</f>
        <v>175.95</v>
      </c>
      <c r="CY23" s="197">
        <f t="shared" si="50"/>
        <v>1012.374</v>
      </c>
      <c r="CZ23" s="197"/>
      <c r="DA23" s="918">
        <f>'Energy NPV'!U76</f>
        <v>309.57878399999998</v>
      </c>
      <c r="DB23" s="197"/>
      <c r="DC23" s="197">
        <f t="shared" si="51"/>
        <v>0</v>
      </c>
      <c r="DD23" s="197">
        <f t="shared" si="8"/>
        <v>836.42400000000009</v>
      </c>
      <c r="DE23" s="197">
        <f t="shared" si="9"/>
        <v>1012.374</v>
      </c>
      <c r="DF23" s="196">
        <f t="shared" si="52"/>
        <v>543.32508110187484</v>
      </c>
      <c r="DG23" s="197">
        <f t="shared" si="53"/>
        <v>114.29376490855698</v>
      </c>
      <c r="DH23" s="197">
        <f t="shared" si="54"/>
        <v>0</v>
      </c>
      <c r="DI23" s="197">
        <f t="shared" si="55"/>
        <v>543.32508110187484</v>
      </c>
      <c r="DJ23" s="199">
        <f t="shared" si="56"/>
        <v>657.61884601043175</v>
      </c>
      <c r="DK23" s="196">
        <f t="shared" si="70"/>
        <v>7197.163445825905</v>
      </c>
      <c r="DL23" s="197">
        <f t="shared" si="57"/>
        <v>1717.3558772860742</v>
      </c>
      <c r="DM23" s="197">
        <f t="shared" si="58"/>
        <v>0</v>
      </c>
      <c r="DN23" s="197">
        <f t="shared" si="59"/>
        <v>7197.163445825905</v>
      </c>
      <c r="DO23" s="199">
        <f t="shared" si="60"/>
        <v>8914.5193231119774</v>
      </c>
    </row>
    <row r="24" spans="2:119" x14ac:dyDescent="0.3">
      <c r="B24" s="204">
        <f t="shared" si="61"/>
        <v>13</v>
      </c>
      <c r="C24" s="197">
        <f>'Energy NPV'!$D77</f>
        <v>11.617000000000001</v>
      </c>
      <c r="D24" s="197">
        <f>'Energy margins'!$S$12</f>
        <v>72</v>
      </c>
      <c r="E24" s="197">
        <f t="shared" si="10"/>
        <v>836.42400000000009</v>
      </c>
      <c r="F24" s="197">
        <f>'Margins summary'!$U$14</f>
        <v>175.95</v>
      </c>
      <c r="G24" s="197">
        <f t="shared" si="11"/>
        <v>1012.374</v>
      </c>
      <c r="H24" s="197"/>
      <c r="I24" s="918">
        <f>'Energy NPV'!U77</f>
        <v>309.57878399999998</v>
      </c>
      <c r="J24" s="197"/>
      <c r="K24" s="197">
        <f t="shared" si="12"/>
        <v>309.57878399999998</v>
      </c>
      <c r="L24" s="197">
        <f t="shared" si="0"/>
        <v>526.84521600000016</v>
      </c>
      <c r="M24" s="197">
        <f t="shared" si="1"/>
        <v>702.79521599999998</v>
      </c>
      <c r="N24" s="196">
        <f t="shared" si="13"/>
        <v>522.42796259795648</v>
      </c>
      <c r="O24" s="197">
        <f t="shared" si="14"/>
        <v>109.89785087361246</v>
      </c>
      <c r="P24" s="197">
        <f t="shared" si="15"/>
        <v>193.36199509898427</v>
      </c>
      <c r="Q24" s="197">
        <f t="shared" si="16"/>
        <v>329.06596749897221</v>
      </c>
      <c r="R24" s="199">
        <f t="shared" si="17"/>
        <v>438.96381837258457</v>
      </c>
      <c r="S24" s="196">
        <f t="shared" si="62"/>
        <v>7719.5914084238611</v>
      </c>
      <c r="T24" s="197">
        <f t="shared" si="18"/>
        <v>1827.2537281596867</v>
      </c>
      <c r="U24" s="197">
        <f t="shared" si="18"/>
        <v>9098.8909106674018</v>
      </c>
      <c r="V24" s="197">
        <f t="shared" si="18"/>
        <v>-1379.2995022435405</v>
      </c>
      <c r="W24" s="199">
        <f t="shared" si="18"/>
        <v>447.95422591614664</v>
      </c>
      <c r="X24" s="197"/>
      <c r="Z24" s="204">
        <f t="shared" si="63"/>
        <v>13</v>
      </c>
      <c r="AA24" s="225">
        <f>'Energy NPV'!$D77</f>
        <v>11.617000000000001</v>
      </c>
      <c r="AB24" s="197">
        <f>'Energy margins'!$S$12</f>
        <v>72</v>
      </c>
      <c r="AC24" s="197">
        <f t="shared" si="19"/>
        <v>836.42400000000009</v>
      </c>
      <c r="AD24" s="197">
        <f>'Margins summary'!$U$14</f>
        <v>175.95</v>
      </c>
      <c r="AE24" s="197">
        <f t="shared" si="20"/>
        <v>1012.374</v>
      </c>
      <c r="AF24" s="197"/>
      <c r="AG24" s="918">
        <f>'Energy NPV'!U77</f>
        <v>309.57878399999998</v>
      </c>
      <c r="AH24" s="197"/>
      <c r="AI24" s="197">
        <f t="shared" si="21"/>
        <v>464.36817599999995</v>
      </c>
      <c r="AJ24" s="197">
        <f t="shared" si="2"/>
        <v>372.05582400000014</v>
      </c>
      <c r="AK24" s="197">
        <f t="shared" si="3"/>
        <v>548.00582400000008</v>
      </c>
      <c r="AL24" s="196">
        <f t="shared" si="22"/>
        <v>522.42796259795648</v>
      </c>
      <c r="AM24" s="197">
        <f t="shared" si="23"/>
        <v>109.89785087361246</v>
      </c>
      <c r="AN24" s="197">
        <f t="shared" si="24"/>
        <v>290.0429926484764</v>
      </c>
      <c r="AO24" s="197">
        <f t="shared" si="25"/>
        <v>232.38496994948008</v>
      </c>
      <c r="AP24" s="199">
        <f t="shared" si="26"/>
        <v>342.28282082309249</v>
      </c>
      <c r="AQ24" s="196">
        <f t="shared" si="64"/>
        <v>7719.5914084238611</v>
      </c>
      <c r="AR24" s="197">
        <f t="shared" si="27"/>
        <v>1827.2537281596867</v>
      </c>
      <c r="AS24" s="197">
        <f t="shared" si="27"/>
        <v>13648.336366001102</v>
      </c>
      <c r="AT24" s="197">
        <f t="shared" si="27"/>
        <v>-5928.7449575772389</v>
      </c>
      <c r="AU24" s="199">
        <f t="shared" si="27"/>
        <v>-4101.4912294175529</v>
      </c>
      <c r="AV24" s="197"/>
      <c r="AX24" s="204">
        <f t="shared" si="65"/>
        <v>13</v>
      </c>
      <c r="AY24" s="225">
        <f>'Energy NPV'!$D77</f>
        <v>11.617000000000001</v>
      </c>
      <c r="AZ24" s="197">
        <f>'Energy margins'!$S$12</f>
        <v>72</v>
      </c>
      <c r="BA24" s="197">
        <f t="shared" si="28"/>
        <v>836.42400000000009</v>
      </c>
      <c r="BB24" s="197">
        <f>'Margins summary'!$U$14</f>
        <v>175.95</v>
      </c>
      <c r="BC24" s="197">
        <f t="shared" si="29"/>
        <v>1012.374</v>
      </c>
      <c r="BD24" s="197"/>
      <c r="BE24" s="918">
        <f>'Energy NPV'!U77</f>
        <v>309.57878399999998</v>
      </c>
      <c r="BF24" s="197"/>
      <c r="BG24" s="197">
        <f t="shared" si="30"/>
        <v>154.78939199999999</v>
      </c>
      <c r="BH24" s="197">
        <f t="shared" si="4"/>
        <v>681.63460800000007</v>
      </c>
      <c r="BI24" s="197">
        <f t="shared" si="5"/>
        <v>857.584608</v>
      </c>
      <c r="BJ24" s="196">
        <f t="shared" si="31"/>
        <v>522.42796259795648</v>
      </c>
      <c r="BK24" s="197">
        <f t="shared" si="32"/>
        <v>109.89785087361246</v>
      </c>
      <c r="BL24" s="197">
        <f t="shared" si="33"/>
        <v>96.680997549492133</v>
      </c>
      <c r="BM24" s="197">
        <f t="shared" si="34"/>
        <v>425.74696504846429</v>
      </c>
      <c r="BN24" s="199">
        <f t="shared" si="35"/>
        <v>535.64481592207676</v>
      </c>
      <c r="BO24" s="196">
        <f t="shared" si="66"/>
        <v>7719.5914084238611</v>
      </c>
      <c r="BP24" s="197">
        <f t="shared" si="36"/>
        <v>1827.2537281596867</v>
      </c>
      <c r="BQ24" s="197">
        <f t="shared" si="36"/>
        <v>4549.4454553337009</v>
      </c>
      <c r="BR24" s="197">
        <f t="shared" si="36"/>
        <v>3170.1459530901611</v>
      </c>
      <c r="BS24" s="199">
        <f t="shared" si="36"/>
        <v>4997.3996812498463</v>
      </c>
      <c r="BT24" s="197"/>
      <c r="BV24" s="204">
        <f t="shared" si="67"/>
        <v>13</v>
      </c>
      <c r="BW24" s="225">
        <f>'Energy NPV'!$D77</f>
        <v>11.617000000000001</v>
      </c>
      <c r="BX24" s="197">
        <f>'Energy margins'!$S$12</f>
        <v>72</v>
      </c>
      <c r="BY24" s="197">
        <f t="shared" si="37"/>
        <v>836.42400000000009</v>
      </c>
      <c r="BZ24" s="197">
        <f>'Margins summary'!$U$14</f>
        <v>175.95</v>
      </c>
      <c r="CA24" s="197">
        <f t="shared" si="38"/>
        <v>1012.374</v>
      </c>
      <c r="CB24" s="197"/>
      <c r="CC24" s="918">
        <f>'Energy NPV'!U77</f>
        <v>309.57878399999998</v>
      </c>
      <c r="CD24" s="197"/>
      <c r="CE24" s="197">
        <f t="shared" si="39"/>
        <v>619.15756799999997</v>
      </c>
      <c r="CF24" s="197">
        <f t="shared" si="6"/>
        <v>217.26643200000012</v>
      </c>
      <c r="CG24" s="197">
        <f t="shared" si="7"/>
        <v>393.21643200000005</v>
      </c>
      <c r="CH24" s="196">
        <f t="shared" si="40"/>
        <v>522.42796259795648</v>
      </c>
      <c r="CI24" s="197">
        <f t="shared" si="41"/>
        <v>109.89785087361246</v>
      </c>
      <c r="CJ24" s="197">
        <f t="shared" si="42"/>
        <v>386.72399019796853</v>
      </c>
      <c r="CK24" s="197">
        <f t="shared" si="43"/>
        <v>135.70397239998792</v>
      </c>
      <c r="CL24" s="199">
        <f t="shared" si="44"/>
        <v>245.60182327360036</v>
      </c>
      <c r="CM24" s="196">
        <f t="shared" si="68"/>
        <v>7719.5914084238611</v>
      </c>
      <c r="CN24" s="197">
        <f t="shared" si="45"/>
        <v>1827.2537281596867</v>
      </c>
      <c r="CO24" s="197">
        <f t="shared" si="46"/>
        <v>18197.781821334804</v>
      </c>
      <c r="CP24" s="197">
        <f t="shared" si="47"/>
        <v>-10478.190412910939</v>
      </c>
      <c r="CQ24" s="199">
        <f t="shared" si="48"/>
        <v>-8650.9366847512538</v>
      </c>
      <c r="CR24" s="197"/>
      <c r="CT24" s="204">
        <f t="shared" si="69"/>
        <v>13</v>
      </c>
      <c r="CU24" s="225">
        <f>'Energy NPV'!$D77</f>
        <v>11.617000000000001</v>
      </c>
      <c r="CV24" s="197">
        <f>'Energy margins'!$S$12</f>
        <v>72</v>
      </c>
      <c r="CW24" s="197">
        <f t="shared" si="49"/>
        <v>836.42400000000009</v>
      </c>
      <c r="CX24" s="197">
        <f>'Margins summary'!$U$14</f>
        <v>175.95</v>
      </c>
      <c r="CY24" s="197">
        <f t="shared" si="50"/>
        <v>1012.374</v>
      </c>
      <c r="CZ24" s="197"/>
      <c r="DA24" s="918">
        <f>'Energy NPV'!U77</f>
        <v>309.57878399999998</v>
      </c>
      <c r="DB24" s="197"/>
      <c r="DC24" s="197">
        <f t="shared" si="51"/>
        <v>0</v>
      </c>
      <c r="DD24" s="197">
        <f t="shared" si="8"/>
        <v>836.42400000000009</v>
      </c>
      <c r="DE24" s="197">
        <f t="shared" si="9"/>
        <v>1012.374</v>
      </c>
      <c r="DF24" s="196">
        <f t="shared" si="52"/>
        <v>522.42796259795648</v>
      </c>
      <c r="DG24" s="197">
        <f t="shared" si="53"/>
        <v>109.89785087361246</v>
      </c>
      <c r="DH24" s="197">
        <f t="shared" si="54"/>
        <v>0</v>
      </c>
      <c r="DI24" s="197">
        <f t="shared" si="55"/>
        <v>522.42796259795648</v>
      </c>
      <c r="DJ24" s="199">
        <f t="shared" si="56"/>
        <v>632.32581347156884</v>
      </c>
      <c r="DK24" s="196">
        <f t="shared" si="70"/>
        <v>7719.5914084238611</v>
      </c>
      <c r="DL24" s="197">
        <f t="shared" si="57"/>
        <v>1827.2537281596867</v>
      </c>
      <c r="DM24" s="197">
        <f t="shared" si="58"/>
        <v>0</v>
      </c>
      <c r="DN24" s="197">
        <f t="shared" si="59"/>
        <v>7719.5914084238611</v>
      </c>
      <c r="DO24" s="199">
        <f t="shared" si="60"/>
        <v>9546.8451365835463</v>
      </c>
    </row>
    <row r="25" spans="2:119" x14ac:dyDescent="0.3">
      <c r="B25" s="204">
        <f t="shared" si="61"/>
        <v>14</v>
      </c>
      <c r="C25" s="197">
        <f>'Energy NPV'!$D78</f>
        <v>11.617000000000001</v>
      </c>
      <c r="D25" s="197">
        <f>'Energy margins'!$S$12</f>
        <v>72</v>
      </c>
      <c r="E25" s="197">
        <f t="shared" si="10"/>
        <v>836.42400000000009</v>
      </c>
      <c r="F25" s="197">
        <f>'Margins summary'!$U$14</f>
        <v>175.95</v>
      </c>
      <c r="G25" s="197">
        <f t="shared" si="11"/>
        <v>1012.374</v>
      </c>
      <c r="H25" s="197"/>
      <c r="I25" s="918">
        <f>'Energy NPV'!U78</f>
        <v>309.57878399999998</v>
      </c>
      <c r="J25" s="197"/>
      <c r="K25" s="197">
        <f t="shared" si="12"/>
        <v>309.57878399999998</v>
      </c>
      <c r="L25" s="197">
        <f t="shared" si="0"/>
        <v>526.84521600000016</v>
      </c>
      <c r="M25" s="197">
        <f t="shared" si="1"/>
        <v>702.79521599999998</v>
      </c>
      <c r="N25" s="196">
        <f t="shared" si="13"/>
        <v>502.33457942111198</v>
      </c>
      <c r="O25" s="197">
        <f t="shared" si="14"/>
        <v>105.67101045539658</v>
      </c>
      <c r="P25" s="197">
        <f t="shared" si="15"/>
        <v>185.92499528748488</v>
      </c>
      <c r="Q25" s="197">
        <f t="shared" si="16"/>
        <v>316.40958413362716</v>
      </c>
      <c r="R25" s="199">
        <f t="shared" si="17"/>
        <v>422.08059458902363</v>
      </c>
      <c r="S25" s="196">
        <f t="shared" si="62"/>
        <v>8221.9259878449739</v>
      </c>
      <c r="T25" s="197">
        <f t="shared" si="18"/>
        <v>1932.9247386150832</v>
      </c>
      <c r="U25" s="197">
        <f t="shared" si="18"/>
        <v>9284.8159059548871</v>
      </c>
      <c r="V25" s="197">
        <f t="shared" si="18"/>
        <v>-1062.8899181099132</v>
      </c>
      <c r="W25" s="199">
        <f t="shared" si="18"/>
        <v>870.03482050517027</v>
      </c>
      <c r="X25" s="197"/>
      <c r="Z25" s="204">
        <f t="shared" si="63"/>
        <v>14</v>
      </c>
      <c r="AA25" s="225">
        <f>'Energy NPV'!$D78</f>
        <v>11.617000000000001</v>
      </c>
      <c r="AB25" s="197">
        <f>'Energy margins'!$S$12</f>
        <v>72</v>
      </c>
      <c r="AC25" s="197">
        <f t="shared" si="19"/>
        <v>836.42400000000009</v>
      </c>
      <c r="AD25" s="197">
        <f>'Margins summary'!$U$14</f>
        <v>175.95</v>
      </c>
      <c r="AE25" s="197">
        <f t="shared" si="20"/>
        <v>1012.374</v>
      </c>
      <c r="AF25" s="197"/>
      <c r="AG25" s="918">
        <f>'Energy NPV'!U78</f>
        <v>309.57878399999998</v>
      </c>
      <c r="AH25" s="197"/>
      <c r="AI25" s="197">
        <f t="shared" si="21"/>
        <v>464.36817599999995</v>
      </c>
      <c r="AJ25" s="197">
        <f t="shared" si="2"/>
        <v>372.05582400000014</v>
      </c>
      <c r="AK25" s="197">
        <f t="shared" si="3"/>
        <v>548.00582400000008</v>
      </c>
      <c r="AL25" s="196">
        <f t="shared" si="22"/>
        <v>502.33457942111198</v>
      </c>
      <c r="AM25" s="197">
        <f t="shared" si="23"/>
        <v>105.67101045539658</v>
      </c>
      <c r="AN25" s="197">
        <f t="shared" si="24"/>
        <v>278.88749293122726</v>
      </c>
      <c r="AO25" s="197">
        <f t="shared" si="25"/>
        <v>223.4470864898847</v>
      </c>
      <c r="AP25" s="199">
        <f t="shared" si="26"/>
        <v>329.11809694528125</v>
      </c>
      <c r="AQ25" s="196">
        <f t="shared" si="64"/>
        <v>8221.9259878449739</v>
      </c>
      <c r="AR25" s="197">
        <f t="shared" si="27"/>
        <v>1932.9247386150832</v>
      </c>
      <c r="AS25" s="197">
        <f t="shared" si="27"/>
        <v>13927.22385893233</v>
      </c>
      <c r="AT25" s="197">
        <f t="shared" si="27"/>
        <v>-5705.297871087354</v>
      </c>
      <c r="AU25" s="199">
        <f t="shared" si="27"/>
        <v>-3772.3731324722717</v>
      </c>
      <c r="AV25" s="197"/>
      <c r="AX25" s="204">
        <f t="shared" si="65"/>
        <v>14</v>
      </c>
      <c r="AY25" s="225">
        <f>'Energy NPV'!$D78</f>
        <v>11.617000000000001</v>
      </c>
      <c r="AZ25" s="197">
        <f>'Energy margins'!$S$12</f>
        <v>72</v>
      </c>
      <c r="BA25" s="197">
        <f t="shared" si="28"/>
        <v>836.42400000000009</v>
      </c>
      <c r="BB25" s="197">
        <f>'Margins summary'!$U$14</f>
        <v>175.95</v>
      </c>
      <c r="BC25" s="197">
        <f t="shared" si="29"/>
        <v>1012.374</v>
      </c>
      <c r="BD25" s="197"/>
      <c r="BE25" s="918">
        <f>'Energy NPV'!U78</f>
        <v>309.57878399999998</v>
      </c>
      <c r="BF25" s="197"/>
      <c r="BG25" s="197">
        <f t="shared" si="30"/>
        <v>154.78939199999999</v>
      </c>
      <c r="BH25" s="197">
        <f t="shared" si="4"/>
        <v>681.63460800000007</v>
      </c>
      <c r="BI25" s="197">
        <f t="shared" si="5"/>
        <v>857.584608</v>
      </c>
      <c r="BJ25" s="196">
        <f t="shared" si="31"/>
        <v>502.33457942111198</v>
      </c>
      <c r="BK25" s="197">
        <f t="shared" si="32"/>
        <v>105.67101045539658</v>
      </c>
      <c r="BL25" s="197">
        <f t="shared" si="33"/>
        <v>92.962497643742438</v>
      </c>
      <c r="BM25" s="197">
        <f t="shared" si="34"/>
        <v>409.37208177736954</v>
      </c>
      <c r="BN25" s="199">
        <f t="shared" si="35"/>
        <v>515.04309223276607</v>
      </c>
      <c r="BO25" s="196">
        <f t="shared" si="66"/>
        <v>8221.9259878449739</v>
      </c>
      <c r="BP25" s="197">
        <f t="shared" si="36"/>
        <v>1932.9247386150832</v>
      </c>
      <c r="BQ25" s="197">
        <f t="shared" si="36"/>
        <v>4642.4079529774435</v>
      </c>
      <c r="BR25" s="197">
        <f t="shared" si="36"/>
        <v>3579.5180348675308</v>
      </c>
      <c r="BS25" s="199">
        <f t="shared" si="36"/>
        <v>5512.4427734826122</v>
      </c>
      <c r="BT25" s="197"/>
      <c r="BV25" s="204">
        <f t="shared" si="67"/>
        <v>14</v>
      </c>
      <c r="BW25" s="225">
        <f>'Energy NPV'!$D78</f>
        <v>11.617000000000001</v>
      </c>
      <c r="BX25" s="197">
        <f>'Energy margins'!$S$12</f>
        <v>72</v>
      </c>
      <c r="BY25" s="197">
        <f t="shared" si="37"/>
        <v>836.42400000000009</v>
      </c>
      <c r="BZ25" s="197">
        <f>'Margins summary'!$U$14</f>
        <v>175.95</v>
      </c>
      <c r="CA25" s="197">
        <f t="shared" si="38"/>
        <v>1012.374</v>
      </c>
      <c r="CB25" s="197"/>
      <c r="CC25" s="918">
        <f>'Energy NPV'!U78</f>
        <v>309.57878399999998</v>
      </c>
      <c r="CD25" s="197"/>
      <c r="CE25" s="197">
        <f t="shared" si="39"/>
        <v>619.15756799999997</v>
      </c>
      <c r="CF25" s="197">
        <f t="shared" si="6"/>
        <v>217.26643200000012</v>
      </c>
      <c r="CG25" s="197">
        <f t="shared" si="7"/>
        <v>393.21643200000005</v>
      </c>
      <c r="CH25" s="196">
        <f t="shared" si="40"/>
        <v>502.33457942111198</v>
      </c>
      <c r="CI25" s="197">
        <f t="shared" si="41"/>
        <v>105.67101045539658</v>
      </c>
      <c r="CJ25" s="197">
        <f t="shared" si="42"/>
        <v>371.84999057496975</v>
      </c>
      <c r="CK25" s="197">
        <f t="shared" si="43"/>
        <v>130.48458884614223</v>
      </c>
      <c r="CL25" s="199">
        <f t="shared" si="44"/>
        <v>236.15559930153879</v>
      </c>
      <c r="CM25" s="196">
        <f t="shared" si="68"/>
        <v>8221.9259878449739</v>
      </c>
      <c r="CN25" s="197">
        <f t="shared" si="45"/>
        <v>1932.9247386150832</v>
      </c>
      <c r="CO25" s="197">
        <f t="shared" si="46"/>
        <v>18569.631811909774</v>
      </c>
      <c r="CP25" s="197">
        <f t="shared" si="47"/>
        <v>-10347.705824064797</v>
      </c>
      <c r="CQ25" s="199">
        <f t="shared" si="48"/>
        <v>-8414.7810854497147</v>
      </c>
      <c r="CR25" s="197"/>
      <c r="CT25" s="204">
        <f t="shared" si="69"/>
        <v>14</v>
      </c>
      <c r="CU25" s="225">
        <f>'Energy NPV'!$D78</f>
        <v>11.617000000000001</v>
      </c>
      <c r="CV25" s="197">
        <f>'Energy margins'!$S$12</f>
        <v>72</v>
      </c>
      <c r="CW25" s="197">
        <f t="shared" si="49"/>
        <v>836.42400000000009</v>
      </c>
      <c r="CX25" s="197">
        <f>'Margins summary'!$U$14</f>
        <v>175.95</v>
      </c>
      <c r="CY25" s="197">
        <f t="shared" si="50"/>
        <v>1012.374</v>
      </c>
      <c r="CZ25" s="197"/>
      <c r="DA25" s="918">
        <f>'Energy NPV'!U78</f>
        <v>309.57878399999998</v>
      </c>
      <c r="DB25" s="197"/>
      <c r="DC25" s="197">
        <f t="shared" si="51"/>
        <v>0</v>
      </c>
      <c r="DD25" s="197">
        <f t="shared" si="8"/>
        <v>836.42400000000009</v>
      </c>
      <c r="DE25" s="197">
        <f t="shared" si="9"/>
        <v>1012.374</v>
      </c>
      <c r="DF25" s="196">
        <f t="shared" si="52"/>
        <v>502.33457942111198</v>
      </c>
      <c r="DG25" s="197">
        <f t="shared" si="53"/>
        <v>105.67101045539658</v>
      </c>
      <c r="DH25" s="197">
        <f t="shared" si="54"/>
        <v>0</v>
      </c>
      <c r="DI25" s="197">
        <f t="shared" si="55"/>
        <v>502.33457942111198</v>
      </c>
      <c r="DJ25" s="199">
        <f t="shared" si="56"/>
        <v>608.00558987650857</v>
      </c>
      <c r="DK25" s="196">
        <f t="shared" si="70"/>
        <v>8221.9259878449739</v>
      </c>
      <c r="DL25" s="197">
        <f t="shared" si="57"/>
        <v>1932.9247386150832</v>
      </c>
      <c r="DM25" s="197">
        <f t="shared" si="58"/>
        <v>0</v>
      </c>
      <c r="DN25" s="197">
        <f t="shared" si="59"/>
        <v>8221.9259878449739</v>
      </c>
      <c r="DO25" s="199">
        <f t="shared" si="60"/>
        <v>10154.850726460056</v>
      </c>
    </row>
    <row r="26" spans="2:119" x14ac:dyDescent="0.3">
      <c r="B26" s="204">
        <f t="shared" si="61"/>
        <v>15</v>
      </c>
      <c r="C26" s="197">
        <f>'Energy NPV'!$D79</f>
        <v>11.617000000000001</v>
      </c>
      <c r="D26" s="197">
        <f>'Energy margins'!$S$12</f>
        <v>72</v>
      </c>
      <c r="E26" s="197">
        <f t="shared" si="10"/>
        <v>836.42400000000009</v>
      </c>
      <c r="F26" s="197">
        <f>'Margins summary'!$U$14</f>
        <v>175.95</v>
      </c>
      <c r="G26" s="197">
        <f t="shared" si="11"/>
        <v>1012.374</v>
      </c>
      <c r="H26" s="197"/>
      <c r="I26" s="918">
        <f>'Energy NPV'!U79</f>
        <v>309.57878399999998</v>
      </c>
      <c r="J26" s="197"/>
      <c r="K26" s="197">
        <f t="shared" si="12"/>
        <v>309.57878399999998</v>
      </c>
      <c r="L26" s="197">
        <f t="shared" si="0"/>
        <v>526.84521600000016</v>
      </c>
      <c r="M26" s="197">
        <f t="shared" si="1"/>
        <v>702.79521599999998</v>
      </c>
      <c r="N26" s="196">
        <f t="shared" si="13"/>
        <v>483.01401867414614</v>
      </c>
      <c r="O26" s="197">
        <f t="shared" si="14"/>
        <v>101.60674082249672</v>
      </c>
      <c r="P26" s="197">
        <f t="shared" si="15"/>
        <v>178.7740339302739</v>
      </c>
      <c r="Q26" s="197">
        <f t="shared" si="16"/>
        <v>304.23998474387224</v>
      </c>
      <c r="R26" s="199">
        <f t="shared" si="17"/>
        <v>405.84672556636889</v>
      </c>
      <c r="S26" s="196">
        <f t="shared" si="62"/>
        <v>8704.9400065191203</v>
      </c>
      <c r="T26" s="197">
        <f t="shared" si="18"/>
        <v>2034.5314794375799</v>
      </c>
      <c r="U26" s="197">
        <f t="shared" si="18"/>
        <v>9463.5899398851616</v>
      </c>
      <c r="V26" s="197">
        <f t="shared" si="18"/>
        <v>-758.64993336604095</v>
      </c>
      <c r="W26" s="199">
        <f t="shared" si="18"/>
        <v>1275.8815460715391</v>
      </c>
      <c r="X26" s="197"/>
      <c r="Z26" s="204">
        <f t="shared" si="63"/>
        <v>15</v>
      </c>
      <c r="AA26" s="225">
        <f>'Energy NPV'!$D79</f>
        <v>11.617000000000001</v>
      </c>
      <c r="AB26" s="197">
        <f>'Energy margins'!$S$12</f>
        <v>72</v>
      </c>
      <c r="AC26" s="197">
        <f t="shared" si="19"/>
        <v>836.42400000000009</v>
      </c>
      <c r="AD26" s="197">
        <f>'Margins summary'!$U$14</f>
        <v>175.95</v>
      </c>
      <c r="AE26" s="197">
        <f t="shared" si="20"/>
        <v>1012.374</v>
      </c>
      <c r="AF26" s="197"/>
      <c r="AG26" s="918">
        <f>'Energy NPV'!U79</f>
        <v>309.57878399999998</v>
      </c>
      <c r="AH26" s="197"/>
      <c r="AI26" s="197">
        <f t="shared" si="21"/>
        <v>464.36817599999995</v>
      </c>
      <c r="AJ26" s="197">
        <f t="shared" si="2"/>
        <v>372.05582400000014</v>
      </c>
      <c r="AK26" s="197">
        <f t="shared" si="3"/>
        <v>548.00582400000008</v>
      </c>
      <c r="AL26" s="196">
        <f t="shared" si="22"/>
        <v>483.01401867414614</v>
      </c>
      <c r="AM26" s="197">
        <f t="shared" si="23"/>
        <v>101.60674082249672</v>
      </c>
      <c r="AN26" s="197">
        <f t="shared" si="24"/>
        <v>268.16105089541088</v>
      </c>
      <c r="AO26" s="197">
        <f t="shared" si="25"/>
        <v>214.85296777873529</v>
      </c>
      <c r="AP26" s="199">
        <f t="shared" si="26"/>
        <v>316.45970860123197</v>
      </c>
      <c r="AQ26" s="196">
        <f t="shared" si="64"/>
        <v>8704.9400065191203</v>
      </c>
      <c r="AR26" s="197">
        <f t="shared" si="27"/>
        <v>2034.5314794375799</v>
      </c>
      <c r="AS26" s="197">
        <f t="shared" si="27"/>
        <v>14195.384909827741</v>
      </c>
      <c r="AT26" s="197">
        <f t="shared" si="27"/>
        <v>-5490.4449033086184</v>
      </c>
      <c r="AU26" s="199">
        <f t="shared" si="27"/>
        <v>-3455.9134238710399</v>
      </c>
      <c r="AV26" s="197"/>
      <c r="AX26" s="204">
        <f t="shared" si="65"/>
        <v>15</v>
      </c>
      <c r="AY26" s="225">
        <f>'Energy NPV'!$D79</f>
        <v>11.617000000000001</v>
      </c>
      <c r="AZ26" s="197">
        <f>'Energy margins'!$S$12</f>
        <v>72</v>
      </c>
      <c r="BA26" s="197">
        <f t="shared" si="28"/>
        <v>836.42400000000009</v>
      </c>
      <c r="BB26" s="197">
        <f>'Margins summary'!$U$14</f>
        <v>175.95</v>
      </c>
      <c r="BC26" s="197">
        <f t="shared" si="29"/>
        <v>1012.374</v>
      </c>
      <c r="BD26" s="197"/>
      <c r="BE26" s="918">
        <f>'Energy NPV'!U79</f>
        <v>309.57878399999998</v>
      </c>
      <c r="BF26" s="197"/>
      <c r="BG26" s="197">
        <f t="shared" si="30"/>
        <v>154.78939199999999</v>
      </c>
      <c r="BH26" s="197">
        <f t="shared" si="4"/>
        <v>681.63460800000007</v>
      </c>
      <c r="BI26" s="197">
        <f t="shared" si="5"/>
        <v>857.584608</v>
      </c>
      <c r="BJ26" s="196">
        <f t="shared" si="31"/>
        <v>483.01401867414614</v>
      </c>
      <c r="BK26" s="197">
        <f t="shared" si="32"/>
        <v>101.60674082249672</v>
      </c>
      <c r="BL26" s="197">
        <f t="shared" si="33"/>
        <v>89.387016965136951</v>
      </c>
      <c r="BM26" s="197">
        <f t="shared" si="34"/>
        <v>393.62700170900916</v>
      </c>
      <c r="BN26" s="199">
        <f t="shared" si="35"/>
        <v>495.23374253150587</v>
      </c>
      <c r="BO26" s="196">
        <f t="shared" si="66"/>
        <v>8704.9400065191203</v>
      </c>
      <c r="BP26" s="197">
        <f t="shared" si="36"/>
        <v>2034.5314794375799</v>
      </c>
      <c r="BQ26" s="197">
        <f t="shared" si="36"/>
        <v>4731.7949699425808</v>
      </c>
      <c r="BR26" s="197">
        <f t="shared" si="36"/>
        <v>3973.14503657654</v>
      </c>
      <c r="BS26" s="199">
        <f t="shared" si="36"/>
        <v>6007.6765160141185</v>
      </c>
      <c r="BT26" s="197"/>
      <c r="BV26" s="204">
        <f t="shared" si="67"/>
        <v>15</v>
      </c>
      <c r="BW26" s="225">
        <f>'Energy NPV'!$D79</f>
        <v>11.617000000000001</v>
      </c>
      <c r="BX26" s="197">
        <f>'Energy margins'!$S$12</f>
        <v>72</v>
      </c>
      <c r="BY26" s="197">
        <f t="shared" si="37"/>
        <v>836.42400000000009</v>
      </c>
      <c r="BZ26" s="197">
        <f>'Margins summary'!$U$14</f>
        <v>175.95</v>
      </c>
      <c r="CA26" s="197">
        <f t="shared" si="38"/>
        <v>1012.374</v>
      </c>
      <c r="CB26" s="197"/>
      <c r="CC26" s="918">
        <f>'Energy NPV'!U79</f>
        <v>309.57878399999998</v>
      </c>
      <c r="CD26" s="197"/>
      <c r="CE26" s="197">
        <f t="shared" si="39"/>
        <v>619.15756799999997</v>
      </c>
      <c r="CF26" s="197">
        <f t="shared" si="6"/>
        <v>217.26643200000012</v>
      </c>
      <c r="CG26" s="197">
        <f t="shared" si="7"/>
        <v>393.21643200000005</v>
      </c>
      <c r="CH26" s="196">
        <f t="shared" si="40"/>
        <v>483.01401867414614</v>
      </c>
      <c r="CI26" s="197">
        <f t="shared" si="41"/>
        <v>101.60674082249672</v>
      </c>
      <c r="CJ26" s="197">
        <f t="shared" si="42"/>
        <v>357.5480678605478</v>
      </c>
      <c r="CK26" s="197">
        <f t="shared" si="43"/>
        <v>125.4659508135983</v>
      </c>
      <c r="CL26" s="199">
        <f t="shared" si="44"/>
        <v>227.07269163609499</v>
      </c>
      <c r="CM26" s="196">
        <f t="shared" si="68"/>
        <v>8704.9400065191203</v>
      </c>
      <c r="CN26" s="197">
        <f t="shared" si="45"/>
        <v>2034.5314794375799</v>
      </c>
      <c r="CO26" s="197">
        <f t="shared" si="46"/>
        <v>18927.179879770323</v>
      </c>
      <c r="CP26" s="197">
        <f t="shared" si="47"/>
        <v>-10222.239873251197</v>
      </c>
      <c r="CQ26" s="199">
        <f t="shared" si="48"/>
        <v>-8187.7083938136202</v>
      </c>
      <c r="CR26" s="197"/>
      <c r="CT26" s="204">
        <f t="shared" si="69"/>
        <v>15</v>
      </c>
      <c r="CU26" s="225">
        <f>'Energy NPV'!$D79</f>
        <v>11.617000000000001</v>
      </c>
      <c r="CV26" s="197">
        <f>'Energy margins'!$S$12</f>
        <v>72</v>
      </c>
      <c r="CW26" s="197">
        <f t="shared" si="49"/>
        <v>836.42400000000009</v>
      </c>
      <c r="CX26" s="197">
        <f>'Margins summary'!$U$14</f>
        <v>175.95</v>
      </c>
      <c r="CY26" s="197">
        <f t="shared" si="50"/>
        <v>1012.374</v>
      </c>
      <c r="CZ26" s="197"/>
      <c r="DA26" s="918">
        <f>'Energy NPV'!U79</f>
        <v>309.57878399999998</v>
      </c>
      <c r="DB26" s="197"/>
      <c r="DC26" s="197">
        <f t="shared" si="51"/>
        <v>0</v>
      </c>
      <c r="DD26" s="197">
        <f t="shared" si="8"/>
        <v>836.42400000000009</v>
      </c>
      <c r="DE26" s="197">
        <f t="shared" si="9"/>
        <v>1012.374</v>
      </c>
      <c r="DF26" s="196">
        <f t="shared" si="52"/>
        <v>483.01401867414614</v>
      </c>
      <c r="DG26" s="197">
        <f t="shared" si="53"/>
        <v>101.60674082249672</v>
      </c>
      <c r="DH26" s="197">
        <f t="shared" si="54"/>
        <v>0</v>
      </c>
      <c r="DI26" s="197">
        <f t="shared" si="55"/>
        <v>483.01401867414614</v>
      </c>
      <c r="DJ26" s="199">
        <f t="shared" si="56"/>
        <v>584.62075949664279</v>
      </c>
      <c r="DK26" s="196">
        <f t="shared" si="70"/>
        <v>8704.9400065191203</v>
      </c>
      <c r="DL26" s="197">
        <f t="shared" si="57"/>
        <v>2034.5314794375799</v>
      </c>
      <c r="DM26" s="197">
        <f t="shared" si="58"/>
        <v>0</v>
      </c>
      <c r="DN26" s="197">
        <f t="shared" si="59"/>
        <v>8704.9400065191203</v>
      </c>
      <c r="DO26" s="199">
        <f t="shared" si="60"/>
        <v>10739.471485956699</v>
      </c>
    </row>
    <row r="27" spans="2:119" x14ac:dyDescent="0.3">
      <c r="B27" s="206">
        <f t="shared" si="61"/>
        <v>16</v>
      </c>
      <c r="C27" s="207">
        <f>'Energy NPV'!$D80</f>
        <v>11.617000000000001</v>
      </c>
      <c r="D27" s="207">
        <f>'Energy margins'!$S$12</f>
        <v>72</v>
      </c>
      <c r="E27" s="207">
        <f t="shared" si="10"/>
        <v>836.42400000000009</v>
      </c>
      <c r="F27" s="207">
        <f>'Margins summary'!$U$14</f>
        <v>175.95</v>
      </c>
      <c r="G27" s="207">
        <f t="shared" si="11"/>
        <v>1012.374</v>
      </c>
      <c r="H27" s="207"/>
      <c r="I27" s="919">
        <f>'Energy NPV'!U80</f>
        <v>196.57878399999998</v>
      </c>
      <c r="J27" s="207">
        <f>'Energy margins'!$X$67</f>
        <v>192.1</v>
      </c>
      <c r="K27" s="207">
        <f t="shared" si="12"/>
        <v>388.67878399999995</v>
      </c>
      <c r="L27" s="207">
        <f t="shared" si="0"/>
        <v>447.74521600000014</v>
      </c>
      <c r="M27" s="207">
        <f t="shared" si="1"/>
        <v>623.69521600000007</v>
      </c>
      <c r="N27" s="208">
        <f t="shared" si="13"/>
        <v>464.43655641744823</v>
      </c>
      <c r="O27" s="207">
        <f t="shared" si="14"/>
        <v>97.698789252400701</v>
      </c>
      <c r="P27" s="207">
        <f t="shared" si="15"/>
        <v>215.81953171296033</v>
      </c>
      <c r="Q27" s="207">
        <f t="shared" si="16"/>
        <v>248.6170247044879</v>
      </c>
      <c r="R27" s="209">
        <f>M27/((1+$B$4)^(B27-1))</f>
        <v>346.31581395688858</v>
      </c>
      <c r="S27" s="208">
        <f t="shared" si="62"/>
        <v>9169.376562936568</v>
      </c>
      <c r="T27" s="207">
        <f t="shared" si="18"/>
        <v>2132.2302686899807</v>
      </c>
      <c r="U27" s="207">
        <f t="shared" si="18"/>
        <v>9679.4094715981228</v>
      </c>
      <c r="V27" s="207">
        <f t="shared" si="18"/>
        <v>-510.03290866155305</v>
      </c>
      <c r="W27" s="209">
        <f t="shared" si="18"/>
        <v>1622.1973600284277</v>
      </c>
      <c r="X27" s="197"/>
      <c r="Z27" s="206">
        <f t="shared" si="63"/>
        <v>16</v>
      </c>
      <c r="AA27" s="226">
        <f>'Energy NPV'!$D80</f>
        <v>11.617000000000001</v>
      </c>
      <c r="AB27" s="207">
        <f>'Energy margins'!$S$12</f>
        <v>72</v>
      </c>
      <c r="AC27" s="207">
        <f>AA27*AB27</f>
        <v>836.42400000000009</v>
      </c>
      <c r="AD27" s="207">
        <f>'Margins summary'!$U$14</f>
        <v>175.95</v>
      </c>
      <c r="AE27" s="207">
        <f t="shared" si="20"/>
        <v>1012.374</v>
      </c>
      <c r="AF27" s="207"/>
      <c r="AG27" s="919">
        <f>'Energy NPV'!U80</f>
        <v>196.57878399999998</v>
      </c>
      <c r="AH27" s="207">
        <f>'Energy margins'!$X$67</f>
        <v>192.1</v>
      </c>
      <c r="AI27" s="207">
        <f t="shared" si="21"/>
        <v>583.01817599999993</v>
      </c>
      <c r="AJ27" s="207">
        <f t="shared" si="2"/>
        <v>253.40582400000017</v>
      </c>
      <c r="AK27" s="207">
        <f t="shared" si="3"/>
        <v>429.3558240000001</v>
      </c>
      <c r="AL27" s="208">
        <f t="shared" si="22"/>
        <v>464.43655641744823</v>
      </c>
      <c r="AM27" s="207">
        <f t="shared" si="23"/>
        <v>97.698789252400701</v>
      </c>
      <c r="AN27" s="207">
        <f t="shared" si="24"/>
        <v>323.72929756944046</v>
      </c>
      <c r="AO27" s="207">
        <f t="shared" si="25"/>
        <v>140.70725884800774</v>
      </c>
      <c r="AP27" s="209">
        <f>AK27/((1+$B$4)^(Z27-1))</f>
        <v>238.40604810040838</v>
      </c>
      <c r="AQ27" s="208">
        <f t="shared" si="64"/>
        <v>9169.376562936568</v>
      </c>
      <c r="AR27" s="207">
        <f t="shared" si="27"/>
        <v>2132.2302686899807</v>
      </c>
      <c r="AS27" s="207">
        <f t="shared" si="27"/>
        <v>14519.114207397181</v>
      </c>
      <c r="AT27" s="207">
        <f t="shared" si="27"/>
        <v>-5349.7376444606107</v>
      </c>
      <c r="AU27" s="209">
        <f t="shared" si="27"/>
        <v>-3217.5073757706314</v>
      </c>
      <c r="AV27" s="197"/>
      <c r="AX27" s="206">
        <f t="shared" si="65"/>
        <v>16</v>
      </c>
      <c r="AY27" s="226">
        <f>'Energy NPV'!$D80</f>
        <v>11.617000000000001</v>
      </c>
      <c r="AZ27" s="207">
        <f>'Energy margins'!$S$12</f>
        <v>72</v>
      </c>
      <c r="BA27" s="207">
        <f t="shared" si="28"/>
        <v>836.42400000000009</v>
      </c>
      <c r="BB27" s="207">
        <f>'Margins summary'!$U$14</f>
        <v>175.95</v>
      </c>
      <c r="BC27" s="207">
        <f t="shared" si="29"/>
        <v>1012.374</v>
      </c>
      <c r="BD27" s="207"/>
      <c r="BE27" s="919">
        <f>'Energy NPV'!U80</f>
        <v>196.57878399999998</v>
      </c>
      <c r="BF27" s="207">
        <f>'Energy margins'!$X$67</f>
        <v>192.1</v>
      </c>
      <c r="BG27" s="207">
        <f t="shared" si="30"/>
        <v>194.33939199999998</v>
      </c>
      <c r="BH27" s="207">
        <f t="shared" si="4"/>
        <v>642.08460800000012</v>
      </c>
      <c r="BI27" s="207">
        <f t="shared" si="5"/>
        <v>818.03460800000005</v>
      </c>
      <c r="BJ27" s="208">
        <f t="shared" si="31"/>
        <v>464.43655641744823</v>
      </c>
      <c r="BK27" s="207">
        <f t="shared" si="32"/>
        <v>97.698789252400701</v>
      </c>
      <c r="BL27" s="207">
        <f t="shared" si="33"/>
        <v>107.90976585648016</v>
      </c>
      <c r="BM27" s="207">
        <f t="shared" si="34"/>
        <v>356.52679056096804</v>
      </c>
      <c r="BN27" s="209">
        <f>BI27/((1+$B$4)^(AX27-1))</f>
        <v>454.22557981336871</v>
      </c>
      <c r="BO27" s="208">
        <f t="shared" si="66"/>
        <v>9169.376562936568</v>
      </c>
      <c r="BP27" s="207">
        <f t="shared" si="36"/>
        <v>2132.2302686899807</v>
      </c>
      <c r="BQ27" s="207">
        <f t="shared" si="36"/>
        <v>4839.7047357990614</v>
      </c>
      <c r="BR27" s="207">
        <f t="shared" si="36"/>
        <v>4329.6718271375084</v>
      </c>
      <c r="BS27" s="209">
        <f t="shared" si="36"/>
        <v>6461.9020958274868</v>
      </c>
      <c r="BT27" s="197"/>
      <c r="BV27" s="206">
        <f t="shared" si="67"/>
        <v>16</v>
      </c>
      <c r="BW27" s="226">
        <f>'Energy NPV'!$D80</f>
        <v>11.617000000000001</v>
      </c>
      <c r="BX27" s="207">
        <f>'Energy margins'!$S$12</f>
        <v>72</v>
      </c>
      <c r="BY27" s="207">
        <f t="shared" si="37"/>
        <v>836.42400000000009</v>
      </c>
      <c r="BZ27" s="207">
        <f>'Margins summary'!$U$14</f>
        <v>175.95</v>
      </c>
      <c r="CA27" s="207">
        <f t="shared" si="38"/>
        <v>1012.374</v>
      </c>
      <c r="CB27" s="207"/>
      <c r="CC27" s="919">
        <f>'Energy NPV'!U80</f>
        <v>196.57878399999998</v>
      </c>
      <c r="CD27" s="207">
        <f>'Energy margins'!$X$67</f>
        <v>192.1</v>
      </c>
      <c r="CE27" s="207">
        <f t="shared" si="39"/>
        <v>777.3575679999999</v>
      </c>
      <c r="CF27" s="207">
        <f t="shared" si="6"/>
        <v>59.066432000000191</v>
      </c>
      <c r="CG27" s="207">
        <f t="shared" si="7"/>
        <v>235.01643200000012</v>
      </c>
      <c r="CH27" s="208">
        <f t="shared" si="40"/>
        <v>464.43655641744823</v>
      </c>
      <c r="CI27" s="207">
        <f t="shared" si="41"/>
        <v>97.698789252400701</v>
      </c>
      <c r="CJ27" s="207">
        <f t="shared" si="42"/>
        <v>431.63906342592065</v>
      </c>
      <c r="CK27" s="207">
        <f t="shared" si="43"/>
        <v>32.797492991527569</v>
      </c>
      <c r="CL27" s="209">
        <f>CG27/((1+$B$4)^(BV27-1))</f>
        <v>130.49628224392822</v>
      </c>
      <c r="CM27" s="208">
        <f t="shared" si="68"/>
        <v>9169.376562936568</v>
      </c>
      <c r="CN27" s="207">
        <f t="shared" si="45"/>
        <v>2132.2302686899807</v>
      </c>
      <c r="CO27" s="207">
        <f t="shared" si="46"/>
        <v>19358.818943196246</v>
      </c>
      <c r="CP27" s="207">
        <f t="shared" si="47"/>
        <v>-10189.44238025967</v>
      </c>
      <c r="CQ27" s="209">
        <f t="shared" si="48"/>
        <v>-8057.2121115696918</v>
      </c>
      <c r="CR27" s="197"/>
      <c r="CT27" s="206">
        <f t="shared" si="69"/>
        <v>16</v>
      </c>
      <c r="CU27" s="226">
        <f>'Energy NPV'!$D80</f>
        <v>11.617000000000001</v>
      </c>
      <c r="CV27" s="207">
        <f>'Energy margins'!$S$12</f>
        <v>72</v>
      </c>
      <c r="CW27" s="207">
        <f t="shared" si="49"/>
        <v>836.42400000000009</v>
      </c>
      <c r="CX27" s="207">
        <f>'Margins summary'!$U$14</f>
        <v>175.95</v>
      </c>
      <c r="CY27" s="207">
        <f t="shared" si="50"/>
        <v>1012.374</v>
      </c>
      <c r="CZ27" s="207"/>
      <c r="DA27" s="919">
        <f>'Energy NPV'!U80</f>
        <v>196.57878399999998</v>
      </c>
      <c r="DB27" s="207">
        <f>'Energy margins'!$X$67</f>
        <v>192.1</v>
      </c>
      <c r="DC27" s="207">
        <f t="shared" si="51"/>
        <v>0</v>
      </c>
      <c r="DD27" s="207">
        <f t="shared" si="8"/>
        <v>836.42400000000009</v>
      </c>
      <c r="DE27" s="207">
        <f t="shared" si="9"/>
        <v>1012.374</v>
      </c>
      <c r="DF27" s="208">
        <f t="shared" si="52"/>
        <v>464.43655641744823</v>
      </c>
      <c r="DG27" s="207">
        <f t="shared" si="53"/>
        <v>97.698789252400701</v>
      </c>
      <c r="DH27" s="207">
        <f t="shared" si="54"/>
        <v>0</v>
      </c>
      <c r="DI27" s="207">
        <f t="shared" si="55"/>
        <v>464.43655641744823</v>
      </c>
      <c r="DJ27" s="209">
        <f>DE27/((1+$B$4)^(CT27-1))</f>
        <v>562.1353456698489</v>
      </c>
      <c r="DK27" s="208">
        <f t="shared" si="70"/>
        <v>9169.376562936568</v>
      </c>
      <c r="DL27" s="207">
        <f t="shared" si="57"/>
        <v>2132.2302686899807</v>
      </c>
      <c r="DM27" s="207">
        <f t="shared" si="58"/>
        <v>0</v>
      </c>
      <c r="DN27" s="207">
        <f t="shared" si="59"/>
        <v>9169.376562936568</v>
      </c>
      <c r="DO27" s="209">
        <f t="shared" si="60"/>
        <v>11301.606831626548</v>
      </c>
    </row>
    <row r="34" spans="2:119" x14ac:dyDescent="0.3">
      <c r="B34" s="228" t="s">
        <v>451</v>
      </c>
      <c r="C34" s="763" t="s">
        <v>414</v>
      </c>
      <c r="D34" s="269" t="s">
        <v>405</v>
      </c>
      <c r="E34" s="906">
        <v>1</v>
      </c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Z34" s="228" t="s">
        <v>451</v>
      </c>
      <c r="AA34" s="211" t="s">
        <v>331</v>
      </c>
      <c r="AB34" s="906">
        <v>1.5</v>
      </c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X34" s="228" t="s">
        <v>451</v>
      </c>
      <c r="AY34" s="211" t="s">
        <v>332</v>
      </c>
      <c r="AZ34" s="906">
        <v>0.5</v>
      </c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V34" s="228" t="s">
        <v>451</v>
      </c>
      <c r="BW34" s="211" t="s">
        <v>333</v>
      </c>
      <c r="BX34" s="906">
        <v>2</v>
      </c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T34" s="228" t="s">
        <v>451</v>
      </c>
      <c r="CU34" s="211" t="s">
        <v>334</v>
      </c>
      <c r="CV34" s="906">
        <v>0</v>
      </c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</row>
    <row r="35" spans="2:119" x14ac:dyDescent="0.3">
      <c r="B35" s="203"/>
      <c r="C35" s="148"/>
      <c r="D35" s="148"/>
      <c r="E35" s="1086"/>
      <c r="F35" s="1086"/>
      <c r="G35" s="1086"/>
      <c r="H35" s="148"/>
      <c r="I35" s="931"/>
      <c r="J35" s="1086"/>
      <c r="K35" s="1086"/>
      <c r="L35" s="148"/>
      <c r="M35" s="148"/>
      <c r="N35" s="1087" t="s">
        <v>275</v>
      </c>
      <c r="O35" s="1088"/>
      <c r="P35" s="1088"/>
      <c r="Q35" s="1088"/>
      <c r="R35" s="1089"/>
      <c r="S35" s="1087" t="s">
        <v>276</v>
      </c>
      <c r="T35" s="1088"/>
      <c r="U35" s="1088"/>
      <c r="V35" s="1088"/>
      <c r="W35" s="1089"/>
      <c r="X35" s="987"/>
      <c r="Z35" s="203"/>
      <c r="AA35" s="148"/>
      <c r="AB35" s="148"/>
      <c r="AC35" s="1086"/>
      <c r="AD35" s="1086"/>
      <c r="AE35" s="1086"/>
      <c r="AF35" s="148"/>
      <c r="AG35" s="931"/>
      <c r="AH35" s="1086"/>
      <c r="AI35" s="1086"/>
      <c r="AJ35" s="148"/>
      <c r="AK35" s="148"/>
      <c r="AL35" s="1087" t="s">
        <v>275</v>
      </c>
      <c r="AM35" s="1088"/>
      <c r="AN35" s="1088"/>
      <c r="AO35" s="1088"/>
      <c r="AP35" s="1089"/>
      <c r="AQ35" s="1087" t="s">
        <v>276</v>
      </c>
      <c r="AR35" s="1088"/>
      <c r="AS35" s="1088"/>
      <c r="AT35" s="1088"/>
      <c r="AU35" s="1089"/>
      <c r="AV35" s="987"/>
      <c r="AX35" s="203"/>
      <c r="AY35" s="148"/>
      <c r="AZ35" s="148"/>
      <c r="BA35" s="1086"/>
      <c r="BB35" s="1086"/>
      <c r="BC35" s="1086"/>
      <c r="BD35" s="148"/>
      <c r="BE35" s="931"/>
      <c r="BF35" s="1086"/>
      <c r="BG35" s="1086"/>
      <c r="BH35" s="148"/>
      <c r="BI35" s="148"/>
      <c r="BJ35" s="1087" t="s">
        <v>275</v>
      </c>
      <c r="BK35" s="1088"/>
      <c r="BL35" s="1088"/>
      <c r="BM35" s="1088"/>
      <c r="BN35" s="1089"/>
      <c r="BO35" s="1087" t="s">
        <v>276</v>
      </c>
      <c r="BP35" s="1088"/>
      <c r="BQ35" s="1088"/>
      <c r="BR35" s="1088"/>
      <c r="BS35" s="1089"/>
      <c r="BT35" s="987"/>
      <c r="BV35" s="203"/>
      <c r="BW35" s="148"/>
      <c r="BX35" s="148"/>
      <c r="BY35" s="1086"/>
      <c r="BZ35" s="1086"/>
      <c r="CA35" s="1086"/>
      <c r="CB35" s="148"/>
      <c r="CC35" s="931"/>
      <c r="CD35" s="1086"/>
      <c r="CE35" s="1086"/>
      <c r="CF35" s="148"/>
      <c r="CG35" s="148"/>
      <c r="CH35" s="1087" t="s">
        <v>275</v>
      </c>
      <c r="CI35" s="1088"/>
      <c r="CJ35" s="1088"/>
      <c r="CK35" s="1088"/>
      <c r="CL35" s="1089"/>
      <c r="CM35" s="1087" t="s">
        <v>276</v>
      </c>
      <c r="CN35" s="1088"/>
      <c r="CO35" s="1088"/>
      <c r="CP35" s="1088"/>
      <c r="CQ35" s="1089"/>
      <c r="CR35" s="987"/>
      <c r="CT35" s="203"/>
      <c r="CU35" s="148"/>
      <c r="CV35" s="148"/>
      <c r="CW35" s="1086"/>
      <c r="CX35" s="1086"/>
      <c r="CY35" s="1086"/>
      <c r="CZ35" s="148"/>
      <c r="DA35" s="931"/>
      <c r="DB35" s="1086"/>
      <c r="DC35" s="1086"/>
      <c r="DD35" s="148"/>
      <c r="DE35" s="148"/>
      <c r="DF35" s="1087" t="s">
        <v>275</v>
      </c>
      <c r="DG35" s="1088"/>
      <c r="DH35" s="1088"/>
      <c r="DI35" s="1088"/>
      <c r="DJ35" s="1089"/>
      <c r="DK35" s="1087" t="s">
        <v>276</v>
      </c>
      <c r="DL35" s="1088"/>
      <c r="DM35" s="1088"/>
      <c r="DN35" s="1088"/>
      <c r="DO35" s="1089"/>
    </row>
    <row r="36" spans="2:119" ht="51" x14ac:dyDescent="0.3">
      <c r="B36" s="204" t="s">
        <v>277</v>
      </c>
      <c r="C36" s="205" t="s">
        <v>303</v>
      </c>
      <c r="D36" s="205" t="s">
        <v>304</v>
      </c>
      <c r="E36" s="171" t="s">
        <v>675</v>
      </c>
      <c r="F36" s="171" t="s">
        <v>666</v>
      </c>
      <c r="G36" s="171" t="s">
        <v>676</v>
      </c>
      <c r="H36" s="205" t="s">
        <v>301</v>
      </c>
      <c r="I36" s="935" t="str">
        <f>'Energy NPV'!U89</f>
        <v>Total Recurring Costs</v>
      </c>
      <c r="J36" s="205" t="s">
        <v>305</v>
      </c>
      <c r="K36" s="171" t="s">
        <v>283</v>
      </c>
      <c r="L36" s="171" t="s">
        <v>677</v>
      </c>
      <c r="M36" s="171" t="s">
        <v>678</v>
      </c>
      <c r="N36" s="195" t="s">
        <v>286</v>
      </c>
      <c r="O36" s="171" t="s">
        <v>679</v>
      </c>
      <c r="P36" s="171" t="s">
        <v>288</v>
      </c>
      <c r="Q36" s="171" t="s">
        <v>680</v>
      </c>
      <c r="R36" s="198" t="s">
        <v>290</v>
      </c>
      <c r="S36" s="195" t="s">
        <v>291</v>
      </c>
      <c r="T36" s="171" t="s">
        <v>681</v>
      </c>
      <c r="U36" s="171" t="s">
        <v>293</v>
      </c>
      <c r="V36" s="171" t="s">
        <v>682</v>
      </c>
      <c r="W36" s="198" t="s">
        <v>295</v>
      </c>
      <c r="X36" s="171"/>
      <c r="Z36" s="204" t="s">
        <v>277</v>
      </c>
      <c r="AA36" s="205" t="s">
        <v>303</v>
      </c>
      <c r="AB36" s="205" t="s">
        <v>304</v>
      </c>
      <c r="AC36" s="171" t="s">
        <v>675</v>
      </c>
      <c r="AD36" s="171" t="s">
        <v>666</v>
      </c>
      <c r="AE36" s="171" t="s">
        <v>676</v>
      </c>
      <c r="AF36" s="205" t="s">
        <v>301</v>
      </c>
      <c r="AG36" s="935" t="str">
        <f>'Energy NPV'!U89</f>
        <v>Total Recurring Costs</v>
      </c>
      <c r="AH36" s="205" t="s">
        <v>305</v>
      </c>
      <c r="AI36" s="171" t="s">
        <v>283</v>
      </c>
      <c r="AJ36" s="171" t="s">
        <v>677</v>
      </c>
      <c r="AK36" s="171" t="s">
        <v>678</v>
      </c>
      <c r="AL36" s="195" t="s">
        <v>286</v>
      </c>
      <c r="AM36" s="171" t="s">
        <v>679</v>
      </c>
      <c r="AN36" s="171" t="s">
        <v>288</v>
      </c>
      <c r="AO36" s="171" t="s">
        <v>680</v>
      </c>
      <c r="AP36" s="198" t="s">
        <v>290</v>
      </c>
      <c r="AQ36" s="195" t="s">
        <v>291</v>
      </c>
      <c r="AR36" s="171" t="s">
        <v>681</v>
      </c>
      <c r="AS36" s="171" t="s">
        <v>293</v>
      </c>
      <c r="AT36" s="171" t="s">
        <v>682</v>
      </c>
      <c r="AU36" s="198" t="s">
        <v>295</v>
      </c>
      <c r="AV36" s="171"/>
      <c r="AX36" s="204" t="s">
        <v>277</v>
      </c>
      <c r="AY36" s="205" t="s">
        <v>303</v>
      </c>
      <c r="AZ36" s="205" t="s">
        <v>304</v>
      </c>
      <c r="BA36" s="171" t="s">
        <v>675</v>
      </c>
      <c r="BB36" s="171" t="s">
        <v>666</v>
      </c>
      <c r="BC36" s="171" t="s">
        <v>676</v>
      </c>
      <c r="BD36" s="205" t="s">
        <v>301</v>
      </c>
      <c r="BE36" s="935" t="str">
        <f>'Energy NPV'!U89</f>
        <v>Total Recurring Costs</v>
      </c>
      <c r="BF36" s="205" t="s">
        <v>305</v>
      </c>
      <c r="BG36" s="171" t="s">
        <v>283</v>
      </c>
      <c r="BH36" s="171" t="s">
        <v>677</v>
      </c>
      <c r="BI36" s="171" t="s">
        <v>678</v>
      </c>
      <c r="BJ36" s="195" t="s">
        <v>286</v>
      </c>
      <c r="BK36" s="171" t="s">
        <v>679</v>
      </c>
      <c r="BL36" s="171" t="s">
        <v>288</v>
      </c>
      <c r="BM36" s="171" t="s">
        <v>680</v>
      </c>
      <c r="BN36" s="198" t="s">
        <v>290</v>
      </c>
      <c r="BO36" s="195" t="s">
        <v>291</v>
      </c>
      <c r="BP36" s="171" t="s">
        <v>681</v>
      </c>
      <c r="BQ36" s="171" t="s">
        <v>293</v>
      </c>
      <c r="BR36" s="171" t="s">
        <v>682</v>
      </c>
      <c r="BS36" s="198" t="s">
        <v>295</v>
      </c>
      <c r="BT36" s="171"/>
      <c r="BV36" s="204" t="s">
        <v>277</v>
      </c>
      <c r="BW36" s="205" t="s">
        <v>303</v>
      </c>
      <c r="BX36" s="205" t="s">
        <v>304</v>
      </c>
      <c r="BY36" s="171" t="s">
        <v>675</v>
      </c>
      <c r="BZ36" s="171" t="s">
        <v>666</v>
      </c>
      <c r="CA36" s="171" t="s">
        <v>676</v>
      </c>
      <c r="CB36" s="205" t="s">
        <v>301</v>
      </c>
      <c r="CC36" s="935" t="str">
        <f>'Energy NPV'!U89</f>
        <v>Total Recurring Costs</v>
      </c>
      <c r="CD36" s="205" t="s">
        <v>305</v>
      </c>
      <c r="CE36" s="171" t="s">
        <v>283</v>
      </c>
      <c r="CF36" s="171" t="s">
        <v>677</v>
      </c>
      <c r="CG36" s="171" t="s">
        <v>678</v>
      </c>
      <c r="CH36" s="195" t="s">
        <v>286</v>
      </c>
      <c r="CI36" s="171" t="s">
        <v>679</v>
      </c>
      <c r="CJ36" s="171" t="s">
        <v>288</v>
      </c>
      <c r="CK36" s="171" t="s">
        <v>680</v>
      </c>
      <c r="CL36" s="198" t="s">
        <v>290</v>
      </c>
      <c r="CM36" s="195" t="s">
        <v>291</v>
      </c>
      <c r="CN36" s="171" t="s">
        <v>681</v>
      </c>
      <c r="CO36" s="171" t="s">
        <v>293</v>
      </c>
      <c r="CP36" s="171" t="s">
        <v>682</v>
      </c>
      <c r="CQ36" s="198" t="s">
        <v>295</v>
      </c>
      <c r="CR36" s="171"/>
      <c r="CT36" s="204" t="s">
        <v>277</v>
      </c>
      <c r="CU36" s="205" t="s">
        <v>303</v>
      </c>
      <c r="CV36" s="205" t="s">
        <v>304</v>
      </c>
      <c r="CW36" s="171" t="s">
        <v>675</v>
      </c>
      <c r="CX36" s="171" t="s">
        <v>666</v>
      </c>
      <c r="CY36" s="171" t="s">
        <v>676</v>
      </c>
      <c r="CZ36" s="205" t="s">
        <v>301</v>
      </c>
      <c r="DA36" s="935" t="str">
        <f>'Energy NPV'!U89</f>
        <v>Total Recurring Costs</v>
      </c>
      <c r="DB36" s="205" t="s">
        <v>305</v>
      </c>
      <c r="DC36" s="171" t="s">
        <v>283</v>
      </c>
      <c r="DD36" s="171" t="s">
        <v>677</v>
      </c>
      <c r="DE36" s="171" t="s">
        <v>678</v>
      </c>
      <c r="DF36" s="195" t="s">
        <v>286</v>
      </c>
      <c r="DG36" s="171" t="s">
        <v>679</v>
      </c>
      <c r="DH36" s="171" t="s">
        <v>288</v>
      </c>
      <c r="DI36" s="171" t="s">
        <v>680</v>
      </c>
      <c r="DJ36" s="198" t="s">
        <v>290</v>
      </c>
      <c r="DK36" s="195" t="s">
        <v>291</v>
      </c>
      <c r="DL36" s="171" t="s">
        <v>681</v>
      </c>
      <c r="DM36" s="171" t="s">
        <v>293</v>
      </c>
      <c r="DN36" s="171" t="s">
        <v>682</v>
      </c>
      <c r="DO36" s="198" t="s">
        <v>295</v>
      </c>
    </row>
    <row r="37" spans="2:119" x14ac:dyDescent="0.3">
      <c r="B37" s="173"/>
      <c r="C37" s="226" t="s">
        <v>341</v>
      </c>
      <c r="D37" s="226" t="s">
        <v>601</v>
      </c>
      <c r="E37" s="201" t="s">
        <v>599</v>
      </c>
      <c r="F37" s="201" t="s">
        <v>599</v>
      </c>
      <c r="G37" s="201" t="s">
        <v>599</v>
      </c>
      <c r="H37" s="201" t="s">
        <v>599</v>
      </c>
      <c r="I37" s="969" t="str">
        <f>'Energy NPV'!U90</f>
        <v>(€ ha-1)</v>
      </c>
      <c r="J37" s="201" t="s">
        <v>599</v>
      </c>
      <c r="K37" s="201" t="s">
        <v>599</v>
      </c>
      <c r="L37" s="201" t="s">
        <v>599</v>
      </c>
      <c r="M37" s="202" t="s">
        <v>599</v>
      </c>
      <c r="N37" s="201" t="s">
        <v>599</v>
      </c>
      <c r="O37" s="201" t="s">
        <v>599</v>
      </c>
      <c r="P37" s="201" t="s">
        <v>599</v>
      </c>
      <c r="Q37" s="201" t="s">
        <v>599</v>
      </c>
      <c r="R37" s="202" t="s">
        <v>599</v>
      </c>
      <c r="S37" s="201" t="s">
        <v>599</v>
      </c>
      <c r="T37" s="201" t="s">
        <v>599</v>
      </c>
      <c r="U37" s="201" t="s">
        <v>599</v>
      </c>
      <c r="V37" s="201" t="s">
        <v>599</v>
      </c>
      <c r="W37" s="202" t="s">
        <v>599</v>
      </c>
      <c r="X37" s="988"/>
      <c r="Z37" s="173"/>
      <c r="AA37" s="226" t="s">
        <v>341</v>
      </c>
      <c r="AB37" s="226" t="s">
        <v>601</v>
      </c>
      <c r="AC37" s="201" t="s">
        <v>599</v>
      </c>
      <c r="AD37" s="201" t="s">
        <v>599</v>
      </c>
      <c r="AE37" s="201" t="s">
        <v>599</v>
      </c>
      <c r="AF37" s="201" t="s">
        <v>599</v>
      </c>
      <c r="AG37" s="969" t="str">
        <f>'Energy NPV'!U90</f>
        <v>(€ ha-1)</v>
      </c>
      <c r="AH37" s="201" t="s">
        <v>599</v>
      </c>
      <c r="AI37" s="201" t="s">
        <v>599</v>
      </c>
      <c r="AJ37" s="201" t="s">
        <v>599</v>
      </c>
      <c r="AK37" s="202" t="s">
        <v>599</v>
      </c>
      <c r="AL37" s="201" t="s">
        <v>599</v>
      </c>
      <c r="AM37" s="201" t="s">
        <v>599</v>
      </c>
      <c r="AN37" s="201" t="s">
        <v>599</v>
      </c>
      <c r="AO37" s="201" t="s">
        <v>599</v>
      </c>
      <c r="AP37" s="202" t="s">
        <v>599</v>
      </c>
      <c r="AQ37" s="201" t="s">
        <v>599</v>
      </c>
      <c r="AR37" s="201" t="s">
        <v>599</v>
      </c>
      <c r="AS37" s="201" t="s">
        <v>599</v>
      </c>
      <c r="AT37" s="201" t="s">
        <v>599</v>
      </c>
      <c r="AU37" s="202" t="s">
        <v>599</v>
      </c>
      <c r="AV37" s="988"/>
      <c r="AX37" s="173"/>
      <c r="AY37" s="226" t="s">
        <v>341</v>
      </c>
      <c r="AZ37" s="226" t="s">
        <v>601</v>
      </c>
      <c r="BA37" s="201" t="s">
        <v>599</v>
      </c>
      <c r="BB37" s="201" t="s">
        <v>599</v>
      </c>
      <c r="BC37" s="201" t="s">
        <v>599</v>
      </c>
      <c r="BD37" s="201" t="s">
        <v>599</v>
      </c>
      <c r="BE37" s="969" t="str">
        <f>'Energy NPV'!U90</f>
        <v>(€ ha-1)</v>
      </c>
      <c r="BF37" s="201" t="s">
        <v>599</v>
      </c>
      <c r="BG37" s="201" t="s">
        <v>599</v>
      </c>
      <c r="BH37" s="201" t="s">
        <v>599</v>
      </c>
      <c r="BI37" s="202" t="s">
        <v>599</v>
      </c>
      <c r="BJ37" s="201" t="s">
        <v>599</v>
      </c>
      <c r="BK37" s="201" t="s">
        <v>599</v>
      </c>
      <c r="BL37" s="201" t="s">
        <v>599</v>
      </c>
      <c r="BM37" s="201" t="s">
        <v>599</v>
      </c>
      <c r="BN37" s="202" t="s">
        <v>599</v>
      </c>
      <c r="BO37" s="201" t="s">
        <v>599</v>
      </c>
      <c r="BP37" s="201" t="s">
        <v>599</v>
      </c>
      <c r="BQ37" s="201" t="s">
        <v>599</v>
      </c>
      <c r="BR37" s="201" t="s">
        <v>599</v>
      </c>
      <c r="BS37" s="202" t="s">
        <v>599</v>
      </c>
      <c r="BT37" s="988"/>
      <c r="BV37" s="173"/>
      <c r="BW37" s="226" t="s">
        <v>341</v>
      </c>
      <c r="BX37" s="226" t="s">
        <v>601</v>
      </c>
      <c r="BY37" s="201" t="s">
        <v>599</v>
      </c>
      <c r="BZ37" s="201" t="s">
        <v>599</v>
      </c>
      <c r="CA37" s="201" t="s">
        <v>599</v>
      </c>
      <c r="CB37" s="201" t="s">
        <v>599</v>
      </c>
      <c r="CC37" s="969" t="str">
        <f>'Energy NPV'!U90</f>
        <v>(€ ha-1)</v>
      </c>
      <c r="CD37" s="201" t="s">
        <v>599</v>
      </c>
      <c r="CE37" s="201" t="s">
        <v>599</v>
      </c>
      <c r="CF37" s="201" t="s">
        <v>599</v>
      </c>
      <c r="CG37" s="202" t="s">
        <v>599</v>
      </c>
      <c r="CH37" s="201" t="s">
        <v>599</v>
      </c>
      <c r="CI37" s="201" t="s">
        <v>599</v>
      </c>
      <c r="CJ37" s="201" t="s">
        <v>599</v>
      </c>
      <c r="CK37" s="201" t="s">
        <v>599</v>
      </c>
      <c r="CL37" s="202" t="s">
        <v>599</v>
      </c>
      <c r="CM37" s="201" t="s">
        <v>599</v>
      </c>
      <c r="CN37" s="201" t="s">
        <v>599</v>
      </c>
      <c r="CO37" s="201" t="s">
        <v>599</v>
      </c>
      <c r="CP37" s="201" t="s">
        <v>599</v>
      </c>
      <c r="CQ37" s="202" t="s">
        <v>599</v>
      </c>
      <c r="CR37" s="988"/>
      <c r="CT37" s="173"/>
      <c r="CU37" s="226" t="s">
        <v>341</v>
      </c>
      <c r="CV37" s="226" t="s">
        <v>601</v>
      </c>
      <c r="CW37" s="201" t="s">
        <v>599</v>
      </c>
      <c r="CX37" s="201" t="s">
        <v>599</v>
      </c>
      <c r="CY37" s="201" t="s">
        <v>599</v>
      </c>
      <c r="CZ37" s="201" t="s">
        <v>599</v>
      </c>
      <c r="DA37" s="969" t="str">
        <f>'Energy NPV'!U90</f>
        <v>(€ ha-1)</v>
      </c>
      <c r="DB37" s="201" t="s">
        <v>599</v>
      </c>
      <c r="DC37" s="201" t="s">
        <v>599</v>
      </c>
      <c r="DD37" s="201" t="s">
        <v>599</v>
      </c>
      <c r="DE37" s="202" t="s">
        <v>599</v>
      </c>
      <c r="DF37" s="201" t="s">
        <v>599</v>
      </c>
      <c r="DG37" s="201" t="s">
        <v>599</v>
      </c>
      <c r="DH37" s="201" t="s">
        <v>599</v>
      </c>
      <c r="DI37" s="201" t="s">
        <v>599</v>
      </c>
      <c r="DJ37" s="202" t="s">
        <v>599</v>
      </c>
      <c r="DK37" s="201" t="s">
        <v>599</v>
      </c>
      <c r="DL37" s="201" t="s">
        <v>599</v>
      </c>
      <c r="DM37" s="201" t="s">
        <v>599</v>
      </c>
      <c r="DN37" s="201" t="s">
        <v>599</v>
      </c>
      <c r="DO37" s="202" t="s">
        <v>599</v>
      </c>
    </row>
    <row r="38" spans="2:119" x14ac:dyDescent="0.3">
      <c r="B38" s="204">
        <v>1</v>
      </c>
      <c r="C38" s="197">
        <f>'Energy NPV'!$D91</f>
        <v>0</v>
      </c>
      <c r="D38" s="197">
        <f>'Energy margins'!$Z$12</f>
        <v>72</v>
      </c>
      <c r="E38" s="197">
        <f>C38*D38</f>
        <v>0</v>
      </c>
      <c r="F38" s="197">
        <f>'Margins summary'!$W$14</f>
        <v>175.95</v>
      </c>
      <c r="G38" s="197">
        <f>E38+F38</f>
        <v>175.95</v>
      </c>
      <c r="H38" s="197">
        <f>'Margins summary'!$V$20</f>
        <v>2234.4822840000002</v>
      </c>
      <c r="I38" s="918">
        <f>'Energy NPV'!U91</f>
        <v>0</v>
      </c>
      <c r="J38" s="197"/>
      <c r="K38" s="197">
        <f>(H38+I38+J38)*$E$34</f>
        <v>2234.4822840000002</v>
      </c>
      <c r="L38" s="197">
        <f t="shared" ref="L38:L53" si="71">E38-K38</f>
        <v>-2234.4822840000002</v>
      </c>
      <c r="M38" s="197">
        <f t="shared" ref="M38:M53" si="72">G38-K38</f>
        <v>-2058.5322840000003</v>
      </c>
      <c r="N38" s="1018">
        <f>E38/(1+$B$4)^(B38-1)</f>
        <v>0</v>
      </c>
      <c r="O38" s="213">
        <f>F38/(1+$B$4)^(B38-1)</f>
        <v>175.95</v>
      </c>
      <c r="P38" s="213">
        <f>K38/(1+$B$4)^(B38-1)</f>
        <v>2234.4822840000002</v>
      </c>
      <c r="Q38" s="213">
        <f>L38/(1+$B$4)^(B38-1)</f>
        <v>-2234.4822840000002</v>
      </c>
      <c r="R38" s="929">
        <f>M38/(1+$B$4)^(B38-1)</f>
        <v>-2058.5322840000003</v>
      </c>
      <c r="S38" s="196">
        <f>N38</f>
        <v>0</v>
      </c>
      <c r="T38" s="197">
        <f>O38</f>
        <v>175.95</v>
      </c>
      <c r="U38" s="197">
        <f>P38</f>
        <v>2234.4822840000002</v>
      </c>
      <c r="V38" s="197">
        <f>Q38</f>
        <v>-2234.4822840000002</v>
      </c>
      <c r="W38" s="199">
        <f>R38</f>
        <v>-2058.5322840000003</v>
      </c>
      <c r="X38" s="197"/>
      <c r="Z38" s="204">
        <v>1</v>
      </c>
      <c r="AA38" s="197">
        <f>'Energy NPV'!$D91</f>
        <v>0</v>
      </c>
      <c r="AB38" s="197">
        <f>'Energy margins'!$Z$12</f>
        <v>72</v>
      </c>
      <c r="AC38" s="197">
        <f>AA38*AB38</f>
        <v>0</v>
      </c>
      <c r="AD38" s="197">
        <f>'Margins summary'!$W$14</f>
        <v>175.95</v>
      </c>
      <c r="AE38" s="197">
        <f>AC38+AD38</f>
        <v>175.95</v>
      </c>
      <c r="AF38" s="197">
        <f>'Margins summary'!$V$20</f>
        <v>2234.4822840000002</v>
      </c>
      <c r="AG38" s="918">
        <f>'Energy NPV'!U91</f>
        <v>0</v>
      </c>
      <c r="AH38" s="197"/>
      <c r="AI38" s="197">
        <f>(AF38+AG38+AH38)*$AB$34</f>
        <v>3351.7234260000005</v>
      </c>
      <c r="AJ38" s="197">
        <f t="shared" ref="AJ38:AJ53" si="73">AC38-AI38</f>
        <v>-3351.7234260000005</v>
      </c>
      <c r="AK38" s="197">
        <f t="shared" ref="AK38:AK53" si="74">AE38-AI38</f>
        <v>-3175.7734260000007</v>
      </c>
      <c r="AL38" s="1018">
        <f>AC38/(1+$B$4)^(Z38-1)</f>
        <v>0</v>
      </c>
      <c r="AM38" s="213">
        <f>AD38/(1+$B$4)^(Z38-1)</f>
        <v>175.95</v>
      </c>
      <c r="AN38" s="213">
        <f>AI38/(1+$B$4)^(Z38-1)</f>
        <v>3351.7234260000005</v>
      </c>
      <c r="AO38" s="213">
        <f>AJ38/(1+$B$4)^(Z38-1)</f>
        <v>-3351.7234260000005</v>
      </c>
      <c r="AP38" s="929">
        <f>AK38/(1+$B$4)^(Z38-1)</f>
        <v>-3175.7734260000007</v>
      </c>
      <c r="AQ38" s="196">
        <f>AL38</f>
        <v>0</v>
      </c>
      <c r="AR38" s="197">
        <f>AM38</f>
        <v>175.95</v>
      </c>
      <c r="AS38" s="197">
        <f>AN38</f>
        <v>3351.7234260000005</v>
      </c>
      <c r="AT38" s="197">
        <f>AO38</f>
        <v>-3351.7234260000005</v>
      </c>
      <c r="AU38" s="199">
        <f>AP38</f>
        <v>-3175.7734260000007</v>
      </c>
      <c r="AV38" s="197"/>
      <c r="AX38" s="204">
        <v>1</v>
      </c>
      <c r="AY38" s="197">
        <f>'Energy NPV'!$D91</f>
        <v>0</v>
      </c>
      <c r="AZ38" s="197">
        <f>'Energy margins'!$Z$12</f>
        <v>72</v>
      </c>
      <c r="BA38" s="197">
        <f>AY38*AZ38</f>
        <v>0</v>
      </c>
      <c r="BB38" s="197">
        <f>'Margins summary'!$W$14</f>
        <v>175.95</v>
      </c>
      <c r="BC38" s="197">
        <f>BA38+BB38</f>
        <v>175.95</v>
      </c>
      <c r="BD38" s="197">
        <f>'Margins summary'!$V$20</f>
        <v>2234.4822840000002</v>
      </c>
      <c r="BE38" s="918">
        <f>'Energy NPV'!U91</f>
        <v>0</v>
      </c>
      <c r="BF38" s="197"/>
      <c r="BG38" s="197">
        <f>(BD38+BE38+BF38)*$AZ$34</f>
        <v>1117.2411420000001</v>
      </c>
      <c r="BH38" s="197">
        <f t="shared" ref="BH38:BH53" si="75">BA38-BG38</f>
        <v>-1117.2411420000001</v>
      </c>
      <c r="BI38" s="197">
        <f t="shared" ref="BI38:BI53" si="76">BC38-BG38</f>
        <v>-941.29114200000004</v>
      </c>
      <c r="BJ38" s="1018">
        <f>BA38/(1+$B$4)^(AX38-1)</f>
        <v>0</v>
      </c>
      <c r="BK38" s="213">
        <f>BB38/(1+$B$4)^(AX38-1)</f>
        <v>175.95</v>
      </c>
      <c r="BL38" s="213">
        <f>BG38/(1+$B$4)^(AX38-1)</f>
        <v>1117.2411420000001</v>
      </c>
      <c r="BM38" s="213">
        <f>BH38/(1+$B$4)^(AX38-1)</f>
        <v>-1117.2411420000001</v>
      </c>
      <c r="BN38" s="929">
        <f>BI38/(1+$B$4)^(AX38-1)</f>
        <v>-941.29114200000004</v>
      </c>
      <c r="BO38" s="196">
        <f>BJ38</f>
        <v>0</v>
      </c>
      <c r="BP38" s="197">
        <f>BK38</f>
        <v>175.95</v>
      </c>
      <c r="BQ38" s="197">
        <f>BL38</f>
        <v>1117.2411420000001</v>
      </c>
      <c r="BR38" s="197">
        <f>BM38</f>
        <v>-1117.2411420000001</v>
      </c>
      <c r="BS38" s="199">
        <f>BN38</f>
        <v>-941.29114200000004</v>
      </c>
      <c r="BT38" s="197"/>
      <c r="BV38" s="204">
        <v>1</v>
      </c>
      <c r="BW38" s="197">
        <f>'Energy NPV'!$D91</f>
        <v>0</v>
      </c>
      <c r="BX38" s="197">
        <f>'Energy margins'!$Z$12</f>
        <v>72</v>
      </c>
      <c r="BY38" s="197">
        <f>BW38*BX38</f>
        <v>0</v>
      </c>
      <c r="BZ38" s="197">
        <f>'Margins summary'!$W$14</f>
        <v>175.95</v>
      </c>
      <c r="CA38" s="197">
        <f>BY38+BZ38</f>
        <v>175.95</v>
      </c>
      <c r="CB38" s="197">
        <f>'Margins summary'!$V$20</f>
        <v>2234.4822840000002</v>
      </c>
      <c r="CC38" s="918">
        <f>'Energy NPV'!U91</f>
        <v>0</v>
      </c>
      <c r="CD38" s="197"/>
      <c r="CE38" s="197">
        <f>(CB38+CC38+CD38)*$BX$34</f>
        <v>4468.9645680000003</v>
      </c>
      <c r="CF38" s="197">
        <f t="shared" ref="CF38:CF53" si="77">BY38-CE38</f>
        <v>-4468.9645680000003</v>
      </c>
      <c r="CG38" s="197">
        <f t="shared" ref="CG38:CG53" si="78">CA38-CE38</f>
        <v>-4293.0145680000005</v>
      </c>
      <c r="CH38" s="1018">
        <f>BY38/(1+$B$4)^(BV38-1)</f>
        <v>0</v>
      </c>
      <c r="CI38" s="213">
        <f>BZ38/(1+$B$4)^(BV38-1)</f>
        <v>175.95</v>
      </c>
      <c r="CJ38" s="213">
        <f>CE38/(1+$B$4)^(BV38-1)</f>
        <v>4468.9645680000003</v>
      </c>
      <c r="CK38" s="213">
        <f>CF38/(1+$B$4)^(BV38-1)</f>
        <v>-4468.9645680000003</v>
      </c>
      <c r="CL38" s="929">
        <f>CG38/(1+$B$4)^(BV38-1)</f>
        <v>-4293.0145680000005</v>
      </c>
      <c r="CM38" s="196">
        <f>CH38</f>
        <v>0</v>
      </c>
      <c r="CN38" s="197">
        <f>CI38</f>
        <v>175.95</v>
      </c>
      <c r="CO38" s="197">
        <f>CJ38</f>
        <v>4468.9645680000003</v>
      </c>
      <c r="CP38" s="197">
        <f>CK38</f>
        <v>-4468.9645680000003</v>
      </c>
      <c r="CQ38" s="199">
        <f>CL38</f>
        <v>-4293.0145680000005</v>
      </c>
      <c r="CR38" s="197"/>
      <c r="CT38" s="204">
        <v>1</v>
      </c>
      <c r="CU38" s="197">
        <f>'Energy NPV'!$D91</f>
        <v>0</v>
      </c>
      <c r="CV38" s="197">
        <f>'Energy margins'!$Z$12</f>
        <v>72</v>
      </c>
      <c r="CW38" s="197">
        <f>CU38*CV38</f>
        <v>0</v>
      </c>
      <c r="CX38" s="197">
        <f>'Margins summary'!$W$14</f>
        <v>175.95</v>
      </c>
      <c r="CY38" s="197">
        <f>CW38+CX38</f>
        <v>175.95</v>
      </c>
      <c r="CZ38" s="197">
        <f>'Margins summary'!$V$20</f>
        <v>2234.4822840000002</v>
      </c>
      <c r="DA38" s="918">
        <f>'Energy NPV'!U91</f>
        <v>0</v>
      </c>
      <c r="DB38" s="197"/>
      <c r="DC38" s="197">
        <f>(CZ38+DA38+DB38)*$CV$34</f>
        <v>0</v>
      </c>
      <c r="DD38" s="197">
        <f t="shared" ref="DD38:DD53" si="79">CW38-DC38</f>
        <v>0</v>
      </c>
      <c r="DE38" s="197">
        <f t="shared" ref="DE38:DE53" si="80">CY38-DC38</f>
        <v>175.95</v>
      </c>
      <c r="DF38" s="1018">
        <f>CW38/(1+$B$4)^(CT38-1)</f>
        <v>0</v>
      </c>
      <c r="DG38" s="213">
        <f>CX38/(1+$B$4)^(CT38-1)</f>
        <v>175.95</v>
      </c>
      <c r="DH38" s="213">
        <f>DC38/(1+$B$4)^(CT38-1)</f>
        <v>0</v>
      </c>
      <c r="DI38" s="213">
        <f>DD38/(1+$B$4)^(CT38-1)</f>
        <v>0</v>
      </c>
      <c r="DJ38" s="929">
        <f>DE38/(1+$B$4)^(CT38-1)</f>
        <v>175.95</v>
      </c>
      <c r="DK38" s="196">
        <f>DF38</f>
        <v>0</v>
      </c>
      <c r="DL38" s="197">
        <f>DG38</f>
        <v>175.95</v>
      </c>
      <c r="DM38" s="197">
        <f>DH38</f>
        <v>0</v>
      </c>
      <c r="DN38" s="197">
        <f>DI38</f>
        <v>0</v>
      </c>
      <c r="DO38" s="199">
        <f>DJ38</f>
        <v>175.95</v>
      </c>
    </row>
    <row r="39" spans="2:119" x14ac:dyDescent="0.3">
      <c r="B39" s="204">
        <v>2</v>
      </c>
      <c r="C39" s="197">
        <f>'Energy NPV'!$D92</f>
        <v>9.9333333333333336</v>
      </c>
      <c r="D39" s="197">
        <f>'Energy margins'!$Z$12</f>
        <v>72</v>
      </c>
      <c r="E39" s="197">
        <f>C39*D39</f>
        <v>715.2</v>
      </c>
      <c r="F39" s="197">
        <f>'Margins summary'!$W$14</f>
        <v>175.95</v>
      </c>
      <c r="G39" s="197">
        <f t="shared" ref="G39:G53" si="81">E39+F39</f>
        <v>891.15000000000009</v>
      </c>
      <c r="H39" s="197"/>
      <c r="I39" s="918">
        <f>'Energy NPV'!U92</f>
        <v>590.26478399999996</v>
      </c>
      <c r="J39" s="197"/>
      <c r="K39" s="197">
        <f t="shared" ref="K39:K53" si="82">(H39+I39+J39)*$E$34</f>
        <v>590.26478399999996</v>
      </c>
      <c r="L39" s="197">
        <f t="shared" si="71"/>
        <v>124.93521600000008</v>
      </c>
      <c r="M39" s="197">
        <f t="shared" si="72"/>
        <v>300.88521600000013</v>
      </c>
      <c r="N39" s="196">
        <f t="shared" ref="N39:N53" si="83">E39/(1+$B$4)^(B39-1)</f>
        <v>687.69230769230774</v>
      </c>
      <c r="O39" s="197">
        <f t="shared" ref="O39:O53" si="84">F39/(1+$B$4)^(B39-1)</f>
        <v>169.18269230769229</v>
      </c>
      <c r="P39" s="197">
        <f t="shared" ref="P39:P52" si="85">K39/(1+$B$4)^(B39-1)</f>
        <v>567.56229230769225</v>
      </c>
      <c r="Q39" s="197">
        <f t="shared" ref="Q39:Q53" si="86">L39/(1+$B$4)^(B39-1)</f>
        <v>120.13001538461546</v>
      </c>
      <c r="R39" s="199">
        <f t="shared" ref="R39:R52" si="87">M39/(1+$B$4)^(B39-1)</f>
        <v>289.31270769230781</v>
      </c>
      <c r="S39" s="196">
        <f>S38+N39</f>
        <v>687.69230769230774</v>
      </c>
      <c r="T39" s="197">
        <f t="shared" ref="T39:W53" si="88">T38+O39</f>
        <v>345.13269230769231</v>
      </c>
      <c r="U39" s="197">
        <f t="shared" si="88"/>
        <v>2802.0445763076923</v>
      </c>
      <c r="V39" s="197">
        <f t="shared" si="88"/>
        <v>-2114.3522686153847</v>
      </c>
      <c r="W39" s="199">
        <f t="shared" si="88"/>
        <v>-1769.2195763076925</v>
      </c>
      <c r="X39" s="197"/>
      <c r="Z39" s="204">
        <v>2</v>
      </c>
      <c r="AA39" s="197">
        <f>'Energy NPV'!$D92</f>
        <v>9.9333333333333336</v>
      </c>
      <c r="AB39" s="197">
        <f>'Energy margins'!$Z$12</f>
        <v>72</v>
      </c>
      <c r="AC39" s="197">
        <f>AA39*AB39</f>
        <v>715.2</v>
      </c>
      <c r="AD39" s="197">
        <f>'Margins summary'!$W$14</f>
        <v>175.95</v>
      </c>
      <c r="AE39" s="197">
        <f t="shared" ref="AE39:AE53" si="89">AC39+AD39</f>
        <v>891.15000000000009</v>
      </c>
      <c r="AF39" s="197"/>
      <c r="AG39" s="918">
        <f>'Energy NPV'!U92</f>
        <v>590.26478399999996</v>
      </c>
      <c r="AH39" s="197"/>
      <c r="AI39" s="197">
        <f t="shared" ref="AI39:AI53" si="90">(AF39+AG39+AH39)*$AB$34</f>
        <v>885.39717599999994</v>
      </c>
      <c r="AJ39" s="197">
        <f t="shared" si="73"/>
        <v>-170.1971759999999</v>
      </c>
      <c r="AK39" s="197">
        <f t="shared" si="74"/>
        <v>5.752824000000146</v>
      </c>
      <c r="AL39" s="196">
        <f t="shared" ref="AL39:AL53" si="91">AC39/(1+$B$4)^(Z39-1)</f>
        <v>687.69230769230774</v>
      </c>
      <c r="AM39" s="197">
        <f t="shared" ref="AM39:AM53" si="92">AD39/(1+$B$4)^(Z39-1)</f>
        <v>169.18269230769229</v>
      </c>
      <c r="AN39" s="197">
        <f t="shared" ref="AN39:AN52" si="93">AI39/(1+$B$4)^(Z39-1)</f>
        <v>851.34343846153843</v>
      </c>
      <c r="AO39" s="197">
        <f t="shared" ref="AO39:AO53" si="94">AJ39/(1+$B$4)^(Z39-1)</f>
        <v>-163.65113076923066</v>
      </c>
      <c r="AP39" s="199">
        <f t="shared" ref="AP39:AP52" si="95">AK39/(1+$B$4)^(Z39-1)</f>
        <v>5.5315615384616788</v>
      </c>
      <c r="AQ39" s="196">
        <f>AQ38+AL39</f>
        <v>687.69230769230774</v>
      </c>
      <c r="AR39" s="197">
        <f t="shared" ref="AR39:AU53" si="96">AR38+AM39</f>
        <v>345.13269230769231</v>
      </c>
      <c r="AS39" s="197">
        <f t="shared" si="96"/>
        <v>4203.0668644615389</v>
      </c>
      <c r="AT39" s="197">
        <f t="shared" si="96"/>
        <v>-3515.3745567692313</v>
      </c>
      <c r="AU39" s="199">
        <f t="shared" si="96"/>
        <v>-3170.2418644615391</v>
      </c>
      <c r="AV39" s="197"/>
      <c r="AX39" s="204">
        <v>2</v>
      </c>
      <c r="AY39" s="197">
        <f>'Energy NPV'!$D92</f>
        <v>9.9333333333333336</v>
      </c>
      <c r="AZ39" s="197">
        <f>'Energy margins'!$Z$12</f>
        <v>72</v>
      </c>
      <c r="BA39" s="197">
        <f>AY39*AZ39</f>
        <v>715.2</v>
      </c>
      <c r="BB39" s="197">
        <f>'Margins summary'!$W$14</f>
        <v>175.95</v>
      </c>
      <c r="BC39" s="197">
        <f t="shared" ref="BC39:BC53" si="97">BA39+BB39</f>
        <v>891.15000000000009</v>
      </c>
      <c r="BD39" s="197"/>
      <c r="BE39" s="918">
        <f>'Energy NPV'!U92</f>
        <v>590.26478399999996</v>
      </c>
      <c r="BF39" s="197"/>
      <c r="BG39" s="197">
        <f t="shared" ref="BG39:BG53" si="98">(BD39+BE39+BF39)*$AZ$34</f>
        <v>295.13239199999998</v>
      </c>
      <c r="BH39" s="197">
        <f t="shared" si="75"/>
        <v>420.06760800000006</v>
      </c>
      <c r="BI39" s="197">
        <f t="shared" si="76"/>
        <v>596.01760800000011</v>
      </c>
      <c r="BJ39" s="196">
        <f t="shared" ref="BJ39:BJ53" si="99">BA39/(1+$B$4)^(AX39-1)</f>
        <v>687.69230769230774</v>
      </c>
      <c r="BK39" s="197">
        <f t="shared" ref="BK39:BK53" si="100">BB39/(1+$B$4)^(AX39-1)</f>
        <v>169.18269230769229</v>
      </c>
      <c r="BL39" s="197">
        <f t="shared" ref="BL39:BL52" si="101">BG39/(1+$B$4)^(AX39-1)</f>
        <v>283.78114615384612</v>
      </c>
      <c r="BM39" s="197">
        <f t="shared" ref="BM39:BM53" si="102">BH39/(1+$B$4)^(AX39-1)</f>
        <v>403.91116153846161</v>
      </c>
      <c r="BN39" s="199">
        <f t="shared" ref="BN39:BN52" si="103">BI39/(1+$B$4)^(AX39-1)</f>
        <v>573.09385384615393</v>
      </c>
      <c r="BO39" s="196">
        <f>BO38+BJ39</f>
        <v>687.69230769230774</v>
      </c>
      <c r="BP39" s="197">
        <f t="shared" ref="BP39:BP53" si="104">BP38+BK39</f>
        <v>345.13269230769231</v>
      </c>
      <c r="BQ39" s="197">
        <f t="shared" ref="BQ39:BQ53" si="105">BQ38+BL39</f>
        <v>1401.0222881538461</v>
      </c>
      <c r="BR39" s="197">
        <f t="shared" ref="BR39:BR53" si="106">BR38+BM39</f>
        <v>-713.32998046153853</v>
      </c>
      <c r="BS39" s="199">
        <f t="shared" ref="BS39:BS53" si="107">BS38+BN39</f>
        <v>-368.1972881538461</v>
      </c>
      <c r="BT39" s="197"/>
      <c r="BV39" s="204">
        <v>2</v>
      </c>
      <c r="BW39" s="197">
        <f>'Energy NPV'!$D92</f>
        <v>9.9333333333333336</v>
      </c>
      <c r="BX39" s="197">
        <f>'Energy margins'!$Z$12</f>
        <v>72</v>
      </c>
      <c r="BY39" s="197">
        <f>BW39*BX39</f>
        <v>715.2</v>
      </c>
      <c r="BZ39" s="197">
        <f>'Margins summary'!$W$14</f>
        <v>175.95</v>
      </c>
      <c r="CA39" s="197">
        <f t="shared" ref="CA39:CA53" si="108">BY39+BZ39</f>
        <v>891.15000000000009</v>
      </c>
      <c r="CB39" s="197"/>
      <c r="CC39" s="918">
        <f>'Energy NPV'!U92</f>
        <v>590.26478399999996</v>
      </c>
      <c r="CD39" s="197"/>
      <c r="CE39" s="197">
        <f t="shared" ref="CE39:CE53" si="109">(CB39+CC39+CD39)*$BX$34</f>
        <v>1180.5295679999999</v>
      </c>
      <c r="CF39" s="197">
        <f t="shared" si="77"/>
        <v>-465.32956799999988</v>
      </c>
      <c r="CG39" s="197">
        <f t="shared" si="78"/>
        <v>-289.37956799999984</v>
      </c>
      <c r="CH39" s="196">
        <f t="shared" ref="CH39:CH53" si="110">BY39/(1+$B$4)^(BV39-1)</f>
        <v>687.69230769230774</v>
      </c>
      <c r="CI39" s="197">
        <f t="shared" ref="CI39:CI53" si="111">BZ39/(1+$B$4)^(BV39-1)</f>
        <v>169.18269230769229</v>
      </c>
      <c r="CJ39" s="197">
        <f t="shared" ref="CJ39:CJ52" si="112">CE39/(1+$B$4)^(BV39-1)</f>
        <v>1135.1245846153845</v>
      </c>
      <c r="CK39" s="197">
        <f t="shared" ref="CK39:CK53" si="113">CF39/(1+$B$4)^(BV39-1)</f>
        <v>-447.43227692307681</v>
      </c>
      <c r="CL39" s="199">
        <f t="shared" ref="CL39:CL52" si="114">CG39/(1+$B$4)^(BV39-1)</f>
        <v>-278.24958461538444</v>
      </c>
      <c r="CM39" s="196">
        <f>CM38+CH39</f>
        <v>687.69230769230774</v>
      </c>
      <c r="CN39" s="197">
        <f t="shared" ref="CN39:CN53" si="115">CN38+CI39</f>
        <v>345.13269230769231</v>
      </c>
      <c r="CO39" s="197">
        <f t="shared" ref="CO39:CO53" si="116">CO38+CJ39</f>
        <v>5604.0891526153846</v>
      </c>
      <c r="CP39" s="197">
        <f t="shared" ref="CP39:CP53" si="117">CP38+CK39</f>
        <v>-4916.396844923077</v>
      </c>
      <c r="CQ39" s="199">
        <f t="shared" ref="CQ39:CQ53" si="118">CQ38+CL39</f>
        <v>-4571.2641526153848</v>
      </c>
      <c r="CR39" s="197"/>
      <c r="CT39" s="204">
        <v>2</v>
      </c>
      <c r="CU39" s="197">
        <f>'Energy NPV'!$D92</f>
        <v>9.9333333333333336</v>
      </c>
      <c r="CV39" s="197">
        <f>'Energy margins'!$Z$12</f>
        <v>72</v>
      </c>
      <c r="CW39" s="197">
        <f>CU39*CV39</f>
        <v>715.2</v>
      </c>
      <c r="CX39" s="197">
        <f>'Margins summary'!$W$14</f>
        <v>175.95</v>
      </c>
      <c r="CY39" s="197">
        <f t="shared" ref="CY39:CY53" si="119">CW39+CX39</f>
        <v>891.15000000000009</v>
      </c>
      <c r="CZ39" s="197"/>
      <c r="DA39" s="918">
        <f>'Energy NPV'!U92</f>
        <v>590.26478399999996</v>
      </c>
      <c r="DB39" s="197"/>
      <c r="DC39" s="197">
        <f t="shared" ref="DC39:DC53" si="120">(CZ39+DA39+DB39)*$CV$34</f>
        <v>0</v>
      </c>
      <c r="DD39" s="197">
        <f t="shared" si="79"/>
        <v>715.2</v>
      </c>
      <c r="DE39" s="197">
        <f t="shared" si="80"/>
        <v>891.15000000000009</v>
      </c>
      <c r="DF39" s="196">
        <f t="shared" ref="DF39:DF53" si="121">CW39/(1+$B$4)^(CT39-1)</f>
        <v>687.69230769230774</v>
      </c>
      <c r="DG39" s="197">
        <f t="shared" ref="DG39:DG53" si="122">CX39/(1+$B$4)^(CT39-1)</f>
        <v>169.18269230769229</v>
      </c>
      <c r="DH39" s="197">
        <f t="shared" ref="DH39:DH52" si="123">DC39/(1+$B$4)^(CT39-1)</f>
        <v>0</v>
      </c>
      <c r="DI39" s="197">
        <f t="shared" ref="DI39:DI53" si="124">DD39/(1+$B$4)^(CT39-1)</f>
        <v>687.69230769230774</v>
      </c>
      <c r="DJ39" s="199">
        <f t="shared" ref="DJ39:DJ52" si="125">DE39/(1+$B$4)^(CT39-1)</f>
        <v>856.87500000000011</v>
      </c>
      <c r="DK39" s="196">
        <f>DK38+DF39</f>
        <v>687.69230769230774</v>
      </c>
      <c r="DL39" s="197">
        <f t="shared" ref="DL39:DL53" si="126">DL38+DG39</f>
        <v>345.13269230769231</v>
      </c>
      <c r="DM39" s="197">
        <f t="shared" ref="DM39:DM53" si="127">DM38+DH39</f>
        <v>0</v>
      </c>
      <c r="DN39" s="197">
        <f t="shared" ref="DN39:DN53" si="128">DN38+DI39</f>
        <v>687.69230769230774</v>
      </c>
      <c r="DO39" s="199">
        <f t="shared" ref="DO39:DO53" si="129">DO38+DJ39</f>
        <v>1032.825</v>
      </c>
    </row>
    <row r="40" spans="2:119" x14ac:dyDescent="0.3">
      <c r="B40" s="204">
        <f t="shared" ref="B40:B53" si="130">B39+1</f>
        <v>3</v>
      </c>
      <c r="C40" s="197">
        <f>'Energy NPV'!$D93</f>
        <v>14.700000000000001</v>
      </c>
      <c r="D40" s="197">
        <f>'Energy margins'!$Z$12</f>
        <v>72</v>
      </c>
      <c r="E40" s="197">
        <f t="shared" ref="E40:E53" si="131">C40*D40</f>
        <v>1058.4000000000001</v>
      </c>
      <c r="F40" s="197">
        <f>'Margins summary'!$W$14</f>
        <v>175.95</v>
      </c>
      <c r="G40" s="197">
        <f t="shared" si="81"/>
        <v>1234.3500000000001</v>
      </c>
      <c r="H40" s="197"/>
      <c r="I40" s="918">
        <f>'Energy NPV'!U93</f>
        <v>590.26478399999996</v>
      </c>
      <c r="J40" s="197"/>
      <c r="K40" s="197">
        <f t="shared" si="82"/>
        <v>590.26478399999996</v>
      </c>
      <c r="L40" s="197">
        <f t="shared" si="71"/>
        <v>468.13521600000013</v>
      </c>
      <c r="M40" s="197">
        <f t="shared" si="72"/>
        <v>644.08521600000017</v>
      </c>
      <c r="N40" s="196">
        <f t="shared" si="83"/>
        <v>978.55029585798809</v>
      </c>
      <c r="O40" s="197">
        <f t="shared" si="84"/>
        <v>162.67566568047334</v>
      </c>
      <c r="P40" s="197">
        <f t="shared" si="85"/>
        <v>545.73297337278098</v>
      </c>
      <c r="Q40" s="197">
        <f t="shared" si="86"/>
        <v>432.81732248520717</v>
      </c>
      <c r="R40" s="199">
        <f t="shared" si="87"/>
        <v>595.49298816568057</v>
      </c>
      <c r="S40" s="196">
        <f t="shared" ref="S40:S53" si="132">S39+N40</f>
        <v>1666.2426035502958</v>
      </c>
      <c r="T40" s="197">
        <f t="shared" si="88"/>
        <v>507.80835798816565</v>
      </c>
      <c r="U40" s="197">
        <f t="shared" si="88"/>
        <v>3347.7775496804734</v>
      </c>
      <c r="V40" s="197">
        <f t="shared" si="88"/>
        <v>-1681.5349461301776</v>
      </c>
      <c r="W40" s="199">
        <f t="shared" si="88"/>
        <v>-1173.7265881420119</v>
      </c>
      <c r="X40" s="197"/>
      <c r="Z40" s="204">
        <f t="shared" ref="Z40:Z53" si="133">Z39+1</f>
        <v>3</v>
      </c>
      <c r="AA40" s="197">
        <f>'Energy NPV'!$D93</f>
        <v>14.700000000000001</v>
      </c>
      <c r="AB40" s="197">
        <f>'Energy margins'!$Z$12</f>
        <v>72</v>
      </c>
      <c r="AC40" s="197">
        <f t="shared" ref="AC40:AC53" si="134">AA40*AB40</f>
        <v>1058.4000000000001</v>
      </c>
      <c r="AD40" s="197">
        <f>'Margins summary'!$W$14</f>
        <v>175.95</v>
      </c>
      <c r="AE40" s="197">
        <f t="shared" si="89"/>
        <v>1234.3500000000001</v>
      </c>
      <c r="AF40" s="197"/>
      <c r="AG40" s="918">
        <f>'Energy NPV'!U93</f>
        <v>590.26478399999996</v>
      </c>
      <c r="AH40" s="197"/>
      <c r="AI40" s="197">
        <f t="shared" si="90"/>
        <v>885.39717599999994</v>
      </c>
      <c r="AJ40" s="197">
        <f t="shared" si="73"/>
        <v>173.00282400000015</v>
      </c>
      <c r="AK40" s="197">
        <f t="shared" si="74"/>
        <v>348.95282400000019</v>
      </c>
      <c r="AL40" s="196">
        <f t="shared" si="91"/>
        <v>978.55029585798809</v>
      </c>
      <c r="AM40" s="197">
        <f t="shared" si="92"/>
        <v>162.67566568047334</v>
      </c>
      <c r="AN40" s="197">
        <f t="shared" si="93"/>
        <v>818.59946005917141</v>
      </c>
      <c r="AO40" s="197">
        <f t="shared" si="94"/>
        <v>159.95083579881668</v>
      </c>
      <c r="AP40" s="199">
        <f t="shared" si="95"/>
        <v>322.62650147929008</v>
      </c>
      <c r="AQ40" s="196">
        <f t="shared" ref="AQ40:AQ53" si="135">AQ39+AL40</f>
        <v>1666.2426035502958</v>
      </c>
      <c r="AR40" s="197">
        <f t="shared" si="96"/>
        <v>507.80835798816565</v>
      </c>
      <c r="AS40" s="197">
        <f t="shared" si="96"/>
        <v>5021.6663245207101</v>
      </c>
      <c r="AT40" s="197">
        <f t="shared" si="96"/>
        <v>-3355.4237209704147</v>
      </c>
      <c r="AU40" s="199">
        <f t="shared" si="96"/>
        <v>-2847.6153629822488</v>
      </c>
      <c r="AV40" s="197"/>
      <c r="AX40" s="204">
        <f t="shared" ref="AX40:AX53" si="136">AX39+1</f>
        <v>3</v>
      </c>
      <c r="AY40" s="197">
        <f>'Energy NPV'!$D93</f>
        <v>14.700000000000001</v>
      </c>
      <c r="AZ40" s="197">
        <f>'Energy margins'!$Z$12</f>
        <v>72</v>
      </c>
      <c r="BA40" s="197">
        <f t="shared" ref="BA40:BA53" si="137">AY40*AZ40</f>
        <v>1058.4000000000001</v>
      </c>
      <c r="BB40" s="197">
        <f>'Margins summary'!$W$14</f>
        <v>175.95</v>
      </c>
      <c r="BC40" s="197">
        <f t="shared" si="97"/>
        <v>1234.3500000000001</v>
      </c>
      <c r="BD40" s="197"/>
      <c r="BE40" s="918">
        <f>'Energy NPV'!U93</f>
        <v>590.26478399999996</v>
      </c>
      <c r="BF40" s="197"/>
      <c r="BG40" s="197">
        <f t="shared" si="98"/>
        <v>295.13239199999998</v>
      </c>
      <c r="BH40" s="197">
        <f t="shared" si="75"/>
        <v>763.26760800000011</v>
      </c>
      <c r="BI40" s="197">
        <f t="shared" si="76"/>
        <v>939.21760800000015</v>
      </c>
      <c r="BJ40" s="196">
        <f t="shared" si="99"/>
        <v>978.55029585798809</v>
      </c>
      <c r="BK40" s="197">
        <f t="shared" si="100"/>
        <v>162.67566568047334</v>
      </c>
      <c r="BL40" s="197">
        <f t="shared" si="101"/>
        <v>272.86648668639049</v>
      </c>
      <c r="BM40" s="197">
        <f t="shared" si="102"/>
        <v>705.68380917159766</v>
      </c>
      <c r="BN40" s="199">
        <f t="shared" si="103"/>
        <v>868.359474852071</v>
      </c>
      <c r="BO40" s="196">
        <f t="shared" ref="BO40:BO53" si="138">BO39+BJ40</f>
        <v>1666.2426035502958</v>
      </c>
      <c r="BP40" s="197">
        <f t="shared" si="104"/>
        <v>507.80835798816565</v>
      </c>
      <c r="BQ40" s="197">
        <f t="shared" si="105"/>
        <v>1673.8887748402367</v>
      </c>
      <c r="BR40" s="197">
        <f t="shared" si="106"/>
        <v>-7.6461712899408667</v>
      </c>
      <c r="BS40" s="199">
        <f t="shared" si="107"/>
        <v>500.1621866982249</v>
      </c>
      <c r="BT40" s="197"/>
      <c r="BV40" s="204">
        <f t="shared" ref="BV40:BV53" si="139">BV39+1</f>
        <v>3</v>
      </c>
      <c r="BW40" s="197">
        <f>'Energy NPV'!$D93</f>
        <v>14.700000000000001</v>
      </c>
      <c r="BX40" s="197">
        <f>'Energy margins'!$Z$12</f>
        <v>72</v>
      </c>
      <c r="BY40" s="197">
        <f t="shared" ref="BY40:BY53" si="140">BW40*BX40</f>
        <v>1058.4000000000001</v>
      </c>
      <c r="BZ40" s="197">
        <f>'Margins summary'!$W$14</f>
        <v>175.95</v>
      </c>
      <c r="CA40" s="197">
        <f t="shared" si="108"/>
        <v>1234.3500000000001</v>
      </c>
      <c r="CB40" s="197"/>
      <c r="CC40" s="918">
        <f>'Energy NPV'!U93</f>
        <v>590.26478399999996</v>
      </c>
      <c r="CD40" s="197"/>
      <c r="CE40" s="197">
        <f t="shared" si="109"/>
        <v>1180.5295679999999</v>
      </c>
      <c r="CF40" s="197">
        <f t="shared" si="77"/>
        <v>-122.12956799999984</v>
      </c>
      <c r="CG40" s="197">
        <f t="shared" si="78"/>
        <v>53.82043200000021</v>
      </c>
      <c r="CH40" s="196">
        <f t="shared" si="110"/>
        <v>978.55029585798809</v>
      </c>
      <c r="CI40" s="197">
        <f t="shared" si="111"/>
        <v>162.67566568047334</v>
      </c>
      <c r="CJ40" s="197">
        <f t="shared" si="112"/>
        <v>1091.465946745562</v>
      </c>
      <c r="CK40" s="197">
        <f t="shared" si="113"/>
        <v>-112.9156508875738</v>
      </c>
      <c r="CL40" s="199">
        <f t="shared" si="114"/>
        <v>49.760014792899597</v>
      </c>
      <c r="CM40" s="196">
        <f t="shared" ref="CM40:CM53" si="141">CM39+CH40</f>
        <v>1666.2426035502958</v>
      </c>
      <c r="CN40" s="197">
        <f t="shared" si="115"/>
        <v>507.80835798816565</v>
      </c>
      <c r="CO40" s="197">
        <f t="shared" si="116"/>
        <v>6695.5550993609468</v>
      </c>
      <c r="CP40" s="197">
        <f t="shared" si="117"/>
        <v>-5029.3124958106509</v>
      </c>
      <c r="CQ40" s="199">
        <f t="shared" si="118"/>
        <v>-4521.5041378224851</v>
      </c>
      <c r="CR40" s="197"/>
      <c r="CT40" s="204">
        <f t="shared" ref="CT40:CT53" si="142">CT39+1</f>
        <v>3</v>
      </c>
      <c r="CU40" s="197">
        <f>'Energy NPV'!$D93</f>
        <v>14.700000000000001</v>
      </c>
      <c r="CV40" s="197">
        <f>'Energy margins'!$Z$12</f>
        <v>72</v>
      </c>
      <c r="CW40" s="197">
        <f t="shared" ref="CW40:CW53" si="143">CU40*CV40</f>
        <v>1058.4000000000001</v>
      </c>
      <c r="CX40" s="197">
        <f>'Margins summary'!$W$14</f>
        <v>175.95</v>
      </c>
      <c r="CY40" s="197">
        <f t="shared" si="119"/>
        <v>1234.3500000000001</v>
      </c>
      <c r="CZ40" s="197"/>
      <c r="DA40" s="918">
        <f>'Energy NPV'!U93</f>
        <v>590.26478399999996</v>
      </c>
      <c r="DB40" s="197"/>
      <c r="DC40" s="197">
        <f t="shared" si="120"/>
        <v>0</v>
      </c>
      <c r="DD40" s="197">
        <f t="shared" si="79"/>
        <v>1058.4000000000001</v>
      </c>
      <c r="DE40" s="197">
        <f t="shared" si="80"/>
        <v>1234.3500000000001</v>
      </c>
      <c r="DF40" s="196">
        <f t="shared" si="121"/>
        <v>978.55029585798809</v>
      </c>
      <c r="DG40" s="197">
        <f t="shared" si="122"/>
        <v>162.67566568047334</v>
      </c>
      <c r="DH40" s="197">
        <f t="shared" si="123"/>
        <v>0</v>
      </c>
      <c r="DI40" s="197">
        <f t="shared" si="124"/>
        <v>978.55029585798809</v>
      </c>
      <c r="DJ40" s="199">
        <f t="shared" si="125"/>
        <v>1141.2259615384614</v>
      </c>
      <c r="DK40" s="196">
        <f t="shared" ref="DK40:DK53" si="144">DK39+DF40</f>
        <v>1666.2426035502958</v>
      </c>
      <c r="DL40" s="197">
        <f t="shared" si="126"/>
        <v>507.80835798816565</v>
      </c>
      <c r="DM40" s="197">
        <f t="shared" si="127"/>
        <v>0</v>
      </c>
      <c r="DN40" s="197">
        <f t="shared" si="128"/>
        <v>1666.2426035502958</v>
      </c>
      <c r="DO40" s="199">
        <f t="shared" si="129"/>
        <v>2174.0509615384617</v>
      </c>
    </row>
    <row r="41" spans="2:119" x14ac:dyDescent="0.3">
      <c r="B41" s="204">
        <f t="shared" si="130"/>
        <v>4</v>
      </c>
      <c r="C41" s="197">
        <f>'Energy NPV'!$D94</f>
        <v>15.733333333333334</v>
      </c>
      <c r="D41" s="197">
        <f>'Energy margins'!$Z$12</f>
        <v>72</v>
      </c>
      <c r="E41" s="197">
        <f t="shared" si="131"/>
        <v>1132.8000000000002</v>
      </c>
      <c r="F41" s="197">
        <f>'Margins summary'!$W$14</f>
        <v>175.95</v>
      </c>
      <c r="G41" s="197">
        <f t="shared" si="81"/>
        <v>1308.7500000000002</v>
      </c>
      <c r="H41" s="197"/>
      <c r="I41" s="918">
        <f>'Energy NPV'!U94</f>
        <v>408.3347839999999</v>
      </c>
      <c r="J41" s="197"/>
      <c r="K41" s="197">
        <f t="shared" si="82"/>
        <v>408.3347839999999</v>
      </c>
      <c r="L41" s="197">
        <f t="shared" si="71"/>
        <v>724.46521600000028</v>
      </c>
      <c r="M41" s="197">
        <f t="shared" si="72"/>
        <v>900.41521600000033</v>
      </c>
      <c r="N41" s="196">
        <f t="shared" si="83"/>
        <v>1007.0550751024125</v>
      </c>
      <c r="O41" s="197">
        <f t="shared" si="84"/>
        <v>156.41890930814745</v>
      </c>
      <c r="P41" s="197">
        <f t="shared" si="85"/>
        <v>363.00813609467446</v>
      </c>
      <c r="Q41" s="197">
        <f t="shared" si="86"/>
        <v>644.04693900773805</v>
      </c>
      <c r="R41" s="199">
        <f t="shared" si="87"/>
        <v>800.46584831588552</v>
      </c>
      <c r="S41" s="196">
        <f t="shared" si="132"/>
        <v>2673.2976786527083</v>
      </c>
      <c r="T41" s="197">
        <f t="shared" si="88"/>
        <v>664.22726729631313</v>
      </c>
      <c r="U41" s="197">
        <f t="shared" si="88"/>
        <v>3710.7856857751476</v>
      </c>
      <c r="V41" s="197">
        <f t="shared" si="88"/>
        <v>-1037.4880071224395</v>
      </c>
      <c r="W41" s="199">
        <f t="shared" si="88"/>
        <v>-373.26073982612638</v>
      </c>
      <c r="X41" s="197"/>
      <c r="Z41" s="204">
        <f t="shared" si="133"/>
        <v>4</v>
      </c>
      <c r="AA41" s="197">
        <f>'Energy NPV'!$D94</f>
        <v>15.733333333333334</v>
      </c>
      <c r="AB41" s="197">
        <f>'Energy margins'!$Z$12</f>
        <v>72</v>
      </c>
      <c r="AC41" s="197">
        <f t="shared" si="134"/>
        <v>1132.8000000000002</v>
      </c>
      <c r="AD41" s="197">
        <f>'Margins summary'!$W$14</f>
        <v>175.95</v>
      </c>
      <c r="AE41" s="197">
        <f t="shared" si="89"/>
        <v>1308.7500000000002</v>
      </c>
      <c r="AF41" s="197"/>
      <c r="AG41" s="918">
        <f>'Energy NPV'!U94</f>
        <v>408.3347839999999</v>
      </c>
      <c r="AH41" s="197"/>
      <c r="AI41" s="197">
        <f t="shared" si="90"/>
        <v>612.50217599999985</v>
      </c>
      <c r="AJ41" s="197">
        <f t="shared" si="73"/>
        <v>520.29782400000033</v>
      </c>
      <c r="AK41" s="197">
        <f t="shared" si="74"/>
        <v>696.24782400000038</v>
      </c>
      <c r="AL41" s="196">
        <f t="shared" si="91"/>
        <v>1007.0550751024125</v>
      </c>
      <c r="AM41" s="197">
        <f t="shared" si="92"/>
        <v>156.41890930814745</v>
      </c>
      <c r="AN41" s="197">
        <f t="shared" si="93"/>
        <v>544.51220414201168</v>
      </c>
      <c r="AO41" s="197">
        <f t="shared" si="94"/>
        <v>462.54287096040082</v>
      </c>
      <c r="AP41" s="199">
        <f t="shared" si="95"/>
        <v>618.9617802685483</v>
      </c>
      <c r="AQ41" s="196">
        <f t="shared" si="135"/>
        <v>2673.2976786527083</v>
      </c>
      <c r="AR41" s="197">
        <f t="shared" si="96"/>
        <v>664.22726729631313</v>
      </c>
      <c r="AS41" s="197">
        <f t="shared" si="96"/>
        <v>5566.1785286627219</v>
      </c>
      <c r="AT41" s="197">
        <f t="shared" si="96"/>
        <v>-2892.880850010014</v>
      </c>
      <c r="AU41" s="199">
        <f t="shared" si="96"/>
        <v>-2228.6535827137004</v>
      </c>
      <c r="AV41" s="197"/>
      <c r="AX41" s="204">
        <f t="shared" si="136"/>
        <v>4</v>
      </c>
      <c r="AY41" s="197">
        <f>'Energy NPV'!$D94</f>
        <v>15.733333333333334</v>
      </c>
      <c r="AZ41" s="197">
        <f>'Energy margins'!$Z$12</f>
        <v>72</v>
      </c>
      <c r="BA41" s="197">
        <f t="shared" si="137"/>
        <v>1132.8000000000002</v>
      </c>
      <c r="BB41" s="197">
        <f>'Margins summary'!$W$14</f>
        <v>175.95</v>
      </c>
      <c r="BC41" s="197">
        <f t="shared" si="97"/>
        <v>1308.7500000000002</v>
      </c>
      <c r="BD41" s="197"/>
      <c r="BE41" s="918">
        <f>'Energy NPV'!U94</f>
        <v>408.3347839999999</v>
      </c>
      <c r="BF41" s="197"/>
      <c r="BG41" s="197">
        <f t="shared" si="98"/>
        <v>204.16739199999995</v>
      </c>
      <c r="BH41" s="197">
        <f t="shared" si="75"/>
        <v>928.63260800000023</v>
      </c>
      <c r="BI41" s="197">
        <f t="shared" si="76"/>
        <v>1104.5826080000002</v>
      </c>
      <c r="BJ41" s="196">
        <f t="shared" si="99"/>
        <v>1007.0550751024125</v>
      </c>
      <c r="BK41" s="197">
        <f t="shared" si="100"/>
        <v>156.41890930814745</v>
      </c>
      <c r="BL41" s="197">
        <f t="shared" si="101"/>
        <v>181.50406804733723</v>
      </c>
      <c r="BM41" s="197">
        <f t="shared" si="102"/>
        <v>825.55100705507527</v>
      </c>
      <c r="BN41" s="199">
        <f t="shared" si="103"/>
        <v>981.96991636322264</v>
      </c>
      <c r="BO41" s="196">
        <f t="shared" si="138"/>
        <v>2673.2976786527083</v>
      </c>
      <c r="BP41" s="197">
        <f t="shared" si="104"/>
        <v>664.22726729631313</v>
      </c>
      <c r="BQ41" s="197">
        <f t="shared" si="105"/>
        <v>1855.3928428875738</v>
      </c>
      <c r="BR41" s="197">
        <f t="shared" si="106"/>
        <v>817.90483576513441</v>
      </c>
      <c r="BS41" s="199">
        <f t="shared" si="107"/>
        <v>1482.1321030614477</v>
      </c>
      <c r="BT41" s="197"/>
      <c r="BV41" s="204">
        <f t="shared" si="139"/>
        <v>4</v>
      </c>
      <c r="BW41" s="197">
        <f>'Energy NPV'!$D94</f>
        <v>15.733333333333334</v>
      </c>
      <c r="BX41" s="197">
        <f>'Energy margins'!$Z$12</f>
        <v>72</v>
      </c>
      <c r="BY41" s="197">
        <f t="shared" si="140"/>
        <v>1132.8000000000002</v>
      </c>
      <c r="BZ41" s="197">
        <f>'Margins summary'!$W$14</f>
        <v>175.95</v>
      </c>
      <c r="CA41" s="197">
        <f t="shared" si="108"/>
        <v>1308.7500000000002</v>
      </c>
      <c r="CB41" s="197"/>
      <c r="CC41" s="918">
        <f>'Energy NPV'!U94</f>
        <v>408.3347839999999</v>
      </c>
      <c r="CD41" s="197"/>
      <c r="CE41" s="197">
        <f t="shared" si="109"/>
        <v>816.6695679999998</v>
      </c>
      <c r="CF41" s="197">
        <f t="shared" si="77"/>
        <v>316.13043200000038</v>
      </c>
      <c r="CG41" s="197">
        <f t="shared" si="78"/>
        <v>492.08043200000043</v>
      </c>
      <c r="CH41" s="196">
        <f t="shared" si="110"/>
        <v>1007.0550751024125</v>
      </c>
      <c r="CI41" s="197">
        <f t="shared" si="111"/>
        <v>156.41890930814745</v>
      </c>
      <c r="CJ41" s="197">
        <f t="shared" si="112"/>
        <v>726.01627218934891</v>
      </c>
      <c r="CK41" s="197">
        <f t="shared" si="113"/>
        <v>281.03880291306359</v>
      </c>
      <c r="CL41" s="199">
        <f t="shared" si="114"/>
        <v>437.45771222121107</v>
      </c>
      <c r="CM41" s="196">
        <f t="shared" si="141"/>
        <v>2673.2976786527083</v>
      </c>
      <c r="CN41" s="197">
        <f t="shared" si="115"/>
        <v>664.22726729631313</v>
      </c>
      <c r="CO41" s="197">
        <f t="shared" si="116"/>
        <v>7421.5713715502952</v>
      </c>
      <c r="CP41" s="197">
        <f t="shared" si="117"/>
        <v>-4748.2736928975874</v>
      </c>
      <c r="CQ41" s="199">
        <f t="shared" si="118"/>
        <v>-4084.0464256012738</v>
      </c>
      <c r="CR41" s="197"/>
      <c r="CT41" s="204">
        <f t="shared" si="142"/>
        <v>4</v>
      </c>
      <c r="CU41" s="197">
        <f>'Energy NPV'!$D94</f>
        <v>15.733333333333334</v>
      </c>
      <c r="CV41" s="197">
        <f>'Energy margins'!$Z$12</f>
        <v>72</v>
      </c>
      <c r="CW41" s="197">
        <f t="shared" si="143"/>
        <v>1132.8000000000002</v>
      </c>
      <c r="CX41" s="197">
        <f>'Margins summary'!$W$14</f>
        <v>175.95</v>
      </c>
      <c r="CY41" s="197">
        <f t="shared" si="119"/>
        <v>1308.7500000000002</v>
      </c>
      <c r="CZ41" s="197"/>
      <c r="DA41" s="918">
        <f>'Energy NPV'!U94</f>
        <v>408.3347839999999</v>
      </c>
      <c r="DB41" s="197"/>
      <c r="DC41" s="197">
        <f t="shared" si="120"/>
        <v>0</v>
      </c>
      <c r="DD41" s="197">
        <f t="shared" si="79"/>
        <v>1132.8000000000002</v>
      </c>
      <c r="DE41" s="197">
        <f t="shared" si="80"/>
        <v>1308.7500000000002</v>
      </c>
      <c r="DF41" s="196">
        <f t="shared" si="121"/>
        <v>1007.0550751024125</v>
      </c>
      <c r="DG41" s="197">
        <f t="shared" si="122"/>
        <v>156.41890930814745</v>
      </c>
      <c r="DH41" s="197">
        <f t="shared" si="123"/>
        <v>0</v>
      </c>
      <c r="DI41" s="197">
        <f t="shared" si="124"/>
        <v>1007.0550751024125</v>
      </c>
      <c r="DJ41" s="199">
        <f t="shared" si="125"/>
        <v>1163.47398441056</v>
      </c>
      <c r="DK41" s="196">
        <f t="shared" si="144"/>
        <v>2673.2976786527083</v>
      </c>
      <c r="DL41" s="197">
        <f t="shared" si="126"/>
        <v>664.22726729631313</v>
      </c>
      <c r="DM41" s="197">
        <f t="shared" si="127"/>
        <v>0</v>
      </c>
      <c r="DN41" s="197">
        <f t="shared" si="128"/>
        <v>2673.2976786527083</v>
      </c>
      <c r="DO41" s="199">
        <f t="shared" si="129"/>
        <v>3337.5249459490215</v>
      </c>
    </row>
    <row r="42" spans="2:119" x14ac:dyDescent="0.3">
      <c r="B42" s="204">
        <f t="shared" si="130"/>
        <v>5</v>
      </c>
      <c r="C42" s="197">
        <f>'Energy NPV'!$D95</f>
        <v>16.3</v>
      </c>
      <c r="D42" s="197">
        <f>'Energy margins'!$Z$12</f>
        <v>72</v>
      </c>
      <c r="E42" s="197">
        <f t="shared" si="131"/>
        <v>1173.6000000000001</v>
      </c>
      <c r="F42" s="197">
        <f>'Margins summary'!$W$14</f>
        <v>175.95</v>
      </c>
      <c r="G42" s="197">
        <f t="shared" si="81"/>
        <v>1349.5500000000002</v>
      </c>
      <c r="H42" s="197"/>
      <c r="I42" s="918">
        <f>'Energy NPV'!U95</f>
        <v>408.3347839999999</v>
      </c>
      <c r="J42" s="197"/>
      <c r="K42" s="197">
        <f t="shared" si="82"/>
        <v>408.3347839999999</v>
      </c>
      <c r="L42" s="197">
        <f t="shared" si="71"/>
        <v>765.26521600000024</v>
      </c>
      <c r="M42" s="197">
        <f t="shared" si="72"/>
        <v>941.21521600000028</v>
      </c>
      <c r="N42" s="196">
        <f t="shared" si="83"/>
        <v>1003.1981985924862</v>
      </c>
      <c r="O42" s="197">
        <f t="shared" si="84"/>
        <v>150.40279741168024</v>
      </c>
      <c r="P42" s="197">
        <f t="shared" si="85"/>
        <v>349.04628470641768</v>
      </c>
      <c r="Q42" s="197">
        <f t="shared" si="86"/>
        <v>654.15191388606854</v>
      </c>
      <c r="R42" s="199">
        <f t="shared" si="87"/>
        <v>804.55471129774878</v>
      </c>
      <c r="S42" s="196">
        <f t="shared" si="132"/>
        <v>3676.4958772451946</v>
      </c>
      <c r="T42" s="197">
        <f t="shared" si="88"/>
        <v>814.63006470799337</v>
      </c>
      <c r="U42" s="197">
        <f t="shared" si="88"/>
        <v>4059.8319704815653</v>
      </c>
      <c r="V42" s="197">
        <f t="shared" si="88"/>
        <v>-383.33609323637097</v>
      </c>
      <c r="W42" s="199">
        <f t="shared" si="88"/>
        <v>431.2939714716224</v>
      </c>
      <c r="X42" s="197"/>
      <c r="Z42" s="204">
        <f t="shared" si="133"/>
        <v>5</v>
      </c>
      <c r="AA42" s="197">
        <f>'Energy NPV'!$D95</f>
        <v>16.3</v>
      </c>
      <c r="AB42" s="197">
        <f>'Energy margins'!$Z$12</f>
        <v>72</v>
      </c>
      <c r="AC42" s="197">
        <f t="shared" si="134"/>
        <v>1173.6000000000001</v>
      </c>
      <c r="AD42" s="197">
        <f>'Margins summary'!$W$14</f>
        <v>175.95</v>
      </c>
      <c r="AE42" s="197">
        <f t="shared" si="89"/>
        <v>1349.5500000000002</v>
      </c>
      <c r="AF42" s="197"/>
      <c r="AG42" s="918">
        <f>'Energy NPV'!U95</f>
        <v>408.3347839999999</v>
      </c>
      <c r="AH42" s="197"/>
      <c r="AI42" s="197">
        <f t="shared" si="90"/>
        <v>612.50217599999985</v>
      </c>
      <c r="AJ42" s="197">
        <f t="shared" si="73"/>
        <v>561.09782400000029</v>
      </c>
      <c r="AK42" s="197">
        <f t="shared" si="74"/>
        <v>737.04782400000033</v>
      </c>
      <c r="AL42" s="196">
        <f t="shared" si="91"/>
        <v>1003.1981985924862</v>
      </c>
      <c r="AM42" s="197">
        <f t="shared" si="92"/>
        <v>150.40279741168024</v>
      </c>
      <c r="AN42" s="197">
        <f t="shared" si="93"/>
        <v>523.56942705962649</v>
      </c>
      <c r="AO42" s="197">
        <f t="shared" si="94"/>
        <v>479.62877153285967</v>
      </c>
      <c r="AP42" s="199">
        <f t="shared" si="95"/>
        <v>630.03156894453991</v>
      </c>
      <c r="AQ42" s="196">
        <f t="shared" si="135"/>
        <v>3676.4958772451946</v>
      </c>
      <c r="AR42" s="197">
        <f t="shared" si="96"/>
        <v>814.63006470799337</v>
      </c>
      <c r="AS42" s="197">
        <f t="shared" si="96"/>
        <v>6089.7479557223487</v>
      </c>
      <c r="AT42" s="197">
        <f t="shared" si="96"/>
        <v>-2413.2520784771541</v>
      </c>
      <c r="AU42" s="199">
        <f t="shared" si="96"/>
        <v>-1598.6220137691605</v>
      </c>
      <c r="AV42" s="197"/>
      <c r="AX42" s="204">
        <f t="shared" si="136"/>
        <v>5</v>
      </c>
      <c r="AY42" s="197">
        <f>'Energy NPV'!$D95</f>
        <v>16.3</v>
      </c>
      <c r="AZ42" s="197">
        <f>'Energy margins'!$Z$12</f>
        <v>72</v>
      </c>
      <c r="BA42" s="197">
        <f t="shared" si="137"/>
        <v>1173.6000000000001</v>
      </c>
      <c r="BB42" s="197">
        <f>'Margins summary'!$W$14</f>
        <v>175.95</v>
      </c>
      <c r="BC42" s="197">
        <f t="shared" si="97"/>
        <v>1349.5500000000002</v>
      </c>
      <c r="BD42" s="197"/>
      <c r="BE42" s="918">
        <f>'Energy NPV'!U95</f>
        <v>408.3347839999999</v>
      </c>
      <c r="BF42" s="197"/>
      <c r="BG42" s="197">
        <f t="shared" si="98"/>
        <v>204.16739199999995</v>
      </c>
      <c r="BH42" s="197">
        <f t="shared" si="75"/>
        <v>969.43260800000019</v>
      </c>
      <c r="BI42" s="197">
        <f t="shared" si="76"/>
        <v>1145.3826080000003</v>
      </c>
      <c r="BJ42" s="196">
        <f t="shared" si="99"/>
        <v>1003.1981985924862</v>
      </c>
      <c r="BK42" s="197">
        <f t="shared" si="100"/>
        <v>150.40279741168024</v>
      </c>
      <c r="BL42" s="197">
        <f t="shared" si="101"/>
        <v>174.52314235320884</v>
      </c>
      <c r="BM42" s="197">
        <f t="shared" si="102"/>
        <v>828.6750562392773</v>
      </c>
      <c r="BN42" s="199">
        <f t="shared" si="103"/>
        <v>979.07785365095776</v>
      </c>
      <c r="BO42" s="196">
        <f t="shared" si="138"/>
        <v>3676.4958772451946</v>
      </c>
      <c r="BP42" s="197">
        <f t="shared" si="104"/>
        <v>814.63006470799337</v>
      </c>
      <c r="BQ42" s="197">
        <f t="shared" si="105"/>
        <v>2029.9159852407827</v>
      </c>
      <c r="BR42" s="197">
        <f t="shared" si="106"/>
        <v>1646.5798920044117</v>
      </c>
      <c r="BS42" s="199">
        <f t="shared" si="107"/>
        <v>2461.2099567124055</v>
      </c>
      <c r="BT42" s="197"/>
      <c r="BV42" s="204">
        <f t="shared" si="139"/>
        <v>5</v>
      </c>
      <c r="BW42" s="197">
        <f>'Energy NPV'!$D95</f>
        <v>16.3</v>
      </c>
      <c r="BX42" s="197">
        <f>'Energy margins'!$Z$12</f>
        <v>72</v>
      </c>
      <c r="BY42" s="197">
        <f t="shared" si="140"/>
        <v>1173.6000000000001</v>
      </c>
      <c r="BZ42" s="197">
        <f>'Margins summary'!$W$14</f>
        <v>175.95</v>
      </c>
      <c r="CA42" s="197">
        <f t="shared" si="108"/>
        <v>1349.5500000000002</v>
      </c>
      <c r="CB42" s="197"/>
      <c r="CC42" s="918">
        <f>'Energy NPV'!U95</f>
        <v>408.3347839999999</v>
      </c>
      <c r="CD42" s="197"/>
      <c r="CE42" s="197">
        <f t="shared" si="109"/>
        <v>816.6695679999998</v>
      </c>
      <c r="CF42" s="197">
        <f t="shared" si="77"/>
        <v>356.93043200000034</v>
      </c>
      <c r="CG42" s="197">
        <f t="shared" si="78"/>
        <v>532.88043200000038</v>
      </c>
      <c r="CH42" s="196">
        <f t="shared" si="110"/>
        <v>1003.1981985924862</v>
      </c>
      <c r="CI42" s="197">
        <f t="shared" si="111"/>
        <v>150.40279741168024</v>
      </c>
      <c r="CJ42" s="197">
        <f t="shared" si="112"/>
        <v>698.09256941283536</v>
      </c>
      <c r="CK42" s="197">
        <f t="shared" si="113"/>
        <v>305.1056291796508</v>
      </c>
      <c r="CL42" s="199">
        <f t="shared" si="114"/>
        <v>455.5084265913311</v>
      </c>
      <c r="CM42" s="196">
        <f t="shared" si="141"/>
        <v>3676.4958772451946</v>
      </c>
      <c r="CN42" s="197">
        <f t="shared" si="115"/>
        <v>814.63006470799337</v>
      </c>
      <c r="CO42" s="197">
        <f t="shared" si="116"/>
        <v>8119.6639409631307</v>
      </c>
      <c r="CP42" s="197">
        <f t="shared" si="117"/>
        <v>-4443.1680637179361</v>
      </c>
      <c r="CQ42" s="199">
        <f t="shared" si="118"/>
        <v>-3628.5379990099427</v>
      </c>
      <c r="CR42" s="197"/>
      <c r="CT42" s="204">
        <f t="shared" si="142"/>
        <v>5</v>
      </c>
      <c r="CU42" s="197">
        <f>'Energy NPV'!$D95</f>
        <v>16.3</v>
      </c>
      <c r="CV42" s="197">
        <f>'Energy margins'!$Z$12</f>
        <v>72</v>
      </c>
      <c r="CW42" s="197">
        <f t="shared" si="143"/>
        <v>1173.6000000000001</v>
      </c>
      <c r="CX42" s="197">
        <f>'Margins summary'!$W$14</f>
        <v>175.95</v>
      </c>
      <c r="CY42" s="197">
        <f t="shared" si="119"/>
        <v>1349.5500000000002</v>
      </c>
      <c r="CZ42" s="197"/>
      <c r="DA42" s="918">
        <f>'Energy NPV'!U95</f>
        <v>408.3347839999999</v>
      </c>
      <c r="DB42" s="197"/>
      <c r="DC42" s="197">
        <f t="shared" si="120"/>
        <v>0</v>
      </c>
      <c r="DD42" s="197">
        <f t="shared" si="79"/>
        <v>1173.6000000000001</v>
      </c>
      <c r="DE42" s="197">
        <f t="shared" si="80"/>
        <v>1349.5500000000002</v>
      </c>
      <c r="DF42" s="196">
        <f t="shared" si="121"/>
        <v>1003.1981985924862</v>
      </c>
      <c r="DG42" s="197">
        <f t="shared" si="122"/>
        <v>150.40279741168024</v>
      </c>
      <c r="DH42" s="197">
        <f t="shared" si="123"/>
        <v>0</v>
      </c>
      <c r="DI42" s="197">
        <f t="shared" si="124"/>
        <v>1003.1981985924862</v>
      </c>
      <c r="DJ42" s="199">
        <f t="shared" si="125"/>
        <v>1153.6009960041665</v>
      </c>
      <c r="DK42" s="196">
        <f t="shared" si="144"/>
        <v>3676.4958772451946</v>
      </c>
      <c r="DL42" s="197">
        <f t="shared" si="126"/>
        <v>814.63006470799337</v>
      </c>
      <c r="DM42" s="197">
        <f t="shared" si="127"/>
        <v>0</v>
      </c>
      <c r="DN42" s="197">
        <f t="shared" si="128"/>
        <v>3676.4958772451946</v>
      </c>
      <c r="DO42" s="199">
        <f t="shared" si="129"/>
        <v>4491.125941953188</v>
      </c>
    </row>
    <row r="43" spans="2:119" x14ac:dyDescent="0.3">
      <c r="B43" s="204">
        <f t="shared" si="130"/>
        <v>6</v>
      </c>
      <c r="C43" s="197">
        <f>'Energy NPV'!$D96</f>
        <v>16.3</v>
      </c>
      <c r="D43" s="197">
        <f>'Energy margins'!$Z$12</f>
        <v>72</v>
      </c>
      <c r="E43" s="197">
        <f t="shared" si="131"/>
        <v>1173.6000000000001</v>
      </c>
      <c r="F43" s="197">
        <f>'Margins summary'!$W$14</f>
        <v>175.95</v>
      </c>
      <c r="G43" s="197">
        <f t="shared" si="81"/>
        <v>1349.5500000000002</v>
      </c>
      <c r="H43" s="197"/>
      <c r="I43" s="918">
        <f>'Energy NPV'!U96</f>
        <v>408.3347839999999</v>
      </c>
      <c r="J43" s="197"/>
      <c r="K43" s="197">
        <f t="shared" si="82"/>
        <v>408.3347839999999</v>
      </c>
      <c r="L43" s="197">
        <f t="shared" si="71"/>
        <v>765.26521600000024</v>
      </c>
      <c r="M43" s="197">
        <f t="shared" si="72"/>
        <v>941.21521600000028</v>
      </c>
      <c r="N43" s="196">
        <f t="shared" si="83"/>
        <v>964.61365249277503</v>
      </c>
      <c r="O43" s="197">
        <f t="shared" si="84"/>
        <v>144.61807443430789</v>
      </c>
      <c r="P43" s="197">
        <f t="shared" si="85"/>
        <v>335.62142760232467</v>
      </c>
      <c r="Q43" s="197">
        <f t="shared" si="86"/>
        <v>628.99222489045042</v>
      </c>
      <c r="R43" s="199">
        <f t="shared" si="87"/>
        <v>773.61029932475833</v>
      </c>
      <c r="S43" s="196">
        <f t="shared" si="132"/>
        <v>4641.1095297379698</v>
      </c>
      <c r="T43" s="197">
        <f t="shared" si="88"/>
        <v>959.24813914230128</v>
      </c>
      <c r="U43" s="197">
        <f t="shared" si="88"/>
        <v>4395.4533980838896</v>
      </c>
      <c r="V43" s="197">
        <f t="shared" si="88"/>
        <v>245.65613165407945</v>
      </c>
      <c r="W43" s="199">
        <f t="shared" si="88"/>
        <v>1204.9042707963808</v>
      </c>
      <c r="X43" s="197"/>
      <c r="Z43" s="204">
        <f t="shared" si="133"/>
        <v>6</v>
      </c>
      <c r="AA43" s="197">
        <f>'Energy NPV'!$D96</f>
        <v>16.3</v>
      </c>
      <c r="AB43" s="197">
        <f>'Energy margins'!$Z$12</f>
        <v>72</v>
      </c>
      <c r="AC43" s="197">
        <f t="shared" si="134"/>
        <v>1173.6000000000001</v>
      </c>
      <c r="AD43" s="197">
        <f>'Margins summary'!$W$14</f>
        <v>175.95</v>
      </c>
      <c r="AE43" s="197">
        <f t="shared" si="89"/>
        <v>1349.5500000000002</v>
      </c>
      <c r="AF43" s="197"/>
      <c r="AG43" s="918">
        <f>'Energy NPV'!U96</f>
        <v>408.3347839999999</v>
      </c>
      <c r="AH43" s="197"/>
      <c r="AI43" s="197">
        <f t="shared" si="90"/>
        <v>612.50217599999985</v>
      </c>
      <c r="AJ43" s="197">
        <f t="shared" si="73"/>
        <v>561.09782400000029</v>
      </c>
      <c r="AK43" s="197">
        <f t="shared" si="74"/>
        <v>737.04782400000033</v>
      </c>
      <c r="AL43" s="196">
        <f t="shared" si="91"/>
        <v>964.61365249277503</v>
      </c>
      <c r="AM43" s="197">
        <f t="shared" si="92"/>
        <v>144.61807443430789</v>
      </c>
      <c r="AN43" s="197">
        <f t="shared" si="93"/>
        <v>503.43214140348698</v>
      </c>
      <c r="AO43" s="197">
        <f t="shared" si="94"/>
        <v>461.18151108928805</v>
      </c>
      <c r="AP43" s="199">
        <f t="shared" si="95"/>
        <v>605.79958552359597</v>
      </c>
      <c r="AQ43" s="196">
        <f t="shared" si="135"/>
        <v>4641.1095297379698</v>
      </c>
      <c r="AR43" s="197">
        <f t="shared" si="96"/>
        <v>959.24813914230128</v>
      </c>
      <c r="AS43" s="197">
        <f t="shared" si="96"/>
        <v>6593.1800971258353</v>
      </c>
      <c r="AT43" s="197">
        <f t="shared" si="96"/>
        <v>-1952.070567387866</v>
      </c>
      <c r="AU43" s="199">
        <f t="shared" si="96"/>
        <v>-992.82242824556454</v>
      </c>
      <c r="AV43" s="197"/>
      <c r="AX43" s="204">
        <f t="shared" si="136"/>
        <v>6</v>
      </c>
      <c r="AY43" s="197">
        <f>'Energy NPV'!$D96</f>
        <v>16.3</v>
      </c>
      <c r="AZ43" s="197">
        <f>'Energy margins'!$Z$12</f>
        <v>72</v>
      </c>
      <c r="BA43" s="197">
        <f t="shared" si="137"/>
        <v>1173.6000000000001</v>
      </c>
      <c r="BB43" s="197">
        <f>'Margins summary'!$W$14</f>
        <v>175.95</v>
      </c>
      <c r="BC43" s="197">
        <f t="shared" si="97"/>
        <v>1349.5500000000002</v>
      </c>
      <c r="BD43" s="197"/>
      <c r="BE43" s="918">
        <f>'Energy NPV'!U96</f>
        <v>408.3347839999999</v>
      </c>
      <c r="BF43" s="197"/>
      <c r="BG43" s="197">
        <f t="shared" si="98"/>
        <v>204.16739199999995</v>
      </c>
      <c r="BH43" s="197">
        <f t="shared" si="75"/>
        <v>969.43260800000019</v>
      </c>
      <c r="BI43" s="197">
        <f t="shared" si="76"/>
        <v>1145.3826080000003</v>
      </c>
      <c r="BJ43" s="196">
        <f t="shared" si="99"/>
        <v>964.61365249277503</v>
      </c>
      <c r="BK43" s="197">
        <f t="shared" si="100"/>
        <v>144.61807443430789</v>
      </c>
      <c r="BL43" s="197">
        <f t="shared" si="101"/>
        <v>167.81071380116234</v>
      </c>
      <c r="BM43" s="197">
        <f t="shared" si="102"/>
        <v>796.80293869161278</v>
      </c>
      <c r="BN43" s="199">
        <f t="shared" si="103"/>
        <v>941.42101312592081</v>
      </c>
      <c r="BO43" s="196">
        <f t="shared" si="138"/>
        <v>4641.1095297379698</v>
      </c>
      <c r="BP43" s="197">
        <f t="shared" si="104"/>
        <v>959.24813914230128</v>
      </c>
      <c r="BQ43" s="197">
        <f t="shared" si="105"/>
        <v>2197.7266990419448</v>
      </c>
      <c r="BR43" s="197">
        <f t="shared" si="106"/>
        <v>2443.3828306960245</v>
      </c>
      <c r="BS43" s="199">
        <f t="shared" si="107"/>
        <v>3402.6309698383266</v>
      </c>
      <c r="BT43" s="197"/>
      <c r="BV43" s="204">
        <f t="shared" si="139"/>
        <v>6</v>
      </c>
      <c r="BW43" s="197">
        <f>'Energy NPV'!$D96</f>
        <v>16.3</v>
      </c>
      <c r="BX43" s="197">
        <f>'Energy margins'!$Z$12</f>
        <v>72</v>
      </c>
      <c r="BY43" s="197">
        <f t="shared" si="140"/>
        <v>1173.6000000000001</v>
      </c>
      <c r="BZ43" s="197">
        <f>'Margins summary'!$W$14</f>
        <v>175.95</v>
      </c>
      <c r="CA43" s="197">
        <f t="shared" si="108"/>
        <v>1349.5500000000002</v>
      </c>
      <c r="CB43" s="197"/>
      <c r="CC43" s="918">
        <f>'Energy NPV'!U96</f>
        <v>408.3347839999999</v>
      </c>
      <c r="CD43" s="197"/>
      <c r="CE43" s="197">
        <f t="shared" si="109"/>
        <v>816.6695679999998</v>
      </c>
      <c r="CF43" s="197">
        <f t="shared" si="77"/>
        <v>356.93043200000034</v>
      </c>
      <c r="CG43" s="197">
        <f t="shared" si="78"/>
        <v>532.88043200000038</v>
      </c>
      <c r="CH43" s="196">
        <f t="shared" si="110"/>
        <v>964.61365249277503</v>
      </c>
      <c r="CI43" s="197">
        <f t="shared" si="111"/>
        <v>144.61807443430789</v>
      </c>
      <c r="CJ43" s="197">
        <f t="shared" si="112"/>
        <v>671.24285520464935</v>
      </c>
      <c r="CK43" s="197">
        <f t="shared" si="113"/>
        <v>293.37079728812574</v>
      </c>
      <c r="CL43" s="199">
        <f t="shared" si="114"/>
        <v>437.98887172243366</v>
      </c>
      <c r="CM43" s="196">
        <f t="shared" si="141"/>
        <v>4641.1095297379698</v>
      </c>
      <c r="CN43" s="197">
        <f t="shared" si="115"/>
        <v>959.24813914230128</v>
      </c>
      <c r="CO43" s="197">
        <f t="shared" si="116"/>
        <v>8790.9067961677792</v>
      </c>
      <c r="CP43" s="197">
        <f t="shared" si="117"/>
        <v>-4149.7972664298104</v>
      </c>
      <c r="CQ43" s="199">
        <f t="shared" si="118"/>
        <v>-3190.5491272875092</v>
      </c>
      <c r="CR43" s="197"/>
      <c r="CT43" s="204">
        <f t="shared" si="142"/>
        <v>6</v>
      </c>
      <c r="CU43" s="197">
        <f>'Energy NPV'!$D96</f>
        <v>16.3</v>
      </c>
      <c r="CV43" s="197">
        <f>'Energy margins'!$Z$12</f>
        <v>72</v>
      </c>
      <c r="CW43" s="197">
        <f t="shared" si="143"/>
        <v>1173.6000000000001</v>
      </c>
      <c r="CX43" s="197">
        <f>'Margins summary'!$W$14</f>
        <v>175.95</v>
      </c>
      <c r="CY43" s="197">
        <f t="shared" si="119"/>
        <v>1349.5500000000002</v>
      </c>
      <c r="CZ43" s="197"/>
      <c r="DA43" s="918">
        <f>'Energy NPV'!U96</f>
        <v>408.3347839999999</v>
      </c>
      <c r="DB43" s="197"/>
      <c r="DC43" s="197">
        <f t="shared" si="120"/>
        <v>0</v>
      </c>
      <c r="DD43" s="197">
        <f t="shared" si="79"/>
        <v>1173.6000000000001</v>
      </c>
      <c r="DE43" s="197">
        <f t="shared" si="80"/>
        <v>1349.5500000000002</v>
      </c>
      <c r="DF43" s="196">
        <f t="shared" si="121"/>
        <v>964.61365249277503</v>
      </c>
      <c r="DG43" s="197">
        <f t="shared" si="122"/>
        <v>144.61807443430789</v>
      </c>
      <c r="DH43" s="197">
        <f t="shared" si="123"/>
        <v>0</v>
      </c>
      <c r="DI43" s="197">
        <f t="shared" si="124"/>
        <v>964.61365249277503</v>
      </c>
      <c r="DJ43" s="199">
        <f t="shared" si="125"/>
        <v>1109.2317269270829</v>
      </c>
      <c r="DK43" s="196">
        <f t="shared" si="144"/>
        <v>4641.1095297379698</v>
      </c>
      <c r="DL43" s="197">
        <f t="shared" si="126"/>
        <v>959.24813914230128</v>
      </c>
      <c r="DM43" s="197">
        <f t="shared" si="127"/>
        <v>0</v>
      </c>
      <c r="DN43" s="197">
        <f t="shared" si="128"/>
        <v>4641.1095297379698</v>
      </c>
      <c r="DO43" s="199">
        <f t="shared" si="129"/>
        <v>5600.3576688802714</v>
      </c>
    </row>
    <row r="44" spans="2:119" x14ac:dyDescent="0.3">
      <c r="B44" s="204">
        <f t="shared" si="130"/>
        <v>7</v>
      </c>
      <c r="C44" s="197">
        <f>'Energy NPV'!$D97</f>
        <v>16.3</v>
      </c>
      <c r="D44" s="197">
        <f>'Energy margins'!$Z$12</f>
        <v>72</v>
      </c>
      <c r="E44" s="197">
        <f t="shared" si="131"/>
        <v>1173.6000000000001</v>
      </c>
      <c r="F44" s="197">
        <f>'Margins summary'!$W$14</f>
        <v>175.95</v>
      </c>
      <c r="G44" s="197">
        <f t="shared" si="81"/>
        <v>1349.5500000000002</v>
      </c>
      <c r="H44" s="197"/>
      <c r="I44" s="918">
        <f>'Energy NPV'!U97</f>
        <v>408.3347839999999</v>
      </c>
      <c r="J44" s="197"/>
      <c r="K44" s="197">
        <f t="shared" si="82"/>
        <v>408.3347839999999</v>
      </c>
      <c r="L44" s="197">
        <f t="shared" si="71"/>
        <v>765.26521600000024</v>
      </c>
      <c r="M44" s="197">
        <f t="shared" si="72"/>
        <v>941.21521600000028</v>
      </c>
      <c r="N44" s="196">
        <f t="shared" si="83"/>
        <v>927.51312739689911</v>
      </c>
      <c r="O44" s="197">
        <f t="shared" si="84"/>
        <v>139.05584080221914</v>
      </c>
      <c r="P44" s="197">
        <f t="shared" si="85"/>
        <v>322.71291115608142</v>
      </c>
      <c r="Q44" s="197">
        <f t="shared" si="86"/>
        <v>604.80021624081769</v>
      </c>
      <c r="R44" s="199">
        <f t="shared" si="87"/>
        <v>743.85605704303691</v>
      </c>
      <c r="S44" s="196">
        <f t="shared" si="132"/>
        <v>5568.6226571348689</v>
      </c>
      <c r="T44" s="197">
        <f t="shared" si="88"/>
        <v>1098.3039799445205</v>
      </c>
      <c r="U44" s="197">
        <f t="shared" si="88"/>
        <v>4718.1663092399713</v>
      </c>
      <c r="V44" s="197">
        <f t="shared" si="88"/>
        <v>850.45634789489714</v>
      </c>
      <c r="W44" s="199">
        <f t="shared" si="88"/>
        <v>1948.7603278394176</v>
      </c>
      <c r="X44" s="197"/>
      <c r="Z44" s="204">
        <f t="shared" si="133"/>
        <v>7</v>
      </c>
      <c r="AA44" s="197">
        <f>'Energy NPV'!$D97</f>
        <v>16.3</v>
      </c>
      <c r="AB44" s="197">
        <f>'Energy margins'!$Z$12</f>
        <v>72</v>
      </c>
      <c r="AC44" s="197">
        <f t="shared" si="134"/>
        <v>1173.6000000000001</v>
      </c>
      <c r="AD44" s="197">
        <f>'Margins summary'!$W$14</f>
        <v>175.95</v>
      </c>
      <c r="AE44" s="197">
        <f t="shared" si="89"/>
        <v>1349.5500000000002</v>
      </c>
      <c r="AF44" s="197"/>
      <c r="AG44" s="918">
        <f>'Energy NPV'!U97</f>
        <v>408.3347839999999</v>
      </c>
      <c r="AH44" s="197"/>
      <c r="AI44" s="197">
        <f t="shared" si="90"/>
        <v>612.50217599999985</v>
      </c>
      <c r="AJ44" s="197">
        <f t="shared" si="73"/>
        <v>561.09782400000029</v>
      </c>
      <c r="AK44" s="197">
        <f t="shared" si="74"/>
        <v>737.04782400000033</v>
      </c>
      <c r="AL44" s="196">
        <f t="shared" si="91"/>
        <v>927.51312739689911</v>
      </c>
      <c r="AM44" s="197">
        <f t="shared" si="92"/>
        <v>139.05584080221914</v>
      </c>
      <c r="AN44" s="197">
        <f t="shared" si="93"/>
        <v>484.06936673412213</v>
      </c>
      <c r="AO44" s="197">
        <f t="shared" si="94"/>
        <v>443.44376066277698</v>
      </c>
      <c r="AP44" s="199">
        <f t="shared" si="95"/>
        <v>582.4996014649962</v>
      </c>
      <c r="AQ44" s="196">
        <f t="shared" si="135"/>
        <v>5568.6226571348689</v>
      </c>
      <c r="AR44" s="197">
        <f t="shared" si="96"/>
        <v>1098.3039799445205</v>
      </c>
      <c r="AS44" s="197">
        <f t="shared" si="96"/>
        <v>7077.2494638599574</v>
      </c>
      <c r="AT44" s="197">
        <f t="shared" si="96"/>
        <v>-1508.626806725089</v>
      </c>
      <c r="AU44" s="199">
        <f t="shared" si="96"/>
        <v>-410.32282678056833</v>
      </c>
      <c r="AV44" s="197"/>
      <c r="AX44" s="204">
        <f t="shared" si="136"/>
        <v>7</v>
      </c>
      <c r="AY44" s="197">
        <f>'Energy NPV'!$D97</f>
        <v>16.3</v>
      </c>
      <c r="AZ44" s="197">
        <f>'Energy margins'!$Z$12</f>
        <v>72</v>
      </c>
      <c r="BA44" s="197">
        <f t="shared" si="137"/>
        <v>1173.6000000000001</v>
      </c>
      <c r="BB44" s="197">
        <f>'Margins summary'!$W$14</f>
        <v>175.95</v>
      </c>
      <c r="BC44" s="197">
        <f t="shared" si="97"/>
        <v>1349.5500000000002</v>
      </c>
      <c r="BD44" s="197"/>
      <c r="BE44" s="918">
        <f>'Energy NPV'!U97</f>
        <v>408.3347839999999</v>
      </c>
      <c r="BF44" s="197"/>
      <c r="BG44" s="197">
        <f t="shared" si="98"/>
        <v>204.16739199999995</v>
      </c>
      <c r="BH44" s="197">
        <f t="shared" si="75"/>
        <v>969.43260800000019</v>
      </c>
      <c r="BI44" s="197">
        <f t="shared" si="76"/>
        <v>1145.3826080000003</v>
      </c>
      <c r="BJ44" s="196">
        <f t="shared" si="99"/>
        <v>927.51312739689911</v>
      </c>
      <c r="BK44" s="197">
        <f t="shared" si="100"/>
        <v>139.05584080221914</v>
      </c>
      <c r="BL44" s="197">
        <f t="shared" si="101"/>
        <v>161.35645557804071</v>
      </c>
      <c r="BM44" s="197">
        <f t="shared" si="102"/>
        <v>766.1566718188584</v>
      </c>
      <c r="BN44" s="199">
        <f t="shared" si="103"/>
        <v>905.21251262107762</v>
      </c>
      <c r="BO44" s="196">
        <f t="shared" si="138"/>
        <v>5568.6226571348689</v>
      </c>
      <c r="BP44" s="197">
        <f t="shared" si="104"/>
        <v>1098.3039799445205</v>
      </c>
      <c r="BQ44" s="197">
        <f t="shared" si="105"/>
        <v>2359.0831546199856</v>
      </c>
      <c r="BR44" s="197">
        <f t="shared" si="106"/>
        <v>3209.5395025148828</v>
      </c>
      <c r="BS44" s="199">
        <f t="shared" si="107"/>
        <v>4307.8434824594042</v>
      </c>
      <c r="BT44" s="197"/>
      <c r="BV44" s="204">
        <f t="shared" si="139"/>
        <v>7</v>
      </c>
      <c r="BW44" s="197">
        <f>'Energy NPV'!$D97</f>
        <v>16.3</v>
      </c>
      <c r="BX44" s="197">
        <f>'Energy margins'!$Z$12</f>
        <v>72</v>
      </c>
      <c r="BY44" s="197">
        <f t="shared" si="140"/>
        <v>1173.6000000000001</v>
      </c>
      <c r="BZ44" s="197">
        <f>'Margins summary'!$W$14</f>
        <v>175.95</v>
      </c>
      <c r="CA44" s="197">
        <f t="shared" si="108"/>
        <v>1349.5500000000002</v>
      </c>
      <c r="CB44" s="197"/>
      <c r="CC44" s="918">
        <f>'Energy NPV'!U97</f>
        <v>408.3347839999999</v>
      </c>
      <c r="CD44" s="197"/>
      <c r="CE44" s="197">
        <f t="shared" si="109"/>
        <v>816.6695679999998</v>
      </c>
      <c r="CF44" s="197">
        <f t="shared" si="77"/>
        <v>356.93043200000034</v>
      </c>
      <c r="CG44" s="197">
        <f t="shared" si="78"/>
        <v>532.88043200000038</v>
      </c>
      <c r="CH44" s="196">
        <f t="shared" si="110"/>
        <v>927.51312739689911</v>
      </c>
      <c r="CI44" s="197">
        <f t="shared" si="111"/>
        <v>139.05584080221914</v>
      </c>
      <c r="CJ44" s="197">
        <f t="shared" si="112"/>
        <v>645.42582231216284</v>
      </c>
      <c r="CK44" s="197">
        <f t="shared" si="113"/>
        <v>282.08730508473627</v>
      </c>
      <c r="CL44" s="199">
        <f t="shared" si="114"/>
        <v>421.14314588695544</v>
      </c>
      <c r="CM44" s="196">
        <f t="shared" si="141"/>
        <v>5568.6226571348689</v>
      </c>
      <c r="CN44" s="197">
        <f t="shared" si="115"/>
        <v>1098.3039799445205</v>
      </c>
      <c r="CO44" s="197">
        <f t="shared" si="116"/>
        <v>9436.3326184799425</v>
      </c>
      <c r="CP44" s="197">
        <f t="shared" si="117"/>
        <v>-3867.7099613450741</v>
      </c>
      <c r="CQ44" s="199">
        <f t="shared" si="118"/>
        <v>-2769.4059814005536</v>
      </c>
      <c r="CR44" s="197"/>
      <c r="CT44" s="204">
        <f t="shared" si="142"/>
        <v>7</v>
      </c>
      <c r="CU44" s="197">
        <f>'Energy NPV'!$D97</f>
        <v>16.3</v>
      </c>
      <c r="CV44" s="197">
        <f>'Energy margins'!$Z$12</f>
        <v>72</v>
      </c>
      <c r="CW44" s="197">
        <f t="shared" si="143"/>
        <v>1173.6000000000001</v>
      </c>
      <c r="CX44" s="197">
        <f>'Margins summary'!$W$14</f>
        <v>175.95</v>
      </c>
      <c r="CY44" s="197">
        <f t="shared" si="119"/>
        <v>1349.5500000000002</v>
      </c>
      <c r="CZ44" s="197"/>
      <c r="DA44" s="918">
        <f>'Energy NPV'!U97</f>
        <v>408.3347839999999</v>
      </c>
      <c r="DB44" s="197"/>
      <c r="DC44" s="197">
        <f t="shared" si="120"/>
        <v>0</v>
      </c>
      <c r="DD44" s="197">
        <f t="shared" si="79"/>
        <v>1173.6000000000001</v>
      </c>
      <c r="DE44" s="197">
        <f t="shared" si="80"/>
        <v>1349.5500000000002</v>
      </c>
      <c r="DF44" s="196">
        <f t="shared" si="121"/>
        <v>927.51312739689911</v>
      </c>
      <c r="DG44" s="197">
        <f t="shared" si="122"/>
        <v>139.05584080221914</v>
      </c>
      <c r="DH44" s="197">
        <f t="shared" si="123"/>
        <v>0</v>
      </c>
      <c r="DI44" s="197">
        <f t="shared" si="124"/>
        <v>927.51312739689911</v>
      </c>
      <c r="DJ44" s="199">
        <f t="shared" si="125"/>
        <v>1066.5689681991182</v>
      </c>
      <c r="DK44" s="196">
        <f t="shared" si="144"/>
        <v>5568.6226571348689</v>
      </c>
      <c r="DL44" s="197">
        <f t="shared" si="126"/>
        <v>1098.3039799445205</v>
      </c>
      <c r="DM44" s="197">
        <f t="shared" si="127"/>
        <v>0</v>
      </c>
      <c r="DN44" s="197">
        <f t="shared" si="128"/>
        <v>5568.6226571348689</v>
      </c>
      <c r="DO44" s="199">
        <f t="shared" si="129"/>
        <v>6666.9266370793894</v>
      </c>
    </row>
    <row r="45" spans="2:119" x14ac:dyDescent="0.3">
      <c r="B45" s="204">
        <f t="shared" si="130"/>
        <v>8</v>
      </c>
      <c r="C45" s="197">
        <f>'Energy NPV'!$D98</f>
        <v>16.3</v>
      </c>
      <c r="D45" s="197">
        <f>'Energy margins'!$Z$12</f>
        <v>72</v>
      </c>
      <c r="E45" s="197">
        <f t="shared" si="131"/>
        <v>1173.6000000000001</v>
      </c>
      <c r="F45" s="197">
        <f>'Margins summary'!$W$14</f>
        <v>175.95</v>
      </c>
      <c r="G45" s="197">
        <f t="shared" si="81"/>
        <v>1349.5500000000002</v>
      </c>
      <c r="H45" s="197"/>
      <c r="I45" s="918">
        <f>'Energy NPV'!U98</f>
        <v>408.3347839999999</v>
      </c>
      <c r="J45" s="197"/>
      <c r="K45" s="197">
        <f t="shared" si="82"/>
        <v>408.3347839999999</v>
      </c>
      <c r="L45" s="197">
        <f t="shared" si="71"/>
        <v>765.26521600000024</v>
      </c>
      <c r="M45" s="197">
        <f t="shared" si="72"/>
        <v>941.21521600000028</v>
      </c>
      <c r="N45" s="196">
        <f t="shared" si="83"/>
        <v>891.83954557394156</v>
      </c>
      <c r="O45" s="197">
        <f t="shared" si="84"/>
        <v>133.70753923290303</v>
      </c>
      <c r="P45" s="197">
        <f t="shared" si="85"/>
        <v>310.30087611161679</v>
      </c>
      <c r="Q45" s="197">
        <f t="shared" si="86"/>
        <v>581.53866946232472</v>
      </c>
      <c r="R45" s="199">
        <f t="shared" si="87"/>
        <v>715.24620869522778</v>
      </c>
      <c r="S45" s="196">
        <f t="shared" si="132"/>
        <v>6460.4622027088108</v>
      </c>
      <c r="T45" s="197">
        <f t="shared" si="88"/>
        <v>1232.0115191774235</v>
      </c>
      <c r="U45" s="197">
        <f t="shared" si="88"/>
        <v>5028.4671853515883</v>
      </c>
      <c r="V45" s="197">
        <f t="shared" si="88"/>
        <v>1431.995017357222</v>
      </c>
      <c r="W45" s="199">
        <f t="shared" si="88"/>
        <v>2664.0065365346454</v>
      </c>
      <c r="X45" s="197"/>
      <c r="Z45" s="204">
        <f t="shared" si="133"/>
        <v>8</v>
      </c>
      <c r="AA45" s="197">
        <f>'Energy NPV'!$D98</f>
        <v>16.3</v>
      </c>
      <c r="AB45" s="197">
        <f>'Energy margins'!$Z$12</f>
        <v>72</v>
      </c>
      <c r="AC45" s="197">
        <f t="shared" si="134"/>
        <v>1173.6000000000001</v>
      </c>
      <c r="AD45" s="197">
        <f>'Margins summary'!$W$14</f>
        <v>175.95</v>
      </c>
      <c r="AE45" s="197">
        <f t="shared" si="89"/>
        <v>1349.5500000000002</v>
      </c>
      <c r="AF45" s="197"/>
      <c r="AG45" s="918">
        <f>'Energy NPV'!U98</f>
        <v>408.3347839999999</v>
      </c>
      <c r="AH45" s="197"/>
      <c r="AI45" s="197">
        <f t="shared" si="90"/>
        <v>612.50217599999985</v>
      </c>
      <c r="AJ45" s="197">
        <f t="shared" si="73"/>
        <v>561.09782400000029</v>
      </c>
      <c r="AK45" s="197">
        <f t="shared" si="74"/>
        <v>737.04782400000033</v>
      </c>
      <c r="AL45" s="196">
        <f t="shared" si="91"/>
        <v>891.83954557394156</v>
      </c>
      <c r="AM45" s="197">
        <f t="shared" si="92"/>
        <v>133.70753923290303</v>
      </c>
      <c r="AN45" s="197">
        <f t="shared" si="93"/>
        <v>465.45131416742515</v>
      </c>
      <c r="AO45" s="197">
        <f t="shared" si="94"/>
        <v>426.38823140651641</v>
      </c>
      <c r="AP45" s="199">
        <f t="shared" si="95"/>
        <v>560.09577063941947</v>
      </c>
      <c r="AQ45" s="196">
        <f t="shared" si="135"/>
        <v>6460.4622027088108</v>
      </c>
      <c r="AR45" s="197">
        <f t="shared" si="96"/>
        <v>1232.0115191774235</v>
      </c>
      <c r="AS45" s="197">
        <f t="shared" si="96"/>
        <v>7542.7007780273825</v>
      </c>
      <c r="AT45" s="197">
        <f t="shared" si="96"/>
        <v>-1082.2385753185727</v>
      </c>
      <c r="AU45" s="199">
        <f t="shared" si="96"/>
        <v>149.77294385885114</v>
      </c>
      <c r="AV45" s="197"/>
      <c r="AX45" s="204">
        <f t="shared" si="136"/>
        <v>8</v>
      </c>
      <c r="AY45" s="197">
        <f>'Energy NPV'!$D98</f>
        <v>16.3</v>
      </c>
      <c r="AZ45" s="197">
        <f>'Energy margins'!$Z$12</f>
        <v>72</v>
      </c>
      <c r="BA45" s="197">
        <f t="shared" si="137"/>
        <v>1173.6000000000001</v>
      </c>
      <c r="BB45" s="197">
        <f>'Margins summary'!$W$14</f>
        <v>175.95</v>
      </c>
      <c r="BC45" s="197">
        <f t="shared" si="97"/>
        <v>1349.5500000000002</v>
      </c>
      <c r="BD45" s="197"/>
      <c r="BE45" s="918">
        <f>'Energy NPV'!U98</f>
        <v>408.3347839999999</v>
      </c>
      <c r="BF45" s="197"/>
      <c r="BG45" s="197">
        <f t="shared" si="98"/>
        <v>204.16739199999995</v>
      </c>
      <c r="BH45" s="197">
        <f t="shared" si="75"/>
        <v>969.43260800000019</v>
      </c>
      <c r="BI45" s="197">
        <f t="shared" si="76"/>
        <v>1145.3826080000003</v>
      </c>
      <c r="BJ45" s="196">
        <f t="shared" si="99"/>
        <v>891.83954557394156</v>
      </c>
      <c r="BK45" s="197">
        <f t="shared" si="100"/>
        <v>133.70753923290303</v>
      </c>
      <c r="BL45" s="197">
        <f t="shared" si="101"/>
        <v>155.15043805580839</v>
      </c>
      <c r="BM45" s="197">
        <f t="shared" si="102"/>
        <v>736.68910751813314</v>
      </c>
      <c r="BN45" s="199">
        <f t="shared" si="103"/>
        <v>870.39664675103631</v>
      </c>
      <c r="BO45" s="196">
        <f t="shared" si="138"/>
        <v>6460.4622027088108</v>
      </c>
      <c r="BP45" s="197">
        <f t="shared" si="104"/>
        <v>1232.0115191774235</v>
      </c>
      <c r="BQ45" s="197">
        <f t="shared" si="105"/>
        <v>2514.2335926757942</v>
      </c>
      <c r="BR45" s="197">
        <f t="shared" si="106"/>
        <v>3946.2286100330157</v>
      </c>
      <c r="BS45" s="199">
        <f t="shared" si="107"/>
        <v>5178.2401292104405</v>
      </c>
      <c r="BT45" s="197"/>
      <c r="BV45" s="204">
        <f t="shared" si="139"/>
        <v>8</v>
      </c>
      <c r="BW45" s="197">
        <f>'Energy NPV'!$D98</f>
        <v>16.3</v>
      </c>
      <c r="BX45" s="197">
        <f>'Energy margins'!$Z$12</f>
        <v>72</v>
      </c>
      <c r="BY45" s="197">
        <f t="shared" si="140"/>
        <v>1173.6000000000001</v>
      </c>
      <c r="BZ45" s="197">
        <f>'Margins summary'!$W$14</f>
        <v>175.95</v>
      </c>
      <c r="CA45" s="197">
        <f t="shared" si="108"/>
        <v>1349.5500000000002</v>
      </c>
      <c r="CB45" s="197"/>
      <c r="CC45" s="918">
        <f>'Energy NPV'!U98</f>
        <v>408.3347839999999</v>
      </c>
      <c r="CD45" s="197"/>
      <c r="CE45" s="197">
        <f t="shared" si="109"/>
        <v>816.6695679999998</v>
      </c>
      <c r="CF45" s="197">
        <f t="shared" si="77"/>
        <v>356.93043200000034</v>
      </c>
      <c r="CG45" s="197">
        <f t="shared" si="78"/>
        <v>532.88043200000038</v>
      </c>
      <c r="CH45" s="196">
        <f t="shared" si="110"/>
        <v>891.83954557394156</v>
      </c>
      <c r="CI45" s="197">
        <f t="shared" si="111"/>
        <v>133.70753923290303</v>
      </c>
      <c r="CJ45" s="197">
        <f t="shared" si="112"/>
        <v>620.60175222323358</v>
      </c>
      <c r="CK45" s="197">
        <f t="shared" si="113"/>
        <v>271.23779335070799</v>
      </c>
      <c r="CL45" s="199">
        <f t="shared" si="114"/>
        <v>404.94533258361105</v>
      </c>
      <c r="CM45" s="196">
        <f t="shared" si="141"/>
        <v>6460.4622027088108</v>
      </c>
      <c r="CN45" s="197">
        <f t="shared" si="115"/>
        <v>1232.0115191774235</v>
      </c>
      <c r="CO45" s="197">
        <f t="shared" si="116"/>
        <v>10056.934370703177</v>
      </c>
      <c r="CP45" s="197">
        <f t="shared" si="117"/>
        <v>-3596.4721679943659</v>
      </c>
      <c r="CQ45" s="199">
        <f t="shared" si="118"/>
        <v>-2364.4606488169425</v>
      </c>
      <c r="CR45" s="197"/>
      <c r="CT45" s="204">
        <f t="shared" si="142"/>
        <v>8</v>
      </c>
      <c r="CU45" s="197">
        <f>'Energy NPV'!$D98</f>
        <v>16.3</v>
      </c>
      <c r="CV45" s="197">
        <f>'Energy margins'!$Z$12</f>
        <v>72</v>
      </c>
      <c r="CW45" s="197">
        <f t="shared" si="143"/>
        <v>1173.6000000000001</v>
      </c>
      <c r="CX45" s="197">
        <f>'Margins summary'!$W$14</f>
        <v>175.95</v>
      </c>
      <c r="CY45" s="197">
        <f t="shared" si="119"/>
        <v>1349.5500000000002</v>
      </c>
      <c r="CZ45" s="197"/>
      <c r="DA45" s="918">
        <f>'Energy NPV'!U98</f>
        <v>408.3347839999999</v>
      </c>
      <c r="DB45" s="197"/>
      <c r="DC45" s="197">
        <f t="shared" si="120"/>
        <v>0</v>
      </c>
      <c r="DD45" s="197">
        <f t="shared" si="79"/>
        <v>1173.6000000000001</v>
      </c>
      <c r="DE45" s="197">
        <f t="shared" si="80"/>
        <v>1349.5500000000002</v>
      </c>
      <c r="DF45" s="196">
        <f t="shared" si="121"/>
        <v>891.83954557394156</v>
      </c>
      <c r="DG45" s="197">
        <f t="shared" si="122"/>
        <v>133.70753923290303</v>
      </c>
      <c r="DH45" s="197">
        <f t="shared" si="123"/>
        <v>0</v>
      </c>
      <c r="DI45" s="197">
        <f t="shared" si="124"/>
        <v>891.83954557394156</v>
      </c>
      <c r="DJ45" s="199">
        <f t="shared" si="125"/>
        <v>1025.5470848068446</v>
      </c>
      <c r="DK45" s="196">
        <f t="shared" si="144"/>
        <v>6460.4622027088108</v>
      </c>
      <c r="DL45" s="197">
        <f t="shared" si="126"/>
        <v>1232.0115191774235</v>
      </c>
      <c r="DM45" s="197">
        <f t="shared" si="127"/>
        <v>0</v>
      </c>
      <c r="DN45" s="197">
        <f t="shared" si="128"/>
        <v>6460.4622027088108</v>
      </c>
      <c r="DO45" s="199">
        <f t="shared" si="129"/>
        <v>7692.4737218862338</v>
      </c>
    </row>
    <row r="46" spans="2:119" x14ac:dyDescent="0.3">
      <c r="B46" s="204">
        <f t="shared" si="130"/>
        <v>9</v>
      </c>
      <c r="C46" s="197">
        <f>'Energy NPV'!$D99</f>
        <v>16.3</v>
      </c>
      <c r="D46" s="197">
        <f>'Energy margins'!$Z$12</f>
        <v>72</v>
      </c>
      <c r="E46" s="197">
        <f t="shared" si="131"/>
        <v>1173.6000000000001</v>
      </c>
      <c r="F46" s="197">
        <f>'Margins summary'!$W$14</f>
        <v>175.95</v>
      </c>
      <c r="G46" s="197">
        <f t="shared" si="81"/>
        <v>1349.5500000000002</v>
      </c>
      <c r="H46" s="197"/>
      <c r="I46" s="918">
        <f>'Energy NPV'!U99</f>
        <v>408.3347839999999</v>
      </c>
      <c r="J46" s="197"/>
      <c r="K46" s="197">
        <f t="shared" si="82"/>
        <v>408.3347839999999</v>
      </c>
      <c r="L46" s="197">
        <f t="shared" si="71"/>
        <v>765.26521600000024</v>
      </c>
      <c r="M46" s="197">
        <f t="shared" si="72"/>
        <v>941.21521600000028</v>
      </c>
      <c r="N46" s="196">
        <f t="shared" si="83"/>
        <v>857.53802459032829</v>
      </c>
      <c r="O46" s="197">
        <f t="shared" si="84"/>
        <v>128.56494157009902</v>
      </c>
      <c r="P46" s="197">
        <f t="shared" si="85"/>
        <v>298.36622703040069</v>
      </c>
      <c r="Q46" s="197">
        <f t="shared" si="86"/>
        <v>559.17179755992754</v>
      </c>
      <c r="R46" s="199">
        <f t="shared" si="87"/>
        <v>687.73673913002665</v>
      </c>
      <c r="S46" s="196">
        <f t="shared" si="132"/>
        <v>7318.0002272991387</v>
      </c>
      <c r="T46" s="197">
        <f t="shared" si="88"/>
        <v>1360.5764607475226</v>
      </c>
      <c r="U46" s="197">
        <f t="shared" si="88"/>
        <v>5326.8334123819886</v>
      </c>
      <c r="V46" s="197">
        <f t="shared" si="88"/>
        <v>1991.1668149171496</v>
      </c>
      <c r="W46" s="199">
        <f t="shared" si="88"/>
        <v>3351.7432756646722</v>
      </c>
      <c r="X46" s="197"/>
      <c r="Z46" s="204">
        <f t="shared" si="133"/>
        <v>9</v>
      </c>
      <c r="AA46" s="197">
        <f>'Energy NPV'!$D99</f>
        <v>16.3</v>
      </c>
      <c r="AB46" s="197">
        <f>'Energy margins'!$Z$12</f>
        <v>72</v>
      </c>
      <c r="AC46" s="197">
        <f t="shared" si="134"/>
        <v>1173.6000000000001</v>
      </c>
      <c r="AD46" s="197">
        <f>'Margins summary'!$W$14</f>
        <v>175.95</v>
      </c>
      <c r="AE46" s="197">
        <f t="shared" si="89"/>
        <v>1349.5500000000002</v>
      </c>
      <c r="AF46" s="197"/>
      <c r="AG46" s="918">
        <f>'Energy NPV'!U99</f>
        <v>408.3347839999999</v>
      </c>
      <c r="AH46" s="197"/>
      <c r="AI46" s="197">
        <f t="shared" si="90"/>
        <v>612.50217599999985</v>
      </c>
      <c r="AJ46" s="197">
        <f t="shared" si="73"/>
        <v>561.09782400000029</v>
      </c>
      <c r="AK46" s="197">
        <f t="shared" si="74"/>
        <v>737.04782400000033</v>
      </c>
      <c r="AL46" s="196">
        <f t="shared" si="91"/>
        <v>857.53802459032829</v>
      </c>
      <c r="AM46" s="197">
        <f t="shared" si="92"/>
        <v>128.56494157009902</v>
      </c>
      <c r="AN46" s="197">
        <f t="shared" si="93"/>
        <v>447.54934054560101</v>
      </c>
      <c r="AO46" s="197">
        <f t="shared" si="94"/>
        <v>409.98868404472722</v>
      </c>
      <c r="AP46" s="199">
        <f t="shared" si="95"/>
        <v>538.55362561482627</v>
      </c>
      <c r="AQ46" s="196">
        <f t="shared" si="135"/>
        <v>7318.0002272991387</v>
      </c>
      <c r="AR46" s="197">
        <f t="shared" si="96"/>
        <v>1360.5764607475226</v>
      </c>
      <c r="AS46" s="197">
        <f t="shared" si="96"/>
        <v>7990.2501185729834</v>
      </c>
      <c r="AT46" s="197">
        <f t="shared" si="96"/>
        <v>-672.24989127384538</v>
      </c>
      <c r="AU46" s="199">
        <f t="shared" si="96"/>
        <v>688.32656947367741</v>
      </c>
      <c r="AV46" s="197"/>
      <c r="AX46" s="204">
        <f t="shared" si="136"/>
        <v>9</v>
      </c>
      <c r="AY46" s="197">
        <f>'Energy NPV'!$D99</f>
        <v>16.3</v>
      </c>
      <c r="AZ46" s="197">
        <f>'Energy margins'!$Z$12</f>
        <v>72</v>
      </c>
      <c r="BA46" s="197">
        <f t="shared" si="137"/>
        <v>1173.6000000000001</v>
      </c>
      <c r="BB46" s="197">
        <f>'Margins summary'!$W$14</f>
        <v>175.95</v>
      </c>
      <c r="BC46" s="197">
        <f t="shared" si="97"/>
        <v>1349.5500000000002</v>
      </c>
      <c r="BD46" s="197"/>
      <c r="BE46" s="918">
        <f>'Energy NPV'!U99</f>
        <v>408.3347839999999</v>
      </c>
      <c r="BF46" s="197"/>
      <c r="BG46" s="197">
        <f t="shared" si="98"/>
        <v>204.16739199999995</v>
      </c>
      <c r="BH46" s="197">
        <f t="shared" si="75"/>
        <v>969.43260800000019</v>
      </c>
      <c r="BI46" s="197">
        <f t="shared" si="76"/>
        <v>1145.3826080000003</v>
      </c>
      <c r="BJ46" s="196">
        <f t="shared" si="99"/>
        <v>857.53802459032829</v>
      </c>
      <c r="BK46" s="197">
        <f t="shared" si="100"/>
        <v>128.56494157009902</v>
      </c>
      <c r="BL46" s="197">
        <f t="shared" si="101"/>
        <v>149.18311351520035</v>
      </c>
      <c r="BM46" s="197">
        <f t="shared" si="102"/>
        <v>708.35491107512792</v>
      </c>
      <c r="BN46" s="199">
        <f t="shared" si="103"/>
        <v>836.91985264522702</v>
      </c>
      <c r="BO46" s="196">
        <f t="shared" si="138"/>
        <v>7318.0002272991387</v>
      </c>
      <c r="BP46" s="197">
        <f t="shared" si="104"/>
        <v>1360.5764607475226</v>
      </c>
      <c r="BQ46" s="197">
        <f t="shared" si="105"/>
        <v>2663.4167061909943</v>
      </c>
      <c r="BR46" s="197">
        <f t="shared" si="106"/>
        <v>4654.5835211081439</v>
      </c>
      <c r="BS46" s="199">
        <f t="shared" si="107"/>
        <v>6015.1599818556679</v>
      </c>
      <c r="BT46" s="197"/>
      <c r="BV46" s="204">
        <f t="shared" si="139"/>
        <v>9</v>
      </c>
      <c r="BW46" s="197">
        <f>'Energy NPV'!$D99</f>
        <v>16.3</v>
      </c>
      <c r="BX46" s="197">
        <f>'Energy margins'!$Z$12</f>
        <v>72</v>
      </c>
      <c r="BY46" s="197">
        <f t="shared" si="140"/>
        <v>1173.6000000000001</v>
      </c>
      <c r="BZ46" s="197">
        <f>'Margins summary'!$W$14</f>
        <v>175.95</v>
      </c>
      <c r="CA46" s="197">
        <f t="shared" si="108"/>
        <v>1349.5500000000002</v>
      </c>
      <c r="CB46" s="197"/>
      <c r="CC46" s="918">
        <f>'Energy NPV'!U99</f>
        <v>408.3347839999999</v>
      </c>
      <c r="CD46" s="197"/>
      <c r="CE46" s="197">
        <f t="shared" si="109"/>
        <v>816.6695679999998</v>
      </c>
      <c r="CF46" s="197">
        <f t="shared" si="77"/>
        <v>356.93043200000034</v>
      </c>
      <c r="CG46" s="197">
        <f t="shared" si="78"/>
        <v>532.88043200000038</v>
      </c>
      <c r="CH46" s="196">
        <f t="shared" si="110"/>
        <v>857.53802459032829</v>
      </c>
      <c r="CI46" s="197">
        <f t="shared" si="111"/>
        <v>128.56494157009902</v>
      </c>
      <c r="CJ46" s="197">
        <f t="shared" si="112"/>
        <v>596.73245406080139</v>
      </c>
      <c r="CK46" s="197">
        <f t="shared" si="113"/>
        <v>260.8055705295269</v>
      </c>
      <c r="CL46" s="199">
        <f t="shared" si="114"/>
        <v>389.37051209962596</v>
      </c>
      <c r="CM46" s="196">
        <f t="shared" si="141"/>
        <v>7318.0002272991387</v>
      </c>
      <c r="CN46" s="197">
        <f t="shared" si="115"/>
        <v>1360.5764607475226</v>
      </c>
      <c r="CO46" s="197">
        <f t="shared" si="116"/>
        <v>10653.666824763977</v>
      </c>
      <c r="CP46" s="197">
        <f t="shared" si="117"/>
        <v>-3335.666597464839</v>
      </c>
      <c r="CQ46" s="199">
        <f t="shared" si="118"/>
        <v>-1975.0901367173165</v>
      </c>
      <c r="CR46" s="197"/>
      <c r="CT46" s="204">
        <f t="shared" si="142"/>
        <v>9</v>
      </c>
      <c r="CU46" s="197">
        <f>'Energy NPV'!$D99</f>
        <v>16.3</v>
      </c>
      <c r="CV46" s="197">
        <f>'Energy margins'!$Z$12</f>
        <v>72</v>
      </c>
      <c r="CW46" s="197">
        <f t="shared" si="143"/>
        <v>1173.6000000000001</v>
      </c>
      <c r="CX46" s="197">
        <f>'Margins summary'!$W$14</f>
        <v>175.95</v>
      </c>
      <c r="CY46" s="197">
        <f t="shared" si="119"/>
        <v>1349.5500000000002</v>
      </c>
      <c r="CZ46" s="197"/>
      <c r="DA46" s="918">
        <f>'Energy NPV'!U99</f>
        <v>408.3347839999999</v>
      </c>
      <c r="DB46" s="197"/>
      <c r="DC46" s="197">
        <f t="shared" si="120"/>
        <v>0</v>
      </c>
      <c r="DD46" s="197">
        <f t="shared" si="79"/>
        <v>1173.6000000000001</v>
      </c>
      <c r="DE46" s="197">
        <f t="shared" si="80"/>
        <v>1349.5500000000002</v>
      </c>
      <c r="DF46" s="196">
        <f t="shared" si="121"/>
        <v>857.53802459032829</v>
      </c>
      <c r="DG46" s="197">
        <f t="shared" si="122"/>
        <v>128.56494157009902</v>
      </c>
      <c r="DH46" s="197">
        <f t="shared" si="123"/>
        <v>0</v>
      </c>
      <c r="DI46" s="197">
        <f t="shared" si="124"/>
        <v>857.53802459032829</v>
      </c>
      <c r="DJ46" s="199">
        <f t="shared" si="125"/>
        <v>986.10296616042729</v>
      </c>
      <c r="DK46" s="196">
        <f t="shared" si="144"/>
        <v>7318.0002272991387</v>
      </c>
      <c r="DL46" s="197">
        <f t="shared" si="126"/>
        <v>1360.5764607475226</v>
      </c>
      <c r="DM46" s="197">
        <f t="shared" si="127"/>
        <v>0</v>
      </c>
      <c r="DN46" s="197">
        <f t="shared" si="128"/>
        <v>7318.0002272991387</v>
      </c>
      <c r="DO46" s="199">
        <f t="shared" si="129"/>
        <v>8678.5766880466617</v>
      </c>
    </row>
    <row r="47" spans="2:119" x14ac:dyDescent="0.3">
      <c r="B47" s="204">
        <f t="shared" si="130"/>
        <v>10</v>
      </c>
      <c r="C47" s="197">
        <f>'Energy NPV'!$D100</f>
        <v>16.3</v>
      </c>
      <c r="D47" s="197">
        <f>'Energy margins'!$Z$12</f>
        <v>72</v>
      </c>
      <c r="E47" s="197">
        <f t="shared" si="131"/>
        <v>1173.6000000000001</v>
      </c>
      <c r="F47" s="197">
        <f>'Margins summary'!$W$14</f>
        <v>175.95</v>
      </c>
      <c r="G47" s="197">
        <f t="shared" si="81"/>
        <v>1349.5500000000002</v>
      </c>
      <c r="H47" s="197"/>
      <c r="I47" s="918">
        <f>'Energy NPV'!U100</f>
        <v>408.3347839999999</v>
      </c>
      <c r="J47" s="197"/>
      <c r="K47" s="197">
        <f t="shared" si="82"/>
        <v>408.3347839999999</v>
      </c>
      <c r="L47" s="197">
        <f t="shared" si="71"/>
        <v>765.26521600000024</v>
      </c>
      <c r="M47" s="197">
        <f t="shared" si="72"/>
        <v>941.21521600000028</v>
      </c>
      <c r="N47" s="196">
        <f t="shared" si="83"/>
        <v>824.55579287531555</v>
      </c>
      <c r="O47" s="197">
        <f t="shared" si="84"/>
        <v>123.62013612509521</v>
      </c>
      <c r="P47" s="197">
        <f t="shared" si="85"/>
        <v>286.89060291384681</v>
      </c>
      <c r="Q47" s="197">
        <f t="shared" si="86"/>
        <v>537.66518996146874</v>
      </c>
      <c r="R47" s="199">
        <f t="shared" si="87"/>
        <v>661.28532608656406</v>
      </c>
      <c r="S47" s="196">
        <f t="shared" si="132"/>
        <v>8142.5560201744538</v>
      </c>
      <c r="T47" s="197">
        <f t="shared" si="88"/>
        <v>1484.1965968726179</v>
      </c>
      <c r="U47" s="197">
        <f t="shared" si="88"/>
        <v>5613.7240152958357</v>
      </c>
      <c r="V47" s="197">
        <f t="shared" si="88"/>
        <v>2528.8320048786181</v>
      </c>
      <c r="W47" s="199">
        <f t="shared" si="88"/>
        <v>4013.0286017512362</v>
      </c>
      <c r="X47" s="197"/>
      <c r="Z47" s="204">
        <f t="shared" si="133"/>
        <v>10</v>
      </c>
      <c r="AA47" s="197">
        <f>'Energy NPV'!$D100</f>
        <v>16.3</v>
      </c>
      <c r="AB47" s="197">
        <f>'Energy margins'!$Z$12</f>
        <v>72</v>
      </c>
      <c r="AC47" s="197">
        <f t="shared" si="134"/>
        <v>1173.6000000000001</v>
      </c>
      <c r="AD47" s="197">
        <f>'Margins summary'!$W$14</f>
        <v>175.95</v>
      </c>
      <c r="AE47" s="197">
        <f t="shared" si="89"/>
        <v>1349.5500000000002</v>
      </c>
      <c r="AF47" s="197"/>
      <c r="AG47" s="918">
        <f>'Energy NPV'!U100</f>
        <v>408.3347839999999</v>
      </c>
      <c r="AH47" s="197"/>
      <c r="AI47" s="197">
        <f t="shared" si="90"/>
        <v>612.50217599999985</v>
      </c>
      <c r="AJ47" s="197">
        <f t="shared" si="73"/>
        <v>561.09782400000029</v>
      </c>
      <c r="AK47" s="197">
        <f t="shared" si="74"/>
        <v>737.04782400000033</v>
      </c>
      <c r="AL47" s="196">
        <f t="shared" si="91"/>
        <v>824.55579287531555</v>
      </c>
      <c r="AM47" s="197">
        <f t="shared" si="92"/>
        <v>123.62013612509521</v>
      </c>
      <c r="AN47" s="197">
        <f t="shared" si="93"/>
        <v>430.33590437077021</v>
      </c>
      <c r="AO47" s="197">
        <f t="shared" si="94"/>
        <v>394.21988850454539</v>
      </c>
      <c r="AP47" s="199">
        <f t="shared" si="95"/>
        <v>517.84002462964065</v>
      </c>
      <c r="AQ47" s="196">
        <f t="shared" si="135"/>
        <v>8142.5560201744538</v>
      </c>
      <c r="AR47" s="197">
        <f t="shared" si="96"/>
        <v>1484.1965968726179</v>
      </c>
      <c r="AS47" s="197">
        <f t="shared" si="96"/>
        <v>8420.5860229437531</v>
      </c>
      <c r="AT47" s="197">
        <f t="shared" si="96"/>
        <v>-278.03000276929998</v>
      </c>
      <c r="AU47" s="199">
        <f t="shared" si="96"/>
        <v>1206.1665941033179</v>
      </c>
      <c r="AV47" s="197"/>
      <c r="AX47" s="204">
        <f t="shared" si="136"/>
        <v>10</v>
      </c>
      <c r="AY47" s="197">
        <f>'Energy NPV'!$D100</f>
        <v>16.3</v>
      </c>
      <c r="AZ47" s="197">
        <f>'Energy margins'!$Z$12</f>
        <v>72</v>
      </c>
      <c r="BA47" s="197">
        <f t="shared" si="137"/>
        <v>1173.6000000000001</v>
      </c>
      <c r="BB47" s="197">
        <f>'Margins summary'!$W$14</f>
        <v>175.95</v>
      </c>
      <c r="BC47" s="197">
        <f t="shared" si="97"/>
        <v>1349.5500000000002</v>
      </c>
      <c r="BD47" s="197"/>
      <c r="BE47" s="918">
        <f>'Energy NPV'!U100</f>
        <v>408.3347839999999</v>
      </c>
      <c r="BF47" s="197"/>
      <c r="BG47" s="197">
        <f t="shared" si="98"/>
        <v>204.16739199999995</v>
      </c>
      <c r="BH47" s="197">
        <f t="shared" si="75"/>
        <v>969.43260800000019</v>
      </c>
      <c r="BI47" s="197">
        <f t="shared" si="76"/>
        <v>1145.3826080000003</v>
      </c>
      <c r="BJ47" s="196">
        <f t="shared" si="99"/>
        <v>824.55579287531555</v>
      </c>
      <c r="BK47" s="197">
        <f t="shared" si="100"/>
        <v>123.62013612509521</v>
      </c>
      <c r="BL47" s="197">
        <f t="shared" si="101"/>
        <v>143.4453014569234</v>
      </c>
      <c r="BM47" s="197">
        <f t="shared" si="102"/>
        <v>681.11049141839214</v>
      </c>
      <c r="BN47" s="199">
        <f t="shared" si="103"/>
        <v>804.73062754348746</v>
      </c>
      <c r="BO47" s="196">
        <f t="shared" si="138"/>
        <v>8142.5560201744538</v>
      </c>
      <c r="BP47" s="197">
        <f t="shared" si="104"/>
        <v>1484.1965968726179</v>
      </c>
      <c r="BQ47" s="197">
        <f t="shared" si="105"/>
        <v>2806.8620076479178</v>
      </c>
      <c r="BR47" s="197">
        <f t="shared" si="106"/>
        <v>5335.6940125265364</v>
      </c>
      <c r="BS47" s="199">
        <f t="shared" si="107"/>
        <v>6819.8906093991554</v>
      </c>
      <c r="BT47" s="197"/>
      <c r="BV47" s="204">
        <f t="shared" si="139"/>
        <v>10</v>
      </c>
      <c r="BW47" s="197">
        <f>'Energy NPV'!$D100</f>
        <v>16.3</v>
      </c>
      <c r="BX47" s="197">
        <f>'Energy margins'!$Z$12</f>
        <v>72</v>
      </c>
      <c r="BY47" s="197">
        <f t="shared" si="140"/>
        <v>1173.6000000000001</v>
      </c>
      <c r="BZ47" s="197">
        <f>'Margins summary'!$W$14</f>
        <v>175.95</v>
      </c>
      <c r="CA47" s="197">
        <f t="shared" si="108"/>
        <v>1349.5500000000002</v>
      </c>
      <c r="CB47" s="197"/>
      <c r="CC47" s="918">
        <f>'Energy NPV'!U100</f>
        <v>408.3347839999999</v>
      </c>
      <c r="CD47" s="197"/>
      <c r="CE47" s="197">
        <f t="shared" si="109"/>
        <v>816.6695679999998</v>
      </c>
      <c r="CF47" s="197">
        <f t="shared" si="77"/>
        <v>356.93043200000034</v>
      </c>
      <c r="CG47" s="197">
        <f t="shared" si="78"/>
        <v>532.88043200000038</v>
      </c>
      <c r="CH47" s="196">
        <f t="shared" si="110"/>
        <v>824.55579287531555</v>
      </c>
      <c r="CI47" s="197">
        <f t="shared" si="111"/>
        <v>123.62013612509521</v>
      </c>
      <c r="CJ47" s="197">
        <f t="shared" si="112"/>
        <v>573.78120582769361</v>
      </c>
      <c r="CK47" s="197">
        <f t="shared" si="113"/>
        <v>250.77458704762196</v>
      </c>
      <c r="CL47" s="199">
        <f t="shared" si="114"/>
        <v>374.39472317271725</v>
      </c>
      <c r="CM47" s="196">
        <f t="shared" si="141"/>
        <v>8142.5560201744538</v>
      </c>
      <c r="CN47" s="197">
        <f t="shared" si="115"/>
        <v>1484.1965968726179</v>
      </c>
      <c r="CO47" s="197">
        <f t="shared" si="116"/>
        <v>11227.448030591671</v>
      </c>
      <c r="CP47" s="197">
        <f t="shared" si="117"/>
        <v>-3084.8920104172171</v>
      </c>
      <c r="CQ47" s="199">
        <f t="shared" si="118"/>
        <v>-1600.6954135445992</v>
      </c>
      <c r="CR47" s="197"/>
      <c r="CT47" s="204">
        <f t="shared" si="142"/>
        <v>10</v>
      </c>
      <c r="CU47" s="197">
        <f>'Energy NPV'!$D100</f>
        <v>16.3</v>
      </c>
      <c r="CV47" s="197">
        <f>'Energy margins'!$Z$12</f>
        <v>72</v>
      </c>
      <c r="CW47" s="197">
        <f t="shared" si="143"/>
        <v>1173.6000000000001</v>
      </c>
      <c r="CX47" s="197">
        <f>'Margins summary'!$W$14</f>
        <v>175.95</v>
      </c>
      <c r="CY47" s="197">
        <f t="shared" si="119"/>
        <v>1349.5500000000002</v>
      </c>
      <c r="CZ47" s="197"/>
      <c r="DA47" s="918">
        <f>'Energy NPV'!U100</f>
        <v>408.3347839999999</v>
      </c>
      <c r="DB47" s="197"/>
      <c r="DC47" s="197">
        <f t="shared" si="120"/>
        <v>0</v>
      </c>
      <c r="DD47" s="197">
        <f t="shared" si="79"/>
        <v>1173.6000000000001</v>
      </c>
      <c r="DE47" s="197">
        <f t="shared" si="80"/>
        <v>1349.5500000000002</v>
      </c>
      <c r="DF47" s="196">
        <f t="shared" si="121"/>
        <v>824.55579287531555</v>
      </c>
      <c r="DG47" s="197">
        <f t="shared" si="122"/>
        <v>123.62013612509521</v>
      </c>
      <c r="DH47" s="197">
        <f t="shared" si="123"/>
        <v>0</v>
      </c>
      <c r="DI47" s="197">
        <f t="shared" si="124"/>
        <v>824.55579287531555</v>
      </c>
      <c r="DJ47" s="199">
        <f t="shared" si="125"/>
        <v>948.17592900041086</v>
      </c>
      <c r="DK47" s="196">
        <f t="shared" si="144"/>
        <v>8142.5560201744538</v>
      </c>
      <c r="DL47" s="197">
        <f t="shared" si="126"/>
        <v>1484.1965968726179</v>
      </c>
      <c r="DM47" s="197">
        <f t="shared" si="127"/>
        <v>0</v>
      </c>
      <c r="DN47" s="197">
        <f t="shared" si="128"/>
        <v>8142.5560201744538</v>
      </c>
      <c r="DO47" s="199">
        <f t="shared" si="129"/>
        <v>9626.7526170470719</v>
      </c>
    </row>
    <row r="48" spans="2:119" x14ac:dyDescent="0.3">
      <c r="B48" s="204">
        <f t="shared" si="130"/>
        <v>11</v>
      </c>
      <c r="C48" s="197">
        <f>'Energy NPV'!$D101</f>
        <v>16.3</v>
      </c>
      <c r="D48" s="197">
        <f>'Energy margins'!$Z$12</f>
        <v>72</v>
      </c>
      <c r="E48" s="197">
        <f t="shared" si="131"/>
        <v>1173.6000000000001</v>
      </c>
      <c r="F48" s="197">
        <f>'Margins summary'!$W$14</f>
        <v>175.95</v>
      </c>
      <c r="G48" s="197">
        <f t="shared" si="81"/>
        <v>1349.5500000000002</v>
      </c>
      <c r="H48" s="197"/>
      <c r="I48" s="918">
        <f>'Energy NPV'!U101</f>
        <v>408.3347839999999</v>
      </c>
      <c r="J48" s="197"/>
      <c r="K48" s="197">
        <f t="shared" si="82"/>
        <v>408.3347839999999</v>
      </c>
      <c r="L48" s="197">
        <f t="shared" si="71"/>
        <v>765.26521600000024</v>
      </c>
      <c r="M48" s="197">
        <f t="shared" si="72"/>
        <v>941.21521600000028</v>
      </c>
      <c r="N48" s="196">
        <f t="shared" si="83"/>
        <v>792.84210853395723</v>
      </c>
      <c r="O48" s="197">
        <f t="shared" si="84"/>
        <v>118.86551550489925</v>
      </c>
      <c r="P48" s="197">
        <f t="shared" si="85"/>
        <v>275.85634895562191</v>
      </c>
      <c r="Q48" s="197">
        <f t="shared" si="86"/>
        <v>516.98575957833532</v>
      </c>
      <c r="R48" s="199">
        <f t="shared" si="87"/>
        <v>635.85127508323467</v>
      </c>
      <c r="S48" s="196">
        <f t="shared" si="132"/>
        <v>8935.3981287084116</v>
      </c>
      <c r="T48" s="197">
        <f t="shared" si="88"/>
        <v>1603.0621123775172</v>
      </c>
      <c r="U48" s="197">
        <f t="shared" si="88"/>
        <v>5889.5803642514575</v>
      </c>
      <c r="V48" s="197">
        <f t="shared" si="88"/>
        <v>3045.8177644569532</v>
      </c>
      <c r="W48" s="199">
        <f t="shared" si="88"/>
        <v>4648.8798768344714</v>
      </c>
      <c r="X48" s="197"/>
      <c r="Z48" s="204">
        <f t="shared" si="133"/>
        <v>11</v>
      </c>
      <c r="AA48" s="197">
        <f>'Energy NPV'!$D101</f>
        <v>16.3</v>
      </c>
      <c r="AB48" s="197">
        <f>'Energy margins'!$Z$12</f>
        <v>72</v>
      </c>
      <c r="AC48" s="197">
        <f t="shared" si="134"/>
        <v>1173.6000000000001</v>
      </c>
      <c r="AD48" s="197">
        <f>'Margins summary'!$W$14</f>
        <v>175.95</v>
      </c>
      <c r="AE48" s="197">
        <f t="shared" si="89"/>
        <v>1349.5500000000002</v>
      </c>
      <c r="AF48" s="197"/>
      <c r="AG48" s="918">
        <f>'Energy NPV'!U101</f>
        <v>408.3347839999999</v>
      </c>
      <c r="AH48" s="197"/>
      <c r="AI48" s="197">
        <f t="shared" si="90"/>
        <v>612.50217599999985</v>
      </c>
      <c r="AJ48" s="197">
        <f t="shared" si="73"/>
        <v>561.09782400000029</v>
      </c>
      <c r="AK48" s="197">
        <f t="shared" si="74"/>
        <v>737.04782400000033</v>
      </c>
      <c r="AL48" s="196">
        <f t="shared" si="91"/>
        <v>792.84210853395723</v>
      </c>
      <c r="AM48" s="197">
        <f t="shared" si="92"/>
        <v>118.86551550489925</v>
      </c>
      <c r="AN48" s="197">
        <f t="shared" si="93"/>
        <v>413.78452343343287</v>
      </c>
      <c r="AO48" s="197">
        <f t="shared" si="94"/>
        <v>379.05758510052442</v>
      </c>
      <c r="AP48" s="199">
        <f t="shared" si="95"/>
        <v>497.92310060542366</v>
      </c>
      <c r="AQ48" s="196">
        <f t="shared" si="135"/>
        <v>8935.3981287084116</v>
      </c>
      <c r="AR48" s="197">
        <f t="shared" si="96"/>
        <v>1603.0621123775172</v>
      </c>
      <c r="AS48" s="197">
        <f t="shared" si="96"/>
        <v>8834.3705463771857</v>
      </c>
      <c r="AT48" s="197">
        <f t="shared" si="96"/>
        <v>101.02758233122444</v>
      </c>
      <c r="AU48" s="199">
        <f t="shared" si="96"/>
        <v>1704.0896947087417</v>
      </c>
      <c r="AV48" s="197"/>
      <c r="AX48" s="204">
        <f t="shared" si="136"/>
        <v>11</v>
      </c>
      <c r="AY48" s="197">
        <f>'Energy NPV'!$D101</f>
        <v>16.3</v>
      </c>
      <c r="AZ48" s="197">
        <f>'Energy margins'!$Z$12</f>
        <v>72</v>
      </c>
      <c r="BA48" s="197">
        <f t="shared" si="137"/>
        <v>1173.6000000000001</v>
      </c>
      <c r="BB48" s="197">
        <f>'Margins summary'!$W$14</f>
        <v>175.95</v>
      </c>
      <c r="BC48" s="197">
        <f t="shared" si="97"/>
        <v>1349.5500000000002</v>
      </c>
      <c r="BD48" s="197"/>
      <c r="BE48" s="918">
        <f>'Energy NPV'!U101</f>
        <v>408.3347839999999</v>
      </c>
      <c r="BF48" s="197"/>
      <c r="BG48" s="197">
        <f t="shared" si="98"/>
        <v>204.16739199999995</v>
      </c>
      <c r="BH48" s="197">
        <f t="shared" si="75"/>
        <v>969.43260800000019</v>
      </c>
      <c r="BI48" s="197">
        <f t="shared" si="76"/>
        <v>1145.3826080000003</v>
      </c>
      <c r="BJ48" s="196">
        <f t="shared" si="99"/>
        <v>792.84210853395723</v>
      </c>
      <c r="BK48" s="197">
        <f t="shared" si="100"/>
        <v>118.86551550489925</v>
      </c>
      <c r="BL48" s="197">
        <f t="shared" si="101"/>
        <v>137.92817447781096</v>
      </c>
      <c r="BM48" s="197">
        <f t="shared" si="102"/>
        <v>654.91393405614633</v>
      </c>
      <c r="BN48" s="199">
        <f t="shared" si="103"/>
        <v>773.77944956104568</v>
      </c>
      <c r="BO48" s="196">
        <f t="shared" si="138"/>
        <v>8935.3981287084116</v>
      </c>
      <c r="BP48" s="197">
        <f t="shared" si="104"/>
        <v>1603.0621123775172</v>
      </c>
      <c r="BQ48" s="197">
        <f t="shared" si="105"/>
        <v>2944.7901821257287</v>
      </c>
      <c r="BR48" s="197">
        <f t="shared" si="106"/>
        <v>5990.6079465826824</v>
      </c>
      <c r="BS48" s="199">
        <f t="shared" si="107"/>
        <v>7593.6700589602015</v>
      </c>
      <c r="BT48" s="197"/>
      <c r="BV48" s="204">
        <f t="shared" si="139"/>
        <v>11</v>
      </c>
      <c r="BW48" s="197">
        <f>'Energy NPV'!$D101</f>
        <v>16.3</v>
      </c>
      <c r="BX48" s="197">
        <f>'Energy margins'!$Z$12</f>
        <v>72</v>
      </c>
      <c r="BY48" s="197">
        <f t="shared" si="140"/>
        <v>1173.6000000000001</v>
      </c>
      <c r="BZ48" s="197">
        <f>'Margins summary'!$W$14</f>
        <v>175.95</v>
      </c>
      <c r="CA48" s="197">
        <f t="shared" si="108"/>
        <v>1349.5500000000002</v>
      </c>
      <c r="CB48" s="197"/>
      <c r="CC48" s="918">
        <f>'Energy NPV'!U101</f>
        <v>408.3347839999999</v>
      </c>
      <c r="CD48" s="197"/>
      <c r="CE48" s="197">
        <f t="shared" si="109"/>
        <v>816.6695679999998</v>
      </c>
      <c r="CF48" s="197">
        <f t="shared" si="77"/>
        <v>356.93043200000034</v>
      </c>
      <c r="CG48" s="197">
        <f t="shared" si="78"/>
        <v>532.88043200000038</v>
      </c>
      <c r="CH48" s="196">
        <f t="shared" si="110"/>
        <v>792.84210853395723</v>
      </c>
      <c r="CI48" s="197">
        <f t="shared" si="111"/>
        <v>118.86551550489925</v>
      </c>
      <c r="CJ48" s="197">
        <f t="shared" si="112"/>
        <v>551.71269791124382</v>
      </c>
      <c r="CK48" s="197">
        <f t="shared" si="113"/>
        <v>241.12941062271344</v>
      </c>
      <c r="CL48" s="199">
        <f t="shared" si="114"/>
        <v>359.9949261276127</v>
      </c>
      <c r="CM48" s="196">
        <f t="shared" si="141"/>
        <v>8935.3981287084116</v>
      </c>
      <c r="CN48" s="197">
        <f t="shared" si="115"/>
        <v>1603.0621123775172</v>
      </c>
      <c r="CO48" s="197">
        <f t="shared" si="116"/>
        <v>11779.160728502915</v>
      </c>
      <c r="CP48" s="197">
        <f t="shared" si="117"/>
        <v>-2843.7625997945038</v>
      </c>
      <c r="CQ48" s="199">
        <f t="shared" si="118"/>
        <v>-1240.7004874169866</v>
      </c>
      <c r="CR48" s="197"/>
      <c r="CT48" s="204">
        <f t="shared" si="142"/>
        <v>11</v>
      </c>
      <c r="CU48" s="197">
        <f>'Energy NPV'!$D101</f>
        <v>16.3</v>
      </c>
      <c r="CV48" s="197">
        <f>'Energy margins'!$Z$12</f>
        <v>72</v>
      </c>
      <c r="CW48" s="197">
        <f t="shared" si="143"/>
        <v>1173.6000000000001</v>
      </c>
      <c r="CX48" s="197">
        <f>'Margins summary'!$W$14</f>
        <v>175.95</v>
      </c>
      <c r="CY48" s="197">
        <f t="shared" si="119"/>
        <v>1349.5500000000002</v>
      </c>
      <c r="CZ48" s="197"/>
      <c r="DA48" s="918">
        <f>'Energy NPV'!U101</f>
        <v>408.3347839999999</v>
      </c>
      <c r="DB48" s="197"/>
      <c r="DC48" s="197">
        <f t="shared" si="120"/>
        <v>0</v>
      </c>
      <c r="DD48" s="197">
        <f t="shared" si="79"/>
        <v>1173.6000000000001</v>
      </c>
      <c r="DE48" s="197">
        <f t="shared" si="80"/>
        <v>1349.5500000000002</v>
      </c>
      <c r="DF48" s="196">
        <f t="shared" si="121"/>
        <v>792.84210853395723</v>
      </c>
      <c r="DG48" s="197">
        <f t="shared" si="122"/>
        <v>118.86551550489925</v>
      </c>
      <c r="DH48" s="197">
        <f t="shared" si="123"/>
        <v>0</v>
      </c>
      <c r="DI48" s="197">
        <f t="shared" si="124"/>
        <v>792.84210853395723</v>
      </c>
      <c r="DJ48" s="199">
        <f t="shared" si="125"/>
        <v>911.70762403885658</v>
      </c>
      <c r="DK48" s="196">
        <f t="shared" si="144"/>
        <v>8935.3981287084116</v>
      </c>
      <c r="DL48" s="197">
        <f t="shared" si="126"/>
        <v>1603.0621123775172</v>
      </c>
      <c r="DM48" s="197">
        <f t="shared" si="127"/>
        <v>0</v>
      </c>
      <c r="DN48" s="197">
        <f t="shared" si="128"/>
        <v>8935.3981287084116</v>
      </c>
      <c r="DO48" s="199">
        <f t="shared" si="129"/>
        <v>10538.460241085928</v>
      </c>
    </row>
    <row r="49" spans="2:129" x14ac:dyDescent="0.3">
      <c r="B49" s="204">
        <f t="shared" si="130"/>
        <v>12</v>
      </c>
      <c r="C49" s="197">
        <f>'Energy NPV'!$D102</f>
        <v>16.3</v>
      </c>
      <c r="D49" s="197">
        <f>'Energy margins'!$Z$12</f>
        <v>72</v>
      </c>
      <c r="E49" s="197">
        <f t="shared" si="131"/>
        <v>1173.6000000000001</v>
      </c>
      <c r="F49" s="197">
        <f>'Margins summary'!$W$14</f>
        <v>175.95</v>
      </c>
      <c r="G49" s="197">
        <f t="shared" si="81"/>
        <v>1349.5500000000002</v>
      </c>
      <c r="H49" s="197"/>
      <c r="I49" s="918">
        <f>'Energy NPV'!U102</f>
        <v>408.3347839999999</v>
      </c>
      <c r="J49" s="197"/>
      <c r="K49" s="197">
        <f t="shared" si="82"/>
        <v>408.3347839999999</v>
      </c>
      <c r="L49" s="197">
        <f t="shared" si="71"/>
        <v>765.26521600000024</v>
      </c>
      <c r="M49" s="197">
        <f t="shared" si="72"/>
        <v>941.21521600000028</v>
      </c>
      <c r="N49" s="196">
        <f t="shared" si="83"/>
        <v>762.34818128265124</v>
      </c>
      <c r="O49" s="197">
        <f t="shared" si="84"/>
        <v>114.29376490855698</v>
      </c>
      <c r="P49" s="197">
        <f t="shared" si="85"/>
        <v>265.24648938040571</v>
      </c>
      <c r="Q49" s="197">
        <f t="shared" si="86"/>
        <v>497.10169190224559</v>
      </c>
      <c r="R49" s="199">
        <f t="shared" si="87"/>
        <v>611.39545681080256</v>
      </c>
      <c r="S49" s="196">
        <f t="shared" si="132"/>
        <v>9697.7463099910638</v>
      </c>
      <c r="T49" s="197">
        <f t="shared" si="88"/>
        <v>1717.3558772860742</v>
      </c>
      <c r="U49" s="197">
        <f t="shared" si="88"/>
        <v>6154.8268536318628</v>
      </c>
      <c r="V49" s="197">
        <f t="shared" si="88"/>
        <v>3542.9194563591986</v>
      </c>
      <c r="W49" s="199">
        <f t="shared" si="88"/>
        <v>5260.2753336452743</v>
      </c>
      <c r="X49" s="197"/>
      <c r="Z49" s="204">
        <f t="shared" si="133"/>
        <v>12</v>
      </c>
      <c r="AA49" s="197">
        <f>'Energy NPV'!$D102</f>
        <v>16.3</v>
      </c>
      <c r="AB49" s="197">
        <f>'Energy margins'!$Z$12</f>
        <v>72</v>
      </c>
      <c r="AC49" s="197">
        <f t="shared" si="134"/>
        <v>1173.6000000000001</v>
      </c>
      <c r="AD49" s="197">
        <f>'Margins summary'!$W$14</f>
        <v>175.95</v>
      </c>
      <c r="AE49" s="197">
        <f t="shared" si="89"/>
        <v>1349.5500000000002</v>
      </c>
      <c r="AF49" s="197"/>
      <c r="AG49" s="918">
        <f>'Energy NPV'!U102</f>
        <v>408.3347839999999</v>
      </c>
      <c r="AH49" s="197"/>
      <c r="AI49" s="197">
        <f t="shared" si="90"/>
        <v>612.50217599999985</v>
      </c>
      <c r="AJ49" s="197">
        <f t="shared" si="73"/>
        <v>561.09782400000029</v>
      </c>
      <c r="AK49" s="197">
        <f t="shared" si="74"/>
        <v>737.04782400000033</v>
      </c>
      <c r="AL49" s="196">
        <f t="shared" si="91"/>
        <v>762.34818128265124</v>
      </c>
      <c r="AM49" s="197">
        <f t="shared" si="92"/>
        <v>114.29376490855698</v>
      </c>
      <c r="AN49" s="197">
        <f t="shared" si="93"/>
        <v>397.86973407060856</v>
      </c>
      <c r="AO49" s="197">
        <f t="shared" si="94"/>
        <v>364.47844721204274</v>
      </c>
      <c r="AP49" s="199">
        <f t="shared" si="95"/>
        <v>478.7722121205997</v>
      </c>
      <c r="AQ49" s="196">
        <f t="shared" si="135"/>
        <v>9697.7463099910638</v>
      </c>
      <c r="AR49" s="197">
        <f t="shared" si="96"/>
        <v>1717.3558772860742</v>
      </c>
      <c r="AS49" s="197">
        <f t="shared" si="96"/>
        <v>9232.2402804477952</v>
      </c>
      <c r="AT49" s="197">
        <f t="shared" si="96"/>
        <v>465.50602954326718</v>
      </c>
      <c r="AU49" s="199">
        <f t="shared" si="96"/>
        <v>2182.8619068293415</v>
      </c>
      <c r="AV49" s="197"/>
      <c r="AX49" s="204">
        <f t="shared" si="136"/>
        <v>12</v>
      </c>
      <c r="AY49" s="197">
        <f>'Energy NPV'!$D102</f>
        <v>16.3</v>
      </c>
      <c r="AZ49" s="197">
        <f>'Energy margins'!$Z$12</f>
        <v>72</v>
      </c>
      <c r="BA49" s="197">
        <f t="shared" si="137"/>
        <v>1173.6000000000001</v>
      </c>
      <c r="BB49" s="197">
        <f>'Margins summary'!$W$14</f>
        <v>175.95</v>
      </c>
      <c r="BC49" s="197">
        <f t="shared" si="97"/>
        <v>1349.5500000000002</v>
      </c>
      <c r="BD49" s="197"/>
      <c r="BE49" s="918">
        <f>'Energy NPV'!U102</f>
        <v>408.3347839999999</v>
      </c>
      <c r="BF49" s="197"/>
      <c r="BG49" s="197">
        <f t="shared" si="98"/>
        <v>204.16739199999995</v>
      </c>
      <c r="BH49" s="197">
        <f t="shared" si="75"/>
        <v>969.43260800000019</v>
      </c>
      <c r="BI49" s="197">
        <f t="shared" si="76"/>
        <v>1145.3826080000003</v>
      </c>
      <c r="BJ49" s="196">
        <f t="shared" si="99"/>
        <v>762.34818128265124</v>
      </c>
      <c r="BK49" s="197">
        <f t="shared" si="100"/>
        <v>114.29376490855698</v>
      </c>
      <c r="BL49" s="197">
        <f t="shared" si="101"/>
        <v>132.62324469020285</v>
      </c>
      <c r="BM49" s="197">
        <f t="shared" si="102"/>
        <v>629.72493659244844</v>
      </c>
      <c r="BN49" s="199">
        <f t="shared" si="103"/>
        <v>744.01870150100547</v>
      </c>
      <c r="BO49" s="196">
        <f t="shared" si="138"/>
        <v>9697.7463099910638</v>
      </c>
      <c r="BP49" s="197">
        <f t="shared" si="104"/>
        <v>1717.3558772860742</v>
      </c>
      <c r="BQ49" s="197">
        <f t="shared" si="105"/>
        <v>3077.4134268159314</v>
      </c>
      <c r="BR49" s="197">
        <f t="shared" si="106"/>
        <v>6620.3328831751305</v>
      </c>
      <c r="BS49" s="199">
        <f t="shared" si="107"/>
        <v>8337.6887604612075</v>
      </c>
      <c r="BT49" s="197"/>
      <c r="BV49" s="204">
        <f t="shared" si="139"/>
        <v>12</v>
      </c>
      <c r="BW49" s="197">
        <f>'Energy NPV'!$D102</f>
        <v>16.3</v>
      </c>
      <c r="BX49" s="197">
        <f>'Energy margins'!$Z$12</f>
        <v>72</v>
      </c>
      <c r="BY49" s="197">
        <f t="shared" si="140"/>
        <v>1173.6000000000001</v>
      </c>
      <c r="BZ49" s="197">
        <f>'Margins summary'!$W$14</f>
        <v>175.95</v>
      </c>
      <c r="CA49" s="197">
        <f t="shared" si="108"/>
        <v>1349.5500000000002</v>
      </c>
      <c r="CB49" s="197"/>
      <c r="CC49" s="918">
        <f>'Energy NPV'!U102</f>
        <v>408.3347839999999</v>
      </c>
      <c r="CD49" s="197"/>
      <c r="CE49" s="197">
        <f t="shared" si="109"/>
        <v>816.6695679999998</v>
      </c>
      <c r="CF49" s="197">
        <f t="shared" si="77"/>
        <v>356.93043200000034</v>
      </c>
      <c r="CG49" s="197">
        <f t="shared" si="78"/>
        <v>532.88043200000038</v>
      </c>
      <c r="CH49" s="196">
        <f t="shared" si="110"/>
        <v>762.34818128265124</v>
      </c>
      <c r="CI49" s="197">
        <f t="shared" si="111"/>
        <v>114.29376490855698</v>
      </c>
      <c r="CJ49" s="197">
        <f t="shared" si="112"/>
        <v>530.49297876081141</v>
      </c>
      <c r="CK49" s="197">
        <f t="shared" si="113"/>
        <v>231.85520252183986</v>
      </c>
      <c r="CL49" s="199">
        <f t="shared" si="114"/>
        <v>346.14896743039685</v>
      </c>
      <c r="CM49" s="196">
        <f t="shared" si="141"/>
        <v>9697.7463099910638</v>
      </c>
      <c r="CN49" s="197">
        <f t="shared" si="115"/>
        <v>1717.3558772860742</v>
      </c>
      <c r="CO49" s="197">
        <f t="shared" si="116"/>
        <v>12309.653707263726</v>
      </c>
      <c r="CP49" s="197">
        <f t="shared" si="117"/>
        <v>-2611.9073972726637</v>
      </c>
      <c r="CQ49" s="199">
        <f t="shared" si="118"/>
        <v>-894.55151998658971</v>
      </c>
      <c r="CR49" s="197"/>
      <c r="CT49" s="204">
        <f t="shared" si="142"/>
        <v>12</v>
      </c>
      <c r="CU49" s="197">
        <f>'Energy NPV'!$D102</f>
        <v>16.3</v>
      </c>
      <c r="CV49" s="197">
        <f>'Energy margins'!$Z$12</f>
        <v>72</v>
      </c>
      <c r="CW49" s="197">
        <f t="shared" si="143"/>
        <v>1173.6000000000001</v>
      </c>
      <c r="CX49" s="197">
        <f>'Margins summary'!$W$14</f>
        <v>175.95</v>
      </c>
      <c r="CY49" s="197">
        <f t="shared" si="119"/>
        <v>1349.5500000000002</v>
      </c>
      <c r="CZ49" s="197"/>
      <c r="DA49" s="918">
        <f>'Energy NPV'!U102</f>
        <v>408.3347839999999</v>
      </c>
      <c r="DB49" s="197"/>
      <c r="DC49" s="197">
        <f t="shared" si="120"/>
        <v>0</v>
      </c>
      <c r="DD49" s="197">
        <f t="shared" si="79"/>
        <v>1173.6000000000001</v>
      </c>
      <c r="DE49" s="197">
        <f t="shared" si="80"/>
        <v>1349.5500000000002</v>
      </c>
      <c r="DF49" s="196">
        <f t="shared" si="121"/>
        <v>762.34818128265124</v>
      </c>
      <c r="DG49" s="197">
        <f t="shared" si="122"/>
        <v>114.29376490855698</v>
      </c>
      <c r="DH49" s="197">
        <f t="shared" si="123"/>
        <v>0</v>
      </c>
      <c r="DI49" s="197">
        <f t="shared" si="124"/>
        <v>762.34818128265124</v>
      </c>
      <c r="DJ49" s="199">
        <f t="shared" si="125"/>
        <v>876.64194619120826</v>
      </c>
      <c r="DK49" s="196">
        <f t="shared" si="144"/>
        <v>9697.7463099910638</v>
      </c>
      <c r="DL49" s="197">
        <f t="shared" si="126"/>
        <v>1717.3558772860742</v>
      </c>
      <c r="DM49" s="197">
        <f t="shared" si="127"/>
        <v>0</v>
      </c>
      <c r="DN49" s="197">
        <f t="shared" si="128"/>
        <v>9697.7463099910638</v>
      </c>
      <c r="DO49" s="199">
        <f t="shared" si="129"/>
        <v>11415.102187277136</v>
      </c>
    </row>
    <row r="50" spans="2:129" x14ac:dyDescent="0.3">
      <c r="B50" s="204">
        <f t="shared" si="130"/>
        <v>13</v>
      </c>
      <c r="C50" s="197">
        <f>'Energy NPV'!$D103</f>
        <v>16.3</v>
      </c>
      <c r="D50" s="197">
        <f>'Energy margins'!$Z$12</f>
        <v>72</v>
      </c>
      <c r="E50" s="197">
        <f t="shared" si="131"/>
        <v>1173.6000000000001</v>
      </c>
      <c r="F50" s="197">
        <f>'Margins summary'!$W$14</f>
        <v>175.95</v>
      </c>
      <c r="G50" s="197">
        <f t="shared" si="81"/>
        <v>1349.5500000000002</v>
      </c>
      <c r="H50" s="197"/>
      <c r="I50" s="918">
        <f>'Energy NPV'!U103</f>
        <v>408.3347839999999</v>
      </c>
      <c r="J50" s="197"/>
      <c r="K50" s="197">
        <f t="shared" si="82"/>
        <v>408.3347839999999</v>
      </c>
      <c r="L50" s="197">
        <f t="shared" si="71"/>
        <v>765.26521600000024</v>
      </c>
      <c r="M50" s="197">
        <f t="shared" si="72"/>
        <v>941.21521600000028</v>
      </c>
      <c r="N50" s="196">
        <f t="shared" si="83"/>
        <v>733.02709738716453</v>
      </c>
      <c r="O50" s="197">
        <f t="shared" si="84"/>
        <v>109.89785087361246</v>
      </c>
      <c r="P50" s="197">
        <f t="shared" si="85"/>
        <v>255.04470132731313</v>
      </c>
      <c r="Q50" s="197">
        <f t="shared" si="86"/>
        <v>477.9823960598514</v>
      </c>
      <c r="R50" s="199">
        <f t="shared" si="87"/>
        <v>587.88024693346392</v>
      </c>
      <c r="S50" s="196">
        <f t="shared" si="132"/>
        <v>10430.773407378229</v>
      </c>
      <c r="T50" s="197">
        <f t="shared" si="88"/>
        <v>1827.2537281596867</v>
      </c>
      <c r="U50" s="197">
        <f t="shared" si="88"/>
        <v>6409.8715549591761</v>
      </c>
      <c r="V50" s="197">
        <f t="shared" si="88"/>
        <v>4020.9018524190501</v>
      </c>
      <c r="W50" s="199">
        <f t="shared" si="88"/>
        <v>5848.1555805787384</v>
      </c>
      <c r="X50" s="197"/>
      <c r="Z50" s="204">
        <f t="shared" si="133"/>
        <v>13</v>
      </c>
      <c r="AA50" s="197">
        <f>'Energy NPV'!$D103</f>
        <v>16.3</v>
      </c>
      <c r="AB50" s="197">
        <f>'Energy margins'!$Z$12</f>
        <v>72</v>
      </c>
      <c r="AC50" s="197">
        <f t="shared" si="134"/>
        <v>1173.6000000000001</v>
      </c>
      <c r="AD50" s="197">
        <f>'Margins summary'!$W$14</f>
        <v>175.95</v>
      </c>
      <c r="AE50" s="197">
        <f t="shared" si="89"/>
        <v>1349.5500000000002</v>
      </c>
      <c r="AF50" s="197"/>
      <c r="AG50" s="918">
        <f>'Energy NPV'!U103</f>
        <v>408.3347839999999</v>
      </c>
      <c r="AH50" s="197"/>
      <c r="AI50" s="197">
        <f t="shared" si="90"/>
        <v>612.50217599999985</v>
      </c>
      <c r="AJ50" s="197">
        <f t="shared" si="73"/>
        <v>561.09782400000029</v>
      </c>
      <c r="AK50" s="197">
        <f t="shared" si="74"/>
        <v>737.04782400000033</v>
      </c>
      <c r="AL50" s="196">
        <f t="shared" si="91"/>
        <v>733.02709738716453</v>
      </c>
      <c r="AM50" s="197">
        <f t="shared" si="92"/>
        <v>109.89785087361246</v>
      </c>
      <c r="AN50" s="197">
        <f t="shared" si="93"/>
        <v>382.56705199096967</v>
      </c>
      <c r="AO50" s="197">
        <f t="shared" si="94"/>
        <v>350.46004539619486</v>
      </c>
      <c r="AP50" s="199">
        <f t="shared" si="95"/>
        <v>460.35789626980733</v>
      </c>
      <c r="AQ50" s="196">
        <f t="shared" si="135"/>
        <v>10430.773407378229</v>
      </c>
      <c r="AR50" s="197">
        <f t="shared" si="96"/>
        <v>1827.2537281596867</v>
      </c>
      <c r="AS50" s="197">
        <f t="shared" si="96"/>
        <v>9614.8073324387642</v>
      </c>
      <c r="AT50" s="197">
        <f t="shared" si="96"/>
        <v>815.96607493946203</v>
      </c>
      <c r="AU50" s="199">
        <f t="shared" si="96"/>
        <v>2643.219803099149</v>
      </c>
      <c r="AV50" s="197"/>
      <c r="AX50" s="204">
        <f t="shared" si="136"/>
        <v>13</v>
      </c>
      <c r="AY50" s="197">
        <f>'Energy NPV'!$D103</f>
        <v>16.3</v>
      </c>
      <c r="AZ50" s="197">
        <f>'Energy margins'!$Z$12</f>
        <v>72</v>
      </c>
      <c r="BA50" s="197">
        <f t="shared" si="137"/>
        <v>1173.6000000000001</v>
      </c>
      <c r="BB50" s="197">
        <f>'Margins summary'!$W$14</f>
        <v>175.95</v>
      </c>
      <c r="BC50" s="197">
        <f t="shared" si="97"/>
        <v>1349.5500000000002</v>
      </c>
      <c r="BD50" s="197"/>
      <c r="BE50" s="918">
        <f>'Energy NPV'!U103</f>
        <v>408.3347839999999</v>
      </c>
      <c r="BF50" s="197"/>
      <c r="BG50" s="197">
        <f t="shared" si="98"/>
        <v>204.16739199999995</v>
      </c>
      <c r="BH50" s="197">
        <f t="shared" si="75"/>
        <v>969.43260800000019</v>
      </c>
      <c r="BI50" s="197">
        <f t="shared" si="76"/>
        <v>1145.3826080000003</v>
      </c>
      <c r="BJ50" s="196">
        <f t="shared" si="99"/>
        <v>733.02709738716453</v>
      </c>
      <c r="BK50" s="197">
        <f t="shared" si="100"/>
        <v>109.89785087361246</v>
      </c>
      <c r="BL50" s="197">
        <f t="shared" si="101"/>
        <v>127.52235066365657</v>
      </c>
      <c r="BM50" s="197">
        <f t="shared" si="102"/>
        <v>605.50474672350799</v>
      </c>
      <c r="BN50" s="199">
        <f t="shared" si="103"/>
        <v>715.40259759712058</v>
      </c>
      <c r="BO50" s="196">
        <f t="shared" si="138"/>
        <v>10430.773407378229</v>
      </c>
      <c r="BP50" s="197">
        <f t="shared" si="104"/>
        <v>1827.2537281596867</v>
      </c>
      <c r="BQ50" s="197">
        <f t="shared" si="105"/>
        <v>3204.9357774795881</v>
      </c>
      <c r="BR50" s="197">
        <f t="shared" si="106"/>
        <v>7225.8376298986386</v>
      </c>
      <c r="BS50" s="199">
        <f t="shared" si="107"/>
        <v>9053.0913580583274</v>
      </c>
      <c r="BT50" s="197"/>
      <c r="BV50" s="204">
        <f t="shared" si="139"/>
        <v>13</v>
      </c>
      <c r="BW50" s="197">
        <f>'Energy NPV'!$D103</f>
        <v>16.3</v>
      </c>
      <c r="BX50" s="197">
        <f>'Energy margins'!$Z$12</f>
        <v>72</v>
      </c>
      <c r="BY50" s="197">
        <f t="shared" si="140"/>
        <v>1173.6000000000001</v>
      </c>
      <c r="BZ50" s="197">
        <f>'Margins summary'!$W$14</f>
        <v>175.95</v>
      </c>
      <c r="CA50" s="197">
        <f t="shared" si="108"/>
        <v>1349.5500000000002</v>
      </c>
      <c r="CB50" s="197"/>
      <c r="CC50" s="918">
        <f>'Energy NPV'!U103</f>
        <v>408.3347839999999</v>
      </c>
      <c r="CD50" s="197"/>
      <c r="CE50" s="197">
        <f t="shared" si="109"/>
        <v>816.6695679999998</v>
      </c>
      <c r="CF50" s="197">
        <f t="shared" si="77"/>
        <v>356.93043200000034</v>
      </c>
      <c r="CG50" s="197">
        <f t="shared" si="78"/>
        <v>532.88043200000038</v>
      </c>
      <c r="CH50" s="196">
        <f t="shared" si="110"/>
        <v>733.02709738716453</v>
      </c>
      <c r="CI50" s="197">
        <f t="shared" si="111"/>
        <v>109.89785087361246</v>
      </c>
      <c r="CJ50" s="197">
        <f t="shared" si="112"/>
        <v>510.08940265462627</v>
      </c>
      <c r="CK50" s="197">
        <f t="shared" si="113"/>
        <v>222.93769473253829</v>
      </c>
      <c r="CL50" s="199">
        <f t="shared" si="114"/>
        <v>332.83554560615079</v>
      </c>
      <c r="CM50" s="196">
        <f t="shared" si="141"/>
        <v>10430.773407378229</v>
      </c>
      <c r="CN50" s="197">
        <f t="shared" si="115"/>
        <v>1827.2537281596867</v>
      </c>
      <c r="CO50" s="197">
        <f t="shared" si="116"/>
        <v>12819.743109918352</v>
      </c>
      <c r="CP50" s="197">
        <f t="shared" si="117"/>
        <v>-2388.9697025401256</v>
      </c>
      <c r="CQ50" s="199">
        <f t="shared" si="118"/>
        <v>-561.71597438043887</v>
      </c>
      <c r="CR50" s="197"/>
      <c r="CT50" s="204">
        <f t="shared" si="142"/>
        <v>13</v>
      </c>
      <c r="CU50" s="197">
        <f>'Energy NPV'!$D103</f>
        <v>16.3</v>
      </c>
      <c r="CV50" s="197">
        <f>'Energy margins'!$Z$12</f>
        <v>72</v>
      </c>
      <c r="CW50" s="197">
        <f t="shared" si="143"/>
        <v>1173.6000000000001</v>
      </c>
      <c r="CX50" s="197">
        <f>'Margins summary'!$W$14</f>
        <v>175.95</v>
      </c>
      <c r="CY50" s="197">
        <f t="shared" si="119"/>
        <v>1349.5500000000002</v>
      </c>
      <c r="CZ50" s="197"/>
      <c r="DA50" s="918">
        <f>'Energy NPV'!U103</f>
        <v>408.3347839999999</v>
      </c>
      <c r="DB50" s="197"/>
      <c r="DC50" s="197">
        <f t="shared" si="120"/>
        <v>0</v>
      </c>
      <c r="DD50" s="197">
        <f t="shared" si="79"/>
        <v>1173.6000000000001</v>
      </c>
      <c r="DE50" s="197">
        <f t="shared" si="80"/>
        <v>1349.5500000000002</v>
      </c>
      <c r="DF50" s="196">
        <f t="shared" si="121"/>
        <v>733.02709738716453</v>
      </c>
      <c r="DG50" s="197">
        <f t="shared" si="122"/>
        <v>109.89785087361246</v>
      </c>
      <c r="DH50" s="197">
        <f t="shared" si="123"/>
        <v>0</v>
      </c>
      <c r="DI50" s="197">
        <f t="shared" si="124"/>
        <v>733.02709738716453</v>
      </c>
      <c r="DJ50" s="199">
        <f t="shared" si="125"/>
        <v>842.924948260777</v>
      </c>
      <c r="DK50" s="196">
        <f t="shared" si="144"/>
        <v>10430.773407378229</v>
      </c>
      <c r="DL50" s="197">
        <f t="shared" si="126"/>
        <v>1827.2537281596867</v>
      </c>
      <c r="DM50" s="197">
        <f t="shared" si="127"/>
        <v>0</v>
      </c>
      <c r="DN50" s="197">
        <f t="shared" si="128"/>
        <v>10430.773407378229</v>
      </c>
      <c r="DO50" s="199">
        <f t="shared" si="129"/>
        <v>12258.027135537914</v>
      </c>
    </row>
    <row r="51" spans="2:129" x14ac:dyDescent="0.3">
      <c r="B51" s="204">
        <f t="shared" si="130"/>
        <v>14</v>
      </c>
      <c r="C51" s="197">
        <f>'Energy NPV'!$D104</f>
        <v>16.3</v>
      </c>
      <c r="D51" s="197">
        <f>'Energy margins'!$Z$12</f>
        <v>72</v>
      </c>
      <c r="E51" s="197">
        <f t="shared" si="131"/>
        <v>1173.6000000000001</v>
      </c>
      <c r="F51" s="197">
        <f>'Margins summary'!$W$14</f>
        <v>175.95</v>
      </c>
      <c r="G51" s="197">
        <f t="shared" si="81"/>
        <v>1349.5500000000002</v>
      </c>
      <c r="H51" s="197"/>
      <c r="I51" s="918">
        <f>'Energy NPV'!U104</f>
        <v>408.3347839999999</v>
      </c>
      <c r="J51" s="197"/>
      <c r="K51" s="197">
        <f t="shared" si="82"/>
        <v>408.3347839999999</v>
      </c>
      <c r="L51" s="197">
        <f t="shared" si="71"/>
        <v>765.26521600000024</v>
      </c>
      <c r="M51" s="197">
        <f t="shared" si="72"/>
        <v>941.21521600000028</v>
      </c>
      <c r="N51" s="196">
        <f t="shared" si="83"/>
        <v>704.83374748765823</v>
      </c>
      <c r="O51" s="197">
        <f t="shared" si="84"/>
        <v>105.67101045539658</v>
      </c>
      <c r="P51" s="197">
        <f t="shared" si="85"/>
        <v>245.23528973780108</v>
      </c>
      <c r="Q51" s="197">
        <f t="shared" si="86"/>
        <v>459.59845774985712</v>
      </c>
      <c r="R51" s="199">
        <f t="shared" si="87"/>
        <v>565.2694682052537</v>
      </c>
      <c r="S51" s="196">
        <f t="shared" si="132"/>
        <v>11135.607154865887</v>
      </c>
      <c r="T51" s="197">
        <f t="shared" si="88"/>
        <v>1932.9247386150832</v>
      </c>
      <c r="U51" s="197">
        <f t="shared" si="88"/>
        <v>6655.1068446969775</v>
      </c>
      <c r="V51" s="197">
        <f t="shared" si="88"/>
        <v>4480.5003101689072</v>
      </c>
      <c r="W51" s="199">
        <f t="shared" si="88"/>
        <v>6413.4250487839918</v>
      </c>
      <c r="X51" s="197"/>
      <c r="Z51" s="204">
        <f t="shared" si="133"/>
        <v>14</v>
      </c>
      <c r="AA51" s="197">
        <f>'Energy NPV'!$D104</f>
        <v>16.3</v>
      </c>
      <c r="AB51" s="197">
        <f>'Energy margins'!$Z$12</f>
        <v>72</v>
      </c>
      <c r="AC51" s="197">
        <f t="shared" si="134"/>
        <v>1173.6000000000001</v>
      </c>
      <c r="AD51" s="197">
        <f>'Margins summary'!$W$14</f>
        <v>175.95</v>
      </c>
      <c r="AE51" s="197">
        <f t="shared" si="89"/>
        <v>1349.5500000000002</v>
      </c>
      <c r="AF51" s="197"/>
      <c r="AG51" s="918">
        <f>'Energy NPV'!U104</f>
        <v>408.3347839999999</v>
      </c>
      <c r="AH51" s="197"/>
      <c r="AI51" s="197">
        <f t="shared" si="90"/>
        <v>612.50217599999985</v>
      </c>
      <c r="AJ51" s="197">
        <f t="shared" si="73"/>
        <v>561.09782400000029</v>
      </c>
      <c r="AK51" s="197">
        <f t="shared" si="74"/>
        <v>737.04782400000033</v>
      </c>
      <c r="AL51" s="196">
        <f t="shared" si="91"/>
        <v>704.83374748765823</v>
      </c>
      <c r="AM51" s="197">
        <f t="shared" si="92"/>
        <v>105.67101045539658</v>
      </c>
      <c r="AN51" s="197">
        <f t="shared" si="93"/>
        <v>367.85293460670164</v>
      </c>
      <c r="AO51" s="197">
        <f t="shared" si="94"/>
        <v>336.98081288095659</v>
      </c>
      <c r="AP51" s="199">
        <f t="shared" si="95"/>
        <v>442.65182333635317</v>
      </c>
      <c r="AQ51" s="196">
        <f t="shared" si="135"/>
        <v>11135.607154865887</v>
      </c>
      <c r="AR51" s="197">
        <f t="shared" si="96"/>
        <v>1932.9247386150832</v>
      </c>
      <c r="AS51" s="197">
        <f t="shared" si="96"/>
        <v>9982.6602670454668</v>
      </c>
      <c r="AT51" s="197">
        <f t="shared" si="96"/>
        <v>1152.9468878204186</v>
      </c>
      <c r="AU51" s="199">
        <f t="shared" si="96"/>
        <v>3085.8716264355021</v>
      </c>
      <c r="AV51" s="197"/>
      <c r="AX51" s="204">
        <f t="shared" si="136"/>
        <v>14</v>
      </c>
      <c r="AY51" s="197">
        <f>'Energy NPV'!$D104</f>
        <v>16.3</v>
      </c>
      <c r="AZ51" s="197">
        <f>'Energy margins'!$Z$12</f>
        <v>72</v>
      </c>
      <c r="BA51" s="197">
        <f t="shared" si="137"/>
        <v>1173.6000000000001</v>
      </c>
      <c r="BB51" s="197">
        <f>'Margins summary'!$W$14</f>
        <v>175.95</v>
      </c>
      <c r="BC51" s="197">
        <f t="shared" si="97"/>
        <v>1349.5500000000002</v>
      </c>
      <c r="BD51" s="197"/>
      <c r="BE51" s="918">
        <f>'Energy NPV'!U104</f>
        <v>408.3347839999999</v>
      </c>
      <c r="BF51" s="197"/>
      <c r="BG51" s="197">
        <f t="shared" si="98"/>
        <v>204.16739199999995</v>
      </c>
      <c r="BH51" s="197">
        <f t="shared" si="75"/>
        <v>969.43260800000019</v>
      </c>
      <c r="BI51" s="197">
        <f t="shared" si="76"/>
        <v>1145.3826080000003</v>
      </c>
      <c r="BJ51" s="196">
        <f t="shared" si="99"/>
        <v>704.83374748765823</v>
      </c>
      <c r="BK51" s="197">
        <f t="shared" si="100"/>
        <v>105.67101045539658</v>
      </c>
      <c r="BL51" s="197">
        <f t="shared" si="101"/>
        <v>122.61764486890054</v>
      </c>
      <c r="BM51" s="197">
        <f t="shared" si="102"/>
        <v>582.21610261875765</v>
      </c>
      <c r="BN51" s="199">
        <f t="shared" si="103"/>
        <v>687.88711307415429</v>
      </c>
      <c r="BO51" s="196">
        <f t="shared" si="138"/>
        <v>11135.607154865887</v>
      </c>
      <c r="BP51" s="197">
        <f t="shared" si="104"/>
        <v>1932.9247386150832</v>
      </c>
      <c r="BQ51" s="197">
        <f t="shared" si="105"/>
        <v>3327.5534223484888</v>
      </c>
      <c r="BR51" s="197">
        <f t="shared" si="106"/>
        <v>7808.0537325173964</v>
      </c>
      <c r="BS51" s="199">
        <f t="shared" si="107"/>
        <v>9740.978471132481</v>
      </c>
      <c r="BT51" s="197"/>
      <c r="BV51" s="204">
        <f t="shared" si="139"/>
        <v>14</v>
      </c>
      <c r="BW51" s="197">
        <f>'Energy NPV'!$D104</f>
        <v>16.3</v>
      </c>
      <c r="BX51" s="197">
        <f>'Energy margins'!$Z$12</f>
        <v>72</v>
      </c>
      <c r="BY51" s="197">
        <f t="shared" si="140"/>
        <v>1173.6000000000001</v>
      </c>
      <c r="BZ51" s="197">
        <f>'Margins summary'!$W$14</f>
        <v>175.95</v>
      </c>
      <c r="CA51" s="197">
        <f t="shared" si="108"/>
        <v>1349.5500000000002</v>
      </c>
      <c r="CB51" s="197"/>
      <c r="CC51" s="918">
        <f>'Energy NPV'!U104</f>
        <v>408.3347839999999</v>
      </c>
      <c r="CD51" s="197"/>
      <c r="CE51" s="197">
        <f t="shared" si="109"/>
        <v>816.6695679999998</v>
      </c>
      <c r="CF51" s="197">
        <f t="shared" si="77"/>
        <v>356.93043200000034</v>
      </c>
      <c r="CG51" s="197">
        <f t="shared" si="78"/>
        <v>532.88043200000038</v>
      </c>
      <c r="CH51" s="196">
        <f t="shared" si="110"/>
        <v>704.83374748765823</v>
      </c>
      <c r="CI51" s="197">
        <f t="shared" si="111"/>
        <v>105.67101045539658</v>
      </c>
      <c r="CJ51" s="197">
        <f t="shared" si="112"/>
        <v>490.47057947560216</v>
      </c>
      <c r="CK51" s="197">
        <f t="shared" si="113"/>
        <v>214.36316801205604</v>
      </c>
      <c r="CL51" s="199">
        <f t="shared" si="114"/>
        <v>320.03417846745265</v>
      </c>
      <c r="CM51" s="196">
        <f t="shared" si="141"/>
        <v>11135.607154865887</v>
      </c>
      <c r="CN51" s="197">
        <f t="shared" si="115"/>
        <v>1932.9247386150832</v>
      </c>
      <c r="CO51" s="197">
        <f t="shared" si="116"/>
        <v>13310.213689393955</v>
      </c>
      <c r="CP51" s="197">
        <f t="shared" si="117"/>
        <v>-2174.6065345280695</v>
      </c>
      <c r="CQ51" s="199">
        <f t="shared" si="118"/>
        <v>-241.68179591298622</v>
      </c>
      <c r="CR51" s="197"/>
      <c r="CT51" s="204">
        <f t="shared" si="142"/>
        <v>14</v>
      </c>
      <c r="CU51" s="197">
        <f>'Energy NPV'!$D104</f>
        <v>16.3</v>
      </c>
      <c r="CV51" s="197">
        <f>'Energy margins'!$Z$12</f>
        <v>72</v>
      </c>
      <c r="CW51" s="197">
        <f t="shared" si="143"/>
        <v>1173.6000000000001</v>
      </c>
      <c r="CX51" s="197">
        <f>'Margins summary'!$W$14</f>
        <v>175.95</v>
      </c>
      <c r="CY51" s="197">
        <f t="shared" si="119"/>
        <v>1349.5500000000002</v>
      </c>
      <c r="CZ51" s="197"/>
      <c r="DA51" s="918">
        <f>'Energy NPV'!U104</f>
        <v>408.3347839999999</v>
      </c>
      <c r="DB51" s="197"/>
      <c r="DC51" s="197">
        <f t="shared" si="120"/>
        <v>0</v>
      </c>
      <c r="DD51" s="197">
        <f t="shared" si="79"/>
        <v>1173.6000000000001</v>
      </c>
      <c r="DE51" s="197">
        <f t="shared" si="80"/>
        <v>1349.5500000000002</v>
      </c>
      <c r="DF51" s="196">
        <f t="shared" si="121"/>
        <v>704.83374748765823</v>
      </c>
      <c r="DG51" s="197">
        <f t="shared" si="122"/>
        <v>105.67101045539658</v>
      </c>
      <c r="DH51" s="197">
        <f t="shared" si="123"/>
        <v>0</v>
      </c>
      <c r="DI51" s="197">
        <f t="shared" si="124"/>
        <v>704.83374748765823</v>
      </c>
      <c r="DJ51" s="199">
        <f t="shared" si="125"/>
        <v>810.50475794305476</v>
      </c>
      <c r="DK51" s="196">
        <f t="shared" si="144"/>
        <v>11135.607154865887</v>
      </c>
      <c r="DL51" s="197">
        <f t="shared" si="126"/>
        <v>1932.9247386150832</v>
      </c>
      <c r="DM51" s="197">
        <f t="shared" si="127"/>
        <v>0</v>
      </c>
      <c r="DN51" s="197">
        <f t="shared" si="128"/>
        <v>11135.607154865887</v>
      </c>
      <c r="DO51" s="199">
        <f t="shared" si="129"/>
        <v>13068.531893480969</v>
      </c>
    </row>
    <row r="52" spans="2:129" x14ac:dyDescent="0.3">
      <c r="B52" s="204">
        <f t="shared" si="130"/>
        <v>15</v>
      </c>
      <c r="C52" s="197">
        <f>'Energy NPV'!$D105</f>
        <v>16.3</v>
      </c>
      <c r="D52" s="197">
        <f>'Energy margins'!$Z$12</f>
        <v>72</v>
      </c>
      <c r="E52" s="197">
        <f t="shared" si="131"/>
        <v>1173.6000000000001</v>
      </c>
      <c r="F52" s="197">
        <f>'Margins summary'!$W$14</f>
        <v>175.95</v>
      </c>
      <c r="G52" s="197">
        <f t="shared" si="81"/>
        <v>1349.5500000000002</v>
      </c>
      <c r="H52" s="197"/>
      <c r="I52" s="918">
        <f>'Energy NPV'!U105</f>
        <v>408.3347839999999</v>
      </c>
      <c r="J52" s="197"/>
      <c r="K52" s="197">
        <f t="shared" si="82"/>
        <v>408.3347839999999</v>
      </c>
      <c r="L52" s="197">
        <f t="shared" si="71"/>
        <v>765.26521600000024</v>
      </c>
      <c r="M52" s="197">
        <f t="shared" si="72"/>
        <v>941.21521600000028</v>
      </c>
      <c r="N52" s="196">
        <f t="shared" si="83"/>
        <v>677.72475719967133</v>
      </c>
      <c r="O52" s="197">
        <f t="shared" si="84"/>
        <v>101.60674082249672</v>
      </c>
      <c r="P52" s="197">
        <f t="shared" si="85"/>
        <v>235.80316320942413</v>
      </c>
      <c r="Q52" s="197">
        <f t="shared" si="86"/>
        <v>441.92159399024723</v>
      </c>
      <c r="R52" s="199">
        <f t="shared" si="87"/>
        <v>543.52833481274399</v>
      </c>
      <c r="S52" s="196">
        <f t="shared" si="132"/>
        <v>11813.331912065558</v>
      </c>
      <c r="T52" s="197">
        <f t="shared" si="88"/>
        <v>2034.5314794375799</v>
      </c>
      <c r="U52" s="197">
        <f t="shared" si="88"/>
        <v>6890.9100079064019</v>
      </c>
      <c r="V52" s="197">
        <f t="shared" si="88"/>
        <v>4922.4219041591541</v>
      </c>
      <c r="W52" s="199">
        <f t="shared" si="88"/>
        <v>6956.9533835967359</v>
      </c>
      <c r="X52" s="197"/>
      <c r="Z52" s="204">
        <f t="shared" si="133"/>
        <v>15</v>
      </c>
      <c r="AA52" s="197">
        <f>'Energy NPV'!$D105</f>
        <v>16.3</v>
      </c>
      <c r="AB52" s="197">
        <f>'Energy margins'!$Z$12</f>
        <v>72</v>
      </c>
      <c r="AC52" s="197">
        <f t="shared" si="134"/>
        <v>1173.6000000000001</v>
      </c>
      <c r="AD52" s="197">
        <f>'Margins summary'!$W$14</f>
        <v>175.95</v>
      </c>
      <c r="AE52" s="197">
        <f t="shared" si="89"/>
        <v>1349.5500000000002</v>
      </c>
      <c r="AF52" s="197"/>
      <c r="AG52" s="918">
        <f>'Energy NPV'!U105</f>
        <v>408.3347839999999</v>
      </c>
      <c r="AH52" s="197"/>
      <c r="AI52" s="197">
        <f t="shared" si="90"/>
        <v>612.50217599999985</v>
      </c>
      <c r="AJ52" s="197">
        <f t="shared" si="73"/>
        <v>561.09782400000029</v>
      </c>
      <c r="AK52" s="197">
        <f t="shared" si="74"/>
        <v>737.04782400000033</v>
      </c>
      <c r="AL52" s="196">
        <f t="shared" si="91"/>
        <v>677.72475719967133</v>
      </c>
      <c r="AM52" s="197">
        <f t="shared" si="92"/>
        <v>101.60674082249672</v>
      </c>
      <c r="AN52" s="197">
        <f t="shared" si="93"/>
        <v>353.70474481413618</v>
      </c>
      <c r="AO52" s="197">
        <f t="shared" si="94"/>
        <v>324.02001238553515</v>
      </c>
      <c r="AP52" s="199">
        <f t="shared" si="95"/>
        <v>425.62675320803191</v>
      </c>
      <c r="AQ52" s="196">
        <f t="shared" si="135"/>
        <v>11813.331912065558</v>
      </c>
      <c r="AR52" s="197">
        <f t="shared" si="96"/>
        <v>2034.5314794375799</v>
      </c>
      <c r="AS52" s="197">
        <f t="shared" si="96"/>
        <v>10336.365011859603</v>
      </c>
      <c r="AT52" s="197">
        <f t="shared" si="96"/>
        <v>1476.9669002059538</v>
      </c>
      <c r="AU52" s="199">
        <f t="shared" si="96"/>
        <v>3511.498379643534</v>
      </c>
      <c r="AV52" s="197"/>
      <c r="AX52" s="204">
        <f t="shared" si="136"/>
        <v>15</v>
      </c>
      <c r="AY52" s="197">
        <f>'Energy NPV'!$D105</f>
        <v>16.3</v>
      </c>
      <c r="AZ52" s="197">
        <f>'Energy margins'!$Z$12</f>
        <v>72</v>
      </c>
      <c r="BA52" s="197">
        <f t="shared" si="137"/>
        <v>1173.6000000000001</v>
      </c>
      <c r="BB52" s="197">
        <f>'Margins summary'!$W$14</f>
        <v>175.95</v>
      </c>
      <c r="BC52" s="197">
        <f t="shared" si="97"/>
        <v>1349.5500000000002</v>
      </c>
      <c r="BD52" s="197"/>
      <c r="BE52" s="918">
        <f>'Energy NPV'!U105</f>
        <v>408.3347839999999</v>
      </c>
      <c r="BF52" s="197"/>
      <c r="BG52" s="197">
        <f t="shared" si="98"/>
        <v>204.16739199999995</v>
      </c>
      <c r="BH52" s="197">
        <f t="shared" si="75"/>
        <v>969.43260800000019</v>
      </c>
      <c r="BI52" s="197">
        <f t="shared" si="76"/>
        <v>1145.3826080000003</v>
      </c>
      <c r="BJ52" s="196">
        <f t="shared" si="99"/>
        <v>677.72475719967133</v>
      </c>
      <c r="BK52" s="197">
        <f t="shared" si="100"/>
        <v>101.60674082249672</v>
      </c>
      <c r="BL52" s="197">
        <f t="shared" si="101"/>
        <v>117.90158160471206</v>
      </c>
      <c r="BM52" s="197">
        <f t="shared" si="102"/>
        <v>559.82317559495925</v>
      </c>
      <c r="BN52" s="199">
        <f t="shared" si="103"/>
        <v>661.42991641745607</v>
      </c>
      <c r="BO52" s="196">
        <f t="shared" si="138"/>
        <v>11813.331912065558</v>
      </c>
      <c r="BP52" s="197">
        <f t="shared" si="104"/>
        <v>2034.5314794375799</v>
      </c>
      <c r="BQ52" s="197">
        <f t="shared" si="105"/>
        <v>3445.455003953201</v>
      </c>
      <c r="BR52" s="197">
        <f t="shared" si="106"/>
        <v>8367.8769081123555</v>
      </c>
      <c r="BS52" s="199">
        <f t="shared" si="107"/>
        <v>10402.408387549936</v>
      </c>
      <c r="BT52" s="197"/>
      <c r="BV52" s="204">
        <f t="shared" si="139"/>
        <v>15</v>
      </c>
      <c r="BW52" s="197">
        <f>'Energy NPV'!$D105</f>
        <v>16.3</v>
      </c>
      <c r="BX52" s="197">
        <f>'Energy margins'!$Z$12</f>
        <v>72</v>
      </c>
      <c r="BY52" s="197">
        <f t="shared" si="140"/>
        <v>1173.6000000000001</v>
      </c>
      <c r="BZ52" s="197">
        <f>'Margins summary'!$W$14</f>
        <v>175.95</v>
      </c>
      <c r="CA52" s="197">
        <f t="shared" si="108"/>
        <v>1349.5500000000002</v>
      </c>
      <c r="CB52" s="197"/>
      <c r="CC52" s="918">
        <f>'Energy NPV'!U105</f>
        <v>408.3347839999999</v>
      </c>
      <c r="CD52" s="197"/>
      <c r="CE52" s="197">
        <f t="shared" si="109"/>
        <v>816.6695679999998</v>
      </c>
      <c r="CF52" s="197">
        <f t="shared" si="77"/>
        <v>356.93043200000034</v>
      </c>
      <c r="CG52" s="197">
        <f t="shared" si="78"/>
        <v>532.88043200000038</v>
      </c>
      <c r="CH52" s="196">
        <f t="shared" si="110"/>
        <v>677.72475719967133</v>
      </c>
      <c r="CI52" s="197">
        <f t="shared" si="111"/>
        <v>101.60674082249672</v>
      </c>
      <c r="CJ52" s="197">
        <f t="shared" si="112"/>
        <v>471.60632641884825</v>
      </c>
      <c r="CK52" s="197">
        <f t="shared" si="113"/>
        <v>206.1184307808231</v>
      </c>
      <c r="CL52" s="199">
        <f t="shared" si="114"/>
        <v>307.72517160331984</v>
      </c>
      <c r="CM52" s="196">
        <f t="shared" si="141"/>
        <v>11813.331912065558</v>
      </c>
      <c r="CN52" s="197">
        <f t="shared" si="115"/>
        <v>2034.5314794375799</v>
      </c>
      <c r="CO52" s="197">
        <f t="shared" si="116"/>
        <v>13781.820015812804</v>
      </c>
      <c r="CP52" s="197">
        <f t="shared" si="117"/>
        <v>-1968.4881037472464</v>
      </c>
      <c r="CQ52" s="199">
        <f t="shared" si="118"/>
        <v>66.043375690333619</v>
      </c>
      <c r="CR52" s="197"/>
      <c r="CT52" s="204">
        <f t="shared" si="142"/>
        <v>15</v>
      </c>
      <c r="CU52" s="197">
        <f>'Energy NPV'!$D105</f>
        <v>16.3</v>
      </c>
      <c r="CV52" s="197">
        <f>'Energy margins'!$Z$12</f>
        <v>72</v>
      </c>
      <c r="CW52" s="197">
        <f t="shared" si="143"/>
        <v>1173.6000000000001</v>
      </c>
      <c r="CX52" s="197">
        <f>'Margins summary'!$W$14</f>
        <v>175.95</v>
      </c>
      <c r="CY52" s="197">
        <f t="shared" si="119"/>
        <v>1349.5500000000002</v>
      </c>
      <c r="CZ52" s="197"/>
      <c r="DA52" s="918">
        <f>'Energy NPV'!U105</f>
        <v>408.3347839999999</v>
      </c>
      <c r="DB52" s="197"/>
      <c r="DC52" s="197">
        <f t="shared" si="120"/>
        <v>0</v>
      </c>
      <c r="DD52" s="197">
        <f t="shared" si="79"/>
        <v>1173.6000000000001</v>
      </c>
      <c r="DE52" s="197">
        <f t="shared" si="80"/>
        <v>1349.5500000000002</v>
      </c>
      <c r="DF52" s="196">
        <f t="shared" si="121"/>
        <v>677.72475719967133</v>
      </c>
      <c r="DG52" s="197">
        <f t="shared" si="122"/>
        <v>101.60674082249672</v>
      </c>
      <c r="DH52" s="197">
        <f t="shared" si="123"/>
        <v>0</v>
      </c>
      <c r="DI52" s="197">
        <f t="shared" si="124"/>
        <v>677.72475719967133</v>
      </c>
      <c r="DJ52" s="199">
        <f t="shared" si="125"/>
        <v>779.33149802216815</v>
      </c>
      <c r="DK52" s="196">
        <f t="shared" si="144"/>
        <v>11813.331912065558</v>
      </c>
      <c r="DL52" s="197">
        <f t="shared" si="126"/>
        <v>2034.5314794375799</v>
      </c>
      <c r="DM52" s="197">
        <f t="shared" si="127"/>
        <v>0</v>
      </c>
      <c r="DN52" s="197">
        <f t="shared" si="128"/>
        <v>11813.331912065558</v>
      </c>
      <c r="DO52" s="199">
        <f t="shared" si="129"/>
        <v>13847.863391503137</v>
      </c>
    </row>
    <row r="53" spans="2:129" x14ac:dyDescent="0.3">
      <c r="B53" s="206">
        <f t="shared" si="130"/>
        <v>16</v>
      </c>
      <c r="C53" s="207">
        <f>'Energy NPV'!$D106</f>
        <v>16.3</v>
      </c>
      <c r="D53" s="207">
        <f>'Energy margins'!$Z$12</f>
        <v>72</v>
      </c>
      <c r="E53" s="207">
        <f t="shared" si="131"/>
        <v>1173.6000000000001</v>
      </c>
      <c r="F53" s="207">
        <f>'Margins summary'!$W$14</f>
        <v>175.95</v>
      </c>
      <c r="G53" s="207">
        <f t="shared" si="81"/>
        <v>1349.5500000000002</v>
      </c>
      <c r="H53" s="207"/>
      <c r="I53" s="919">
        <f>'Energy NPV'!U106</f>
        <v>408.3347839999999</v>
      </c>
      <c r="J53" s="207">
        <f>'Energy margins'!$AE$67</f>
        <v>192.1</v>
      </c>
      <c r="K53" s="207">
        <f t="shared" si="82"/>
        <v>600.43478399999992</v>
      </c>
      <c r="L53" s="207">
        <f t="shared" si="71"/>
        <v>573.16521600000021</v>
      </c>
      <c r="M53" s="207">
        <f t="shared" si="72"/>
        <v>749.11521600000026</v>
      </c>
      <c r="N53" s="208">
        <f t="shared" si="83"/>
        <v>651.65842038429935</v>
      </c>
      <c r="O53" s="207">
        <f t="shared" si="84"/>
        <v>97.698789252400701</v>
      </c>
      <c r="P53" s="207">
        <f>K53/(1+$B$4)^(B53-1)</f>
        <v>333.40012174951255</v>
      </c>
      <c r="Q53" s="207">
        <f t="shared" si="86"/>
        <v>318.25829863478685</v>
      </c>
      <c r="R53" s="209">
        <f>M53/(1+$B$4)^(B53-1)</f>
        <v>415.95708788718758</v>
      </c>
      <c r="S53" s="208">
        <f t="shared" si="132"/>
        <v>12464.990332449857</v>
      </c>
      <c r="T53" s="207">
        <f t="shared" si="88"/>
        <v>2132.2302686899807</v>
      </c>
      <c r="U53" s="207">
        <f t="shared" si="88"/>
        <v>7224.3101296559144</v>
      </c>
      <c r="V53" s="207">
        <f t="shared" si="88"/>
        <v>5240.6802027939411</v>
      </c>
      <c r="W53" s="209">
        <f t="shared" si="88"/>
        <v>7372.9104714839232</v>
      </c>
      <c r="X53" s="197"/>
      <c r="Z53" s="206">
        <f t="shared" si="133"/>
        <v>16</v>
      </c>
      <c r="AA53" s="207">
        <f>'Energy NPV'!$D106</f>
        <v>16.3</v>
      </c>
      <c r="AB53" s="207">
        <f>'Energy margins'!$Z$12</f>
        <v>72</v>
      </c>
      <c r="AC53" s="207">
        <f t="shared" si="134"/>
        <v>1173.6000000000001</v>
      </c>
      <c r="AD53" s="207">
        <f>'Margins summary'!$W$14</f>
        <v>175.95</v>
      </c>
      <c r="AE53" s="207">
        <f t="shared" si="89"/>
        <v>1349.5500000000002</v>
      </c>
      <c r="AF53" s="207"/>
      <c r="AG53" s="919">
        <f>'Energy NPV'!U106</f>
        <v>408.3347839999999</v>
      </c>
      <c r="AH53" s="207">
        <f>'Energy margins'!$AE$67</f>
        <v>192.1</v>
      </c>
      <c r="AI53" s="207">
        <f t="shared" si="90"/>
        <v>900.65217599999983</v>
      </c>
      <c r="AJ53" s="207">
        <f t="shared" si="73"/>
        <v>272.94782400000031</v>
      </c>
      <c r="AK53" s="207">
        <f t="shared" si="74"/>
        <v>448.89782400000036</v>
      </c>
      <c r="AL53" s="208">
        <f t="shared" si="91"/>
        <v>651.65842038429935</v>
      </c>
      <c r="AM53" s="207">
        <f t="shared" si="92"/>
        <v>97.698789252400701</v>
      </c>
      <c r="AN53" s="207">
        <f>AI53/(1+$B$4)^(Z53-1)</f>
        <v>500.10018262426877</v>
      </c>
      <c r="AO53" s="207">
        <f t="shared" si="94"/>
        <v>151.55823776003064</v>
      </c>
      <c r="AP53" s="209">
        <f>AK53/(1+$B$4)^(Z53-1)</f>
        <v>249.25702701243137</v>
      </c>
      <c r="AQ53" s="208">
        <f t="shared" si="135"/>
        <v>12464.990332449857</v>
      </c>
      <c r="AR53" s="207">
        <f t="shared" si="96"/>
        <v>2132.2302686899807</v>
      </c>
      <c r="AS53" s="207">
        <f t="shared" si="96"/>
        <v>10836.465194483872</v>
      </c>
      <c r="AT53" s="207">
        <f t="shared" si="96"/>
        <v>1628.5251379659844</v>
      </c>
      <c r="AU53" s="209">
        <f t="shared" si="96"/>
        <v>3760.7554066559655</v>
      </c>
      <c r="AV53" s="197"/>
      <c r="AX53" s="206">
        <f t="shared" si="136"/>
        <v>16</v>
      </c>
      <c r="AY53" s="207">
        <f>'Energy NPV'!$D106</f>
        <v>16.3</v>
      </c>
      <c r="AZ53" s="207">
        <f>'Energy margins'!$Z$12</f>
        <v>72</v>
      </c>
      <c r="BA53" s="207">
        <f t="shared" si="137"/>
        <v>1173.6000000000001</v>
      </c>
      <c r="BB53" s="207">
        <f>'Margins summary'!$W$14</f>
        <v>175.95</v>
      </c>
      <c r="BC53" s="207">
        <f t="shared" si="97"/>
        <v>1349.5500000000002</v>
      </c>
      <c r="BD53" s="207"/>
      <c r="BE53" s="919">
        <f>'Energy NPV'!U106</f>
        <v>408.3347839999999</v>
      </c>
      <c r="BF53" s="207">
        <f>'Energy margins'!$AE$67</f>
        <v>192.1</v>
      </c>
      <c r="BG53" s="207">
        <f t="shared" si="98"/>
        <v>300.21739199999996</v>
      </c>
      <c r="BH53" s="207">
        <f t="shared" si="75"/>
        <v>873.38260800000012</v>
      </c>
      <c r="BI53" s="207">
        <f t="shared" si="76"/>
        <v>1049.3326080000002</v>
      </c>
      <c r="BJ53" s="208">
        <f t="shared" si="99"/>
        <v>651.65842038429935</v>
      </c>
      <c r="BK53" s="207">
        <f t="shared" si="100"/>
        <v>97.698789252400701</v>
      </c>
      <c r="BL53" s="207">
        <f>BG53/(1+$B$4)^(AX53-1)</f>
        <v>166.70006087475628</v>
      </c>
      <c r="BM53" s="207">
        <f t="shared" si="102"/>
        <v>484.95835950954307</v>
      </c>
      <c r="BN53" s="209">
        <f>BI53/(1+$B$4)^(AX53-1)</f>
        <v>582.65714876194386</v>
      </c>
      <c r="BO53" s="208">
        <f t="shared" si="138"/>
        <v>12464.990332449857</v>
      </c>
      <c r="BP53" s="207">
        <f t="shared" si="104"/>
        <v>2132.2302686899807</v>
      </c>
      <c r="BQ53" s="207">
        <f t="shared" si="105"/>
        <v>3612.1550648279572</v>
      </c>
      <c r="BR53" s="207">
        <f t="shared" si="106"/>
        <v>8852.8352676218983</v>
      </c>
      <c r="BS53" s="209">
        <f t="shared" si="107"/>
        <v>10985.06553631188</v>
      </c>
      <c r="BT53" s="197"/>
      <c r="BV53" s="206">
        <f t="shared" si="139"/>
        <v>16</v>
      </c>
      <c r="BW53" s="207">
        <f>'Energy NPV'!$D106</f>
        <v>16.3</v>
      </c>
      <c r="BX53" s="207">
        <f>'Energy margins'!$Z$12</f>
        <v>72</v>
      </c>
      <c r="BY53" s="207">
        <f t="shared" si="140"/>
        <v>1173.6000000000001</v>
      </c>
      <c r="BZ53" s="207">
        <f>'Margins summary'!$W$14</f>
        <v>175.95</v>
      </c>
      <c r="CA53" s="207">
        <f t="shared" si="108"/>
        <v>1349.5500000000002</v>
      </c>
      <c r="CB53" s="207"/>
      <c r="CC53" s="919">
        <f>'Energy NPV'!U106</f>
        <v>408.3347839999999</v>
      </c>
      <c r="CD53" s="207">
        <f>'Energy margins'!$AE$67</f>
        <v>192.1</v>
      </c>
      <c r="CE53" s="207">
        <f t="shared" si="109"/>
        <v>1200.8695679999998</v>
      </c>
      <c r="CF53" s="207">
        <f t="shared" si="77"/>
        <v>-27.269567999999708</v>
      </c>
      <c r="CG53" s="207">
        <f t="shared" si="78"/>
        <v>148.68043200000034</v>
      </c>
      <c r="CH53" s="208">
        <f t="shared" si="110"/>
        <v>651.65842038429935</v>
      </c>
      <c r="CI53" s="207">
        <f t="shared" si="111"/>
        <v>97.698789252400701</v>
      </c>
      <c r="CJ53" s="207">
        <f>CE53/(1+$B$4)^(BV53-1)</f>
        <v>666.8002434990251</v>
      </c>
      <c r="CK53" s="207">
        <f t="shared" si="113"/>
        <v>-15.141823114725669</v>
      </c>
      <c r="CL53" s="209">
        <f>CG53/(1+$B$4)^(BV53-1)</f>
        <v>82.556966137675062</v>
      </c>
      <c r="CM53" s="208">
        <f t="shared" si="141"/>
        <v>12464.990332449857</v>
      </c>
      <c r="CN53" s="207">
        <f t="shared" si="115"/>
        <v>2132.2302686899807</v>
      </c>
      <c r="CO53" s="207">
        <f t="shared" si="116"/>
        <v>14448.620259311829</v>
      </c>
      <c r="CP53" s="207">
        <f t="shared" si="117"/>
        <v>-1983.6299268619721</v>
      </c>
      <c r="CQ53" s="209">
        <f t="shared" si="118"/>
        <v>148.60034182800868</v>
      </c>
      <c r="CR53" s="197"/>
      <c r="CT53" s="206">
        <f t="shared" si="142"/>
        <v>16</v>
      </c>
      <c r="CU53" s="207">
        <f>'Energy NPV'!$D106</f>
        <v>16.3</v>
      </c>
      <c r="CV53" s="207">
        <f>'Energy margins'!$Z$12</f>
        <v>72</v>
      </c>
      <c r="CW53" s="207">
        <f t="shared" si="143"/>
        <v>1173.6000000000001</v>
      </c>
      <c r="CX53" s="207">
        <f>'Margins summary'!$W$14</f>
        <v>175.95</v>
      </c>
      <c r="CY53" s="207">
        <f t="shared" si="119"/>
        <v>1349.5500000000002</v>
      </c>
      <c r="CZ53" s="207"/>
      <c r="DA53" s="919">
        <f>'Energy NPV'!U106</f>
        <v>408.3347839999999</v>
      </c>
      <c r="DB53" s="207">
        <f>'Energy margins'!$AE$67</f>
        <v>192.1</v>
      </c>
      <c r="DC53" s="207">
        <f t="shared" si="120"/>
        <v>0</v>
      </c>
      <c r="DD53" s="207">
        <f t="shared" si="79"/>
        <v>1173.6000000000001</v>
      </c>
      <c r="DE53" s="207">
        <f t="shared" si="80"/>
        <v>1349.5500000000002</v>
      </c>
      <c r="DF53" s="208">
        <f t="shared" si="121"/>
        <v>651.65842038429935</v>
      </c>
      <c r="DG53" s="207">
        <f t="shared" si="122"/>
        <v>97.698789252400701</v>
      </c>
      <c r="DH53" s="207">
        <f>DC53/(1+$B$4)^(CT53-1)</f>
        <v>0</v>
      </c>
      <c r="DI53" s="207">
        <f t="shared" si="124"/>
        <v>651.65842038429935</v>
      </c>
      <c r="DJ53" s="209">
        <f>DE53/(1+$B$4)^(CT53-1)</f>
        <v>749.35720963670008</v>
      </c>
      <c r="DK53" s="208">
        <f t="shared" si="144"/>
        <v>12464.990332449857</v>
      </c>
      <c r="DL53" s="207">
        <f t="shared" si="126"/>
        <v>2132.2302686899807</v>
      </c>
      <c r="DM53" s="207">
        <f t="shared" si="127"/>
        <v>0</v>
      </c>
      <c r="DN53" s="207">
        <f t="shared" si="128"/>
        <v>12464.990332449857</v>
      </c>
      <c r="DO53" s="209">
        <f t="shared" si="129"/>
        <v>14597.220601139838</v>
      </c>
    </row>
    <row r="59" spans="2:129" x14ac:dyDescent="0.3">
      <c r="B59" s="212" t="s">
        <v>299</v>
      </c>
      <c r="C59" s="763" t="s">
        <v>414</v>
      </c>
      <c r="D59" s="269" t="s">
        <v>405</v>
      </c>
      <c r="E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AB59" s="212" t="s">
        <v>299</v>
      </c>
      <c r="AC59" s="763" t="s">
        <v>415</v>
      </c>
      <c r="AD59" s="267" t="s">
        <v>316</v>
      </c>
      <c r="AE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BB59" s="212" t="s">
        <v>299</v>
      </c>
      <c r="BC59" s="763" t="s">
        <v>416</v>
      </c>
      <c r="BD59" s="267" t="s">
        <v>316</v>
      </c>
      <c r="BE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CB59" s="212" t="s">
        <v>299</v>
      </c>
      <c r="CC59" s="763" t="s">
        <v>417</v>
      </c>
      <c r="CD59" s="267" t="s">
        <v>316</v>
      </c>
      <c r="CE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DB59" s="212" t="s">
        <v>299</v>
      </c>
      <c r="DC59" s="763" t="s">
        <v>448</v>
      </c>
      <c r="DD59" s="267" t="s">
        <v>316</v>
      </c>
      <c r="DE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</row>
    <row r="60" spans="2:129" x14ac:dyDescent="0.3">
      <c r="B60" s="203"/>
      <c r="C60" s="64"/>
      <c r="E60" s="158"/>
      <c r="F60" s="158"/>
      <c r="G60" s="158"/>
      <c r="H60" s="758"/>
      <c r="I60" s="758"/>
      <c r="J60" s="758"/>
      <c r="K60" s="148"/>
      <c r="L60" s="148"/>
      <c r="M60" s="758"/>
      <c r="N60" s="148"/>
      <c r="O60" s="148"/>
      <c r="P60" s="1015" t="s">
        <v>275</v>
      </c>
      <c r="Q60" s="1016"/>
      <c r="R60" s="1016"/>
      <c r="S60" s="1016"/>
      <c r="T60" s="1017"/>
      <c r="U60" s="1015" t="s">
        <v>276</v>
      </c>
      <c r="V60" s="1016"/>
      <c r="W60" s="1016"/>
      <c r="X60" s="1016"/>
      <c r="Y60" s="1017"/>
      <c r="Z60" s="987"/>
      <c r="AB60" s="203"/>
      <c r="AC60" s="64"/>
      <c r="AE60" s="158"/>
      <c r="AF60" s="158"/>
      <c r="AG60" s="158"/>
      <c r="AH60" s="758"/>
      <c r="AI60" s="758"/>
      <c r="AJ60" s="758"/>
      <c r="AK60" s="148"/>
      <c r="AL60" s="148"/>
      <c r="AM60" s="758"/>
      <c r="AN60" s="148"/>
      <c r="AO60" s="148"/>
      <c r="AP60" s="1015" t="s">
        <v>275</v>
      </c>
      <c r="AQ60" s="1016"/>
      <c r="AR60" s="1016"/>
      <c r="AS60" s="1016"/>
      <c r="AT60" s="1017"/>
      <c r="AU60" s="1015" t="s">
        <v>276</v>
      </c>
      <c r="AV60" s="1016"/>
      <c r="AW60" s="1016"/>
      <c r="AX60" s="1016"/>
      <c r="AY60" s="1017"/>
      <c r="BB60" s="203"/>
      <c r="BC60" s="64"/>
      <c r="BE60" s="158"/>
      <c r="BF60" s="158"/>
      <c r="BG60" s="158"/>
      <c r="BH60" s="758"/>
      <c r="BI60" s="758"/>
      <c r="BJ60" s="758"/>
      <c r="BK60" s="148"/>
      <c r="BL60" s="148"/>
      <c r="BM60" s="758"/>
      <c r="BN60" s="148"/>
      <c r="BO60" s="148"/>
      <c r="BP60" s="1015" t="s">
        <v>275</v>
      </c>
      <c r="BQ60" s="1016"/>
      <c r="BR60" s="1016"/>
      <c r="BS60" s="1016"/>
      <c r="BT60" s="1017"/>
      <c r="BU60" s="1015" t="s">
        <v>276</v>
      </c>
      <c r="BV60" s="1016"/>
      <c r="BW60" s="1016"/>
      <c r="BX60" s="1016"/>
      <c r="BY60" s="1017"/>
      <c r="CB60" s="203"/>
      <c r="CC60" s="64"/>
      <c r="CE60" s="158"/>
      <c r="CF60" s="158"/>
      <c r="CG60" s="158"/>
      <c r="CH60" s="758"/>
      <c r="CI60" s="758"/>
      <c r="CJ60" s="758"/>
      <c r="CK60" s="148"/>
      <c r="CL60" s="148"/>
      <c r="CM60" s="758"/>
      <c r="CN60" s="148"/>
      <c r="CO60" s="148"/>
      <c r="CP60" s="1015" t="s">
        <v>275</v>
      </c>
      <c r="CQ60" s="1016"/>
      <c r="CR60" s="1016"/>
      <c r="CS60" s="1016"/>
      <c r="CT60" s="1017"/>
      <c r="CU60" s="1015" t="s">
        <v>276</v>
      </c>
      <c r="CV60" s="1016"/>
      <c r="CW60" s="1016"/>
      <c r="CX60" s="1016"/>
      <c r="CY60" s="1017"/>
      <c r="DB60" s="203"/>
      <c r="DC60" s="64"/>
      <c r="DE60" s="158"/>
      <c r="DF60" s="158"/>
      <c r="DG60" s="158"/>
      <c r="DH60" s="758"/>
      <c r="DI60" s="758"/>
      <c r="DJ60" s="758"/>
      <c r="DK60" s="148"/>
      <c r="DL60" s="148"/>
      <c r="DM60" s="758"/>
      <c r="DN60" s="148"/>
      <c r="DO60" s="148"/>
      <c r="DP60" s="1015" t="s">
        <v>275</v>
      </c>
      <c r="DQ60" s="1016"/>
      <c r="DR60" s="1016"/>
      <c r="DS60" s="1016"/>
      <c r="DT60" s="1017"/>
      <c r="DU60" s="1015" t="s">
        <v>276</v>
      </c>
      <c r="DV60" s="1016"/>
      <c r="DW60" s="1016"/>
      <c r="DX60" s="1016"/>
      <c r="DY60" s="1017"/>
    </row>
    <row r="61" spans="2:129" ht="51" x14ac:dyDescent="0.3">
      <c r="B61" s="204" t="s">
        <v>277</v>
      </c>
      <c r="C61" s="204" t="s">
        <v>278</v>
      </c>
      <c r="D61" s="205" t="s">
        <v>303</v>
      </c>
      <c r="E61" s="205" t="s">
        <v>304</v>
      </c>
      <c r="F61" s="205" t="s">
        <v>664</v>
      </c>
      <c r="G61" s="205" t="s">
        <v>665</v>
      </c>
      <c r="H61" s="171" t="s">
        <v>675</v>
      </c>
      <c r="I61" s="171" t="s">
        <v>666</v>
      </c>
      <c r="J61" s="171" t="s">
        <v>676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283</v>
      </c>
      <c r="N61" s="171" t="s">
        <v>677</v>
      </c>
      <c r="O61" s="171" t="s">
        <v>678</v>
      </c>
      <c r="P61" s="195" t="s">
        <v>286</v>
      </c>
      <c r="Q61" s="171" t="s">
        <v>679</v>
      </c>
      <c r="R61" s="171" t="s">
        <v>288</v>
      </c>
      <c r="S61" s="171" t="s">
        <v>680</v>
      </c>
      <c r="T61" s="198" t="s">
        <v>290</v>
      </c>
      <c r="U61" s="195" t="s">
        <v>291</v>
      </c>
      <c r="V61" s="171" t="s">
        <v>681</v>
      </c>
      <c r="W61" s="171" t="s">
        <v>293</v>
      </c>
      <c r="X61" s="171" t="s">
        <v>682</v>
      </c>
      <c r="Y61" s="198" t="s">
        <v>295</v>
      </c>
      <c r="Z61" s="171"/>
      <c r="AB61" s="204" t="s">
        <v>277</v>
      </c>
      <c r="AC61" s="204" t="s">
        <v>278</v>
      </c>
      <c r="AD61" s="205" t="s">
        <v>303</v>
      </c>
      <c r="AE61" s="205" t="s">
        <v>304</v>
      </c>
      <c r="AF61" s="205" t="s">
        <v>664</v>
      </c>
      <c r="AG61" s="205" t="s">
        <v>665</v>
      </c>
      <c r="AH61" s="171" t="s">
        <v>675</v>
      </c>
      <c r="AI61" s="171" t="s">
        <v>666</v>
      </c>
      <c r="AJ61" s="171" t="s">
        <v>676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283</v>
      </c>
      <c r="AN61" s="171" t="s">
        <v>677</v>
      </c>
      <c r="AO61" s="171" t="s">
        <v>678</v>
      </c>
      <c r="AP61" s="195" t="s">
        <v>286</v>
      </c>
      <c r="AQ61" s="171" t="s">
        <v>679</v>
      </c>
      <c r="AR61" s="171" t="s">
        <v>288</v>
      </c>
      <c r="AS61" s="171" t="s">
        <v>680</v>
      </c>
      <c r="AT61" s="198" t="s">
        <v>290</v>
      </c>
      <c r="AU61" s="195" t="s">
        <v>291</v>
      </c>
      <c r="AV61" s="171" t="s">
        <v>681</v>
      </c>
      <c r="AW61" s="171" t="s">
        <v>293</v>
      </c>
      <c r="AX61" s="171" t="s">
        <v>682</v>
      </c>
      <c r="AY61" s="198" t="s">
        <v>295</v>
      </c>
      <c r="BB61" s="204" t="s">
        <v>277</v>
      </c>
      <c r="BC61" s="204" t="s">
        <v>278</v>
      </c>
      <c r="BD61" s="205" t="s">
        <v>303</v>
      </c>
      <c r="BE61" s="205" t="s">
        <v>304</v>
      </c>
      <c r="BF61" s="205" t="s">
        <v>664</v>
      </c>
      <c r="BG61" s="205" t="s">
        <v>665</v>
      </c>
      <c r="BH61" s="171" t="s">
        <v>675</v>
      </c>
      <c r="BI61" s="171" t="s">
        <v>666</v>
      </c>
      <c r="BJ61" s="171" t="s">
        <v>676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283</v>
      </c>
      <c r="BN61" s="171" t="s">
        <v>677</v>
      </c>
      <c r="BO61" s="171" t="s">
        <v>678</v>
      </c>
      <c r="BP61" s="195" t="s">
        <v>286</v>
      </c>
      <c r="BQ61" s="171" t="s">
        <v>679</v>
      </c>
      <c r="BR61" s="171" t="s">
        <v>288</v>
      </c>
      <c r="BS61" s="171" t="s">
        <v>680</v>
      </c>
      <c r="BT61" s="198" t="s">
        <v>290</v>
      </c>
      <c r="BU61" s="195" t="s">
        <v>291</v>
      </c>
      <c r="BV61" s="171" t="s">
        <v>681</v>
      </c>
      <c r="BW61" s="171" t="s">
        <v>293</v>
      </c>
      <c r="BX61" s="171" t="s">
        <v>682</v>
      </c>
      <c r="BY61" s="198" t="s">
        <v>295</v>
      </c>
      <c r="CB61" s="204" t="s">
        <v>277</v>
      </c>
      <c r="CC61" s="204" t="s">
        <v>278</v>
      </c>
      <c r="CD61" s="205" t="s">
        <v>303</v>
      </c>
      <c r="CE61" s="205" t="s">
        <v>304</v>
      </c>
      <c r="CF61" s="205" t="s">
        <v>664</v>
      </c>
      <c r="CG61" s="205" t="s">
        <v>665</v>
      </c>
      <c r="CH61" s="171" t="s">
        <v>675</v>
      </c>
      <c r="CI61" s="171" t="s">
        <v>666</v>
      </c>
      <c r="CJ61" s="171" t="s">
        <v>676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283</v>
      </c>
      <c r="CN61" s="171" t="s">
        <v>677</v>
      </c>
      <c r="CO61" s="171" t="s">
        <v>678</v>
      </c>
      <c r="CP61" s="195" t="s">
        <v>286</v>
      </c>
      <c r="CQ61" s="171" t="s">
        <v>679</v>
      </c>
      <c r="CR61" s="171" t="s">
        <v>288</v>
      </c>
      <c r="CS61" s="171" t="s">
        <v>680</v>
      </c>
      <c r="CT61" s="198" t="s">
        <v>290</v>
      </c>
      <c r="CU61" s="195" t="s">
        <v>291</v>
      </c>
      <c r="CV61" s="171" t="s">
        <v>681</v>
      </c>
      <c r="CW61" s="171" t="s">
        <v>293</v>
      </c>
      <c r="CX61" s="171" t="s">
        <v>682</v>
      </c>
      <c r="CY61" s="198" t="s">
        <v>295</v>
      </c>
      <c r="DB61" s="204" t="s">
        <v>277</v>
      </c>
      <c r="DC61" s="204" t="s">
        <v>278</v>
      </c>
      <c r="DD61" s="205" t="s">
        <v>303</v>
      </c>
      <c r="DE61" s="205" t="s">
        <v>304</v>
      </c>
      <c r="DF61" s="205" t="s">
        <v>664</v>
      </c>
      <c r="DG61" s="205" t="s">
        <v>665</v>
      </c>
      <c r="DH61" s="171" t="s">
        <v>675</v>
      </c>
      <c r="DI61" s="171" t="s">
        <v>666</v>
      </c>
      <c r="DJ61" s="171" t="s">
        <v>676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283</v>
      </c>
      <c r="DN61" s="171" t="s">
        <v>677</v>
      </c>
      <c r="DO61" s="171" t="s">
        <v>678</v>
      </c>
      <c r="DP61" s="195" t="s">
        <v>286</v>
      </c>
      <c r="DQ61" s="171" t="s">
        <v>679</v>
      </c>
      <c r="DR61" s="171" t="s">
        <v>288</v>
      </c>
      <c r="DS61" s="171" t="s">
        <v>680</v>
      </c>
      <c r="DT61" s="198" t="s">
        <v>290</v>
      </c>
      <c r="DU61" s="195" t="s">
        <v>291</v>
      </c>
      <c r="DV61" s="171" t="s">
        <v>681</v>
      </c>
      <c r="DW61" s="171" t="s">
        <v>293</v>
      </c>
      <c r="DX61" s="171" t="s">
        <v>682</v>
      </c>
      <c r="DY61" s="198" t="s">
        <v>295</v>
      </c>
    </row>
    <row r="62" spans="2:129" x14ac:dyDescent="0.3">
      <c r="B62" s="173"/>
      <c r="C62" s="55"/>
      <c r="D62" s="226" t="s">
        <v>341</v>
      </c>
      <c r="E62" s="226" t="s">
        <v>601</v>
      </c>
      <c r="F62" s="226" t="s">
        <v>341</v>
      </c>
      <c r="G62" s="226" t="s">
        <v>601</v>
      </c>
      <c r="H62" s="201" t="s">
        <v>599</v>
      </c>
      <c r="I62" s="201" t="s">
        <v>599</v>
      </c>
      <c r="J62" s="201" t="s">
        <v>599</v>
      </c>
      <c r="K62" s="201" t="s">
        <v>599</v>
      </c>
      <c r="L62" s="201" t="s">
        <v>599</v>
      </c>
      <c r="M62" s="201" t="s">
        <v>599</v>
      </c>
      <c r="N62" s="201" t="s">
        <v>599</v>
      </c>
      <c r="O62" s="202" t="s">
        <v>599</v>
      </c>
      <c r="P62" s="201" t="s">
        <v>599</v>
      </c>
      <c r="Q62" s="201" t="s">
        <v>599</v>
      </c>
      <c r="R62" s="201" t="s">
        <v>599</v>
      </c>
      <c r="S62" s="201" t="s">
        <v>599</v>
      </c>
      <c r="T62" s="202" t="s">
        <v>599</v>
      </c>
      <c r="U62" s="201" t="s">
        <v>599</v>
      </c>
      <c r="V62" s="201" t="s">
        <v>599</v>
      </c>
      <c r="W62" s="201" t="s">
        <v>599</v>
      </c>
      <c r="X62" s="201" t="s">
        <v>599</v>
      </c>
      <c r="Y62" s="202" t="s">
        <v>599</v>
      </c>
      <c r="Z62" s="988"/>
      <c r="AB62" s="173"/>
      <c r="AC62" s="55"/>
      <c r="AD62" s="226" t="s">
        <v>341</v>
      </c>
      <c r="AE62" s="226" t="s">
        <v>601</v>
      </c>
      <c r="AF62" s="226" t="s">
        <v>341</v>
      </c>
      <c r="AG62" s="226" t="s">
        <v>601</v>
      </c>
      <c r="AH62" s="201" t="s">
        <v>599</v>
      </c>
      <c r="AI62" s="201" t="s">
        <v>599</v>
      </c>
      <c r="AJ62" s="201" t="s">
        <v>599</v>
      </c>
      <c r="AK62" s="201" t="s">
        <v>599</v>
      </c>
      <c r="AL62" s="201" t="s">
        <v>599</v>
      </c>
      <c r="AM62" s="201" t="s">
        <v>599</v>
      </c>
      <c r="AN62" s="201" t="s">
        <v>599</v>
      </c>
      <c r="AO62" s="202" t="s">
        <v>599</v>
      </c>
      <c r="AP62" s="201" t="s">
        <v>599</v>
      </c>
      <c r="AQ62" s="201" t="s">
        <v>599</v>
      </c>
      <c r="AR62" s="201" t="s">
        <v>599</v>
      </c>
      <c r="AS62" s="201" t="s">
        <v>599</v>
      </c>
      <c r="AT62" s="202" t="s">
        <v>599</v>
      </c>
      <c r="AU62" s="201" t="s">
        <v>599</v>
      </c>
      <c r="AV62" s="201" t="s">
        <v>599</v>
      </c>
      <c r="AW62" s="201" t="s">
        <v>599</v>
      </c>
      <c r="AX62" s="201" t="s">
        <v>599</v>
      </c>
      <c r="AY62" s="202" t="s">
        <v>599</v>
      </c>
      <c r="BB62" s="173"/>
      <c r="BC62" s="55"/>
      <c r="BD62" s="226" t="s">
        <v>341</v>
      </c>
      <c r="BE62" s="226" t="s">
        <v>601</v>
      </c>
      <c r="BF62" s="226" t="s">
        <v>341</v>
      </c>
      <c r="BG62" s="226" t="s">
        <v>601</v>
      </c>
      <c r="BH62" s="201" t="s">
        <v>599</v>
      </c>
      <c r="BI62" s="201" t="s">
        <v>599</v>
      </c>
      <c r="BJ62" s="201" t="s">
        <v>599</v>
      </c>
      <c r="BK62" s="201" t="s">
        <v>599</v>
      </c>
      <c r="BL62" s="201" t="s">
        <v>599</v>
      </c>
      <c r="BM62" s="201" t="s">
        <v>599</v>
      </c>
      <c r="BN62" s="201" t="s">
        <v>599</v>
      </c>
      <c r="BO62" s="202" t="s">
        <v>599</v>
      </c>
      <c r="BP62" s="201" t="s">
        <v>599</v>
      </c>
      <c r="BQ62" s="201" t="s">
        <v>599</v>
      </c>
      <c r="BR62" s="201" t="s">
        <v>599</v>
      </c>
      <c r="BS62" s="201" t="s">
        <v>599</v>
      </c>
      <c r="BT62" s="202" t="s">
        <v>599</v>
      </c>
      <c r="BU62" s="201" t="s">
        <v>599</v>
      </c>
      <c r="BV62" s="201" t="s">
        <v>599</v>
      </c>
      <c r="BW62" s="201" t="s">
        <v>599</v>
      </c>
      <c r="BX62" s="201" t="s">
        <v>599</v>
      </c>
      <c r="BY62" s="202" t="s">
        <v>599</v>
      </c>
      <c r="CB62" s="173"/>
      <c r="CC62" s="55"/>
      <c r="CD62" s="226" t="s">
        <v>341</v>
      </c>
      <c r="CE62" s="226" t="s">
        <v>601</v>
      </c>
      <c r="CF62" s="226" t="s">
        <v>341</v>
      </c>
      <c r="CG62" s="226" t="s">
        <v>601</v>
      </c>
      <c r="CH62" s="201" t="s">
        <v>599</v>
      </c>
      <c r="CI62" s="201" t="s">
        <v>599</v>
      </c>
      <c r="CJ62" s="201" t="s">
        <v>599</v>
      </c>
      <c r="CK62" s="201" t="s">
        <v>599</v>
      </c>
      <c r="CL62" s="201" t="s">
        <v>599</v>
      </c>
      <c r="CM62" s="201" t="s">
        <v>599</v>
      </c>
      <c r="CN62" s="201" t="s">
        <v>599</v>
      </c>
      <c r="CO62" s="202" t="s">
        <v>599</v>
      </c>
      <c r="CP62" s="201" t="s">
        <v>599</v>
      </c>
      <c r="CQ62" s="201" t="s">
        <v>599</v>
      </c>
      <c r="CR62" s="201" t="s">
        <v>599</v>
      </c>
      <c r="CS62" s="201" t="s">
        <v>599</v>
      </c>
      <c r="CT62" s="202" t="s">
        <v>599</v>
      </c>
      <c r="CU62" s="201" t="s">
        <v>599</v>
      </c>
      <c r="CV62" s="201" t="s">
        <v>599</v>
      </c>
      <c r="CW62" s="201" t="s">
        <v>599</v>
      </c>
      <c r="CX62" s="201" t="s">
        <v>599</v>
      </c>
      <c r="CY62" s="202" t="s">
        <v>599</v>
      </c>
      <c r="DB62" s="173"/>
      <c r="DC62" s="55"/>
      <c r="DD62" s="226" t="s">
        <v>341</v>
      </c>
      <c r="DE62" s="226" t="s">
        <v>601</v>
      </c>
      <c r="DF62" s="226" t="s">
        <v>341</v>
      </c>
      <c r="DG62" s="226" t="s">
        <v>601</v>
      </c>
      <c r="DH62" s="201" t="s">
        <v>599</v>
      </c>
      <c r="DI62" s="201" t="s">
        <v>599</v>
      </c>
      <c r="DJ62" s="201" t="s">
        <v>599</v>
      </c>
      <c r="DK62" s="201" t="s">
        <v>599</v>
      </c>
      <c r="DL62" s="201" t="s">
        <v>599</v>
      </c>
      <c r="DM62" s="201" t="s">
        <v>599</v>
      </c>
      <c r="DN62" s="201" t="s">
        <v>599</v>
      </c>
      <c r="DO62" s="202" t="s">
        <v>599</v>
      </c>
      <c r="DP62" s="201" t="s">
        <v>599</v>
      </c>
      <c r="DQ62" s="201" t="s">
        <v>599</v>
      </c>
      <c r="DR62" s="201" t="s">
        <v>599</v>
      </c>
      <c r="DS62" s="201" t="s">
        <v>599</v>
      </c>
      <c r="DT62" s="202" t="s">
        <v>599</v>
      </c>
      <c r="DU62" s="201" t="s">
        <v>599</v>
      </c>
      <c r="DV62" s="201" t="s">
        <v>599</v>
      </c>
      <c r="DW62" s="201" t="s">
        <v>599</v>
      </c>
      <c r="DX62" s="201" t="s">
        <v>599</v>
      </c>
      <c r="DY62" s="202" t="s">
        <v>599</v>
      </c>
    </row>
    <row r="63" spans="2:129" x14ac:dyDescent="0.3">
      <c r="B63" s="204">
        <v>1</v>
      </c>
      <c r="C63" s="219" t="s">
        <v>4</v>
      </c>
      <c r="D63" s="760">
        <f>'Arable Inputs'!$D$18</f>
        <v>7.45</v>
      </c>
      <c r="E63" s="760">
        <f>'Arable Inputs'!$D$25</f>
        <v>193.7</v>
      </c>
      <c r="F63" s="760">
        <f>'Arable Inputs'!$D$19</f>
        <v>3.9</v>
      </c>
      <c r="G63" s="760">
        <f>'Arable Inputs'!$D$26</f>
        <v>73.449999999999989</v>
      </c>
      <c r="H63" s="762">
        <f>D63*E63+F63*G63</f>
        <v>1729.52</v>
      </c>
      <c r="I63" s="197">
        <f>'Arable NPV'!$E143</f>
        <v>175.95</v>
      </c>
      <c r="J63" s="197">
        <f>H63+I63</f>
        <v>1905.47</v>
      </c>
      <c r="K63" s="197">
        <f>'Arable NPV'!$G143</f>
        <v>671.92799999999988</v>
      </c>
      <c r="L63" s="197">
        <f>'Arable NPV'!$H143</f>
        <v>969.47373599999992</v>
      </c>
      <c r="M63" s="197">
        <f>K63+L63</f>
        <v>1641.4017359999998</v>
      </c>
      <c r="N63" s="197">
        <f>H63-M63</f>
        <v>88.118264000000181</v>
      </c>
      <c r="O63" s="197">
        <f>J63-M63</f>
        <v>264.06826400000023</v>
      </c>
      <c r="P63" s="1018">
        <f>H63/(1+$B$4)^(B63-1)</f>
        <v>1729.52</v>
      </c>
      <c r="Q63" s="213">
        <f>I63/(1+$B$4)^(B63-1)</f>
        <v>175.95</v>
      </c>
      <c r="R63" s="213">
        <f>M63/(1+$B$4)^(B63-1)</f>
        <v>1641.4017359999998</v>
      </c>
      <c r="S63" s="213">
        <f>N63/(1+$B$4)^(B63-1)</f>
        <v>88.118264000000181</v>
      </c>
      <c r="T63" s="929">
        <f>O63/(1+$B$4)^(B63-1)</f>
        <v>264.06826400000023</v>
      </c>
      <c r="U63" s="196">
        <f>P63</f>
        <v>1729.52</v>
      </c>
      <c r="V63" s="197">
        <f>Q63</f>
        <v>175.95</v>
      </c>
      <c r="W63" s="197">
        <f>R63</f>
        <v>1641.4017359999998</v>
      </c>
      <c r="X63" s="197">
        <f>S63</f>
        <v>88.118264000000181</v>
      </c>
      <c r="Y63" s="199">
        <f>T63</f>
        <v>264.06826400000023</v>
      </c>
      <c r="Z63" s="197"/>
      <c r="AB63" s="204">
        <v>1</v>
      </c>
      <c r="AC63" s="219" t="s">
        <v>4</v>
      </c>
      <c r="AD63" s="760">
        <f>'Arable Inputs'!$D$18</f>
        <v>7.45</v>
      </c>
      <c r="AE63" s="760">
        <f>'Arable Inputs'!$D$25</f>
        <v>193.7</v>
      </c>
      <c r="AF63" s="760">
        <f>'Arable Inputs'!$D$19</f>
        <v>3.9</v>
      </c>
      <c r="AG63" s="760">
        <f>'Arable Inputs'!$D$26</f>
        <v>73.449999999999989</v>
      </c>
      <c r="AH63" s="762">
        <f>AD63*AE63+AF63*AG63</f>
        <v>1729.52</v>
      </c>
      <c r="AI63" s="197">
        <f>'Arable NPV'!$E143</f>
        <v>175.95</v>
      </c>
      <c r="AJ63" s="197">
        <f>AH63+AI63</f>
        <v>1905.47</v>
      </c>
      <c r="AK63" s="197">
        <f>'Arable NPV'!$G143</f>
        <v>671.92799999999988</v>
      </c>
      <c r="AL63" s="197">
        <f>'Arable NPV'!$H143</f>
        <v>969.47373599999992</v>
      </c>
      <c r="AM63" s="197">
        <f>'Arable NPV'!$I143+0.5*'Arable NPV'!$I143</f>
        <v>2462.1026039999997</v>
      </c>
      <c r="AN63" s="197">
        <f>AH63-AM63</f>
        <v>-732.58260399999972</v>
      </c>
      <c r="AO63" s="197">
        <f>AJ63-AM63</f>
        <v>-556.63260399999967</v>
      </c>
      <c r="AP63" s="1018">
        <f>AH63/(1+$B$4)^(AB63-1)</f>
        <v>1729.52</v>
      </c>
      <c r="AQ63" s="213">
        <f>AI63/(1+$B$4)^(AB63-1)</f>
        <v>175.95</v>
      </c>
      <c r="AR63" s="213">
        <f>AM63/(1+$B$4)^(AB63-1)</f>
        <v>2462.1026039999997</v>
      </c>
      <c r="AS63" s="213">
        <f>AN63/(1+$B$4)^(AB63-1)</f>
        <v>-732.58260399999972</v>
      </c>
      <c r="AT63" s="929">
        <f>AO63/(1+$B$4)^(AB63-1)</f>
        <v>-556.63260399999967</v>
      </c>
      <c r="AU63" s="196">
        <f>AP63</f>
        <v>1729.52</v>
      </c>
      <c r="AV63" s="197">
        <f>AQ63</f>
        <v>175.95</v>
      </c>
      <c r="AW63" s="197">
        <f>AR63</f>
        <v>2462.1026039999997</v>
      </c>
      <c r="AX63" s="197">
        <f>AS63</f>
        <v>-732.58260399999972</v>
      </c>
      <c r="AY63" s="199">
        <f>AT63</f>
        <v>-556.63260399999967</v>
      </c>
      <c r="BB63" s="204">
        <v>1</v>
      </c>
      <c r="BC63" s="219" t="s">
        <v>4</v>
      </c>
      <c r="BD63" s="760">
        <f>'Arable Inputs'!$D$18</f>
        <v>7.45</v>
      </c>
      <c r="BE63" s="760">
        <f>'Arable Inputs'!$D$25</f>
        <v>193.7</v>
      </c>
      <c r="BF63" s="760">
        <f>'Arable Inputs'!$D$19</f>
        <v>3.9</v>
      </c>
      <c r="BG63" s="760">
        <f>'Arable Inputs'!$D$26</f>
        <v>73.449999999999989</v>
      </c>
      <c r="BH63" s="762">
        <f>BD63*BE63+BF63*BG63</f>
        <v>1729.52</v>
      </c>
      <c r="BI63" s="197">
        <f>'Arable NPV'!$E143</f>
        <v>175.95</v>
      </c>
      <c r="BJ63" s="197">
        <f>BH63+BI63</f>
        <v>1905.47</v>
      </c>
      <c r="BK63" s="197">
        <f>'Arable NPV'!$G143</f>
        <v>671.92799999999988</v>
      </c>
      <c r="BL63" s="197">
        <f>'Arable NPV'!$H143</f>
        <v>969.47373599999992</v>
      </c>
      <c r="BM63" s="197">
        <f>'Arable NPV'!$I143-0.5*'Arable NPV'!$I143</f>
        <v>820.7008679999999</v>
      </c>
      <c r="BN63" s="197">
        <f>BH63-BM63</f>
        <v>908.81913200000008</v>
      </c>
      <c r="BO63" s="197">
        <f>BJ63-BM63</f>
        <v>1084.7691320000001</v>
      </c>
      <c r="BP63" s="1018">
        <f>BH63/(1+$B$4)^(BB63-1)</f>
        <v>1729.52</v>
      </c>
      <c r="BQ63" s="213">
        <f>BI63/(1+$B$4)^(BB63-1)</f>
        <v>175.95</v>
      </c>
      <c r="BR63" s="213">
        <f>BM63/(1+$B$4)^(BB63-1)</f>
        <v>820.7008679999999</v>
      </c>
      <c r="BS63" s="213">
        <f>BN63/(1+$B$4)^(BB63-1)</f>
        <v>908.81913200000008</v>
      </c>
      <c r="BT63" s="929">
        <f>BO63/(1+$B$4)^(BB63-1)</f>
        <v>1084.7691320000001</v>
      </c>
      <c r="BU63" s="196">
        <f>BP63</f>
        <v>1729.52</v>
      </c>
      <c r="BV63" s="197">
        <f>BQ63</f>
        <v>175.95</v>
      </c>
      <c r="BW63" s="197">
        <f>BR63</f>
        <v>820.7008679999999</v>
      </c>
      <c r="BX63" s="197">
        <f>BS63</f>
        <v>908.81913200000008</v>
      </c>
      <c r="BY63" s="199">
        <f>BT63</f>
        <v>1084.7691320000001</v>
      </c>
      <c r="CB63" s="204">
        <v>1</v>
      </c>
      <c r="CC63" s="219" t="s">
        <v>4</v>
      </c>
      <c r="CD63" s="760">
        <f>'Arable Inputs'!$D$18</f>
        <v>7.45</v>
      </c>
      <c r="CE63" s="760">
        <f>'Arable Inputs'!$D$25</f>
        <v>193.7</v>
      </c>
      <c r="CF63" s="760">
        <f>'Arable Inputs'!$D$19</f>
        <v>3.9</v>
      </c>
      <c r="CG63" s="760">
        <f>'Arable Inputs'!$D$26</f>
        <v>73.449999999999989</v>
      </c>
      <c r="CH63" s="762">
        <f>CD63*CE63+CF63*CG63</f>
        <v>1729.52</v>
      </c>
      <c r="CI63" s="197">
        <f>'Arable NPV'!$E143</f>
        <v>175.95</v>
      </c>
      <c r="CJ63" s="197">
        <f>CH63+CI63</f>
        <v>1905.47</v>
      </c>
      <c r="CK63" s="197">
        <f>'Arable NPV'!$G143</f>
        <v>671.92799999999988</v>
      </c>
      <c r="CL63" s="197">
        <f>'Arable NPV'!$H143</f>
        <v>969.47373599999992</v>
      </c>
      <c r="CM63" s="197">
        <f>'Arable NPV'!$I143+'Arable NPV'!$I143</f>
        <v>3282.8034719999996</v>
      </c>
      <c r="CN63" s="197">
        <f>CH63-CM63</f>
        <v>-1553.2834719999996</v>
      </c>
      <c r="CO63" s="197">
        <f>CJ63-CM63</f>
        <v>-1377.3334719999996</v>
      </c>
      <c r="CP63" s="1018">
        <f>CH63/(1+$B$4)^(CB63-1)</f>
        <v>1729.52</v>
      </c>
      <c r="CQ63" s="213">
        <f>CI63/(1+$B$4)^(CB63-1)</f>
        <v>175.95</v>
      </c>
      <c r="CR63" s="213">
        <f>CM63/(1+$B$4)^(CB63-1)</f>
        <v>3282.8034719999996</v>
      </c>
      <c r="CS63" s="213">
        <f>CN63/(1+$B$4)^(CB63-1)</f>
        <v>-1553.2834719999996</v>
      </c>
      <c r="CT63" s="929">
        <f>CO63/(1+$B$4)^(CB63-1)</f>
        <v>-1377.3334719999996</v>
      </c>
      <c r="CU63" s="196">
        <f>CP63</f>
        <v>1729.52</v>
      </c>
      <c r="CV63" s="197">
        <f>CQ63</f>
        <v>175.95</v>
      </c>
      <c r="CW63" s="197">
        <f>CR63</f>
        <v>3282.8034719999996</v>
      </c>
      <c r="CX63" s="197">
        <f>CS63</f>
        <v>-1553.2834719999996</v>
      </c>
      <c r="CY63" s="199">
        <f>CT63</f>
        <v>-1377.3334719999996</v>
      </c>
      <c r="DB63" s="204">
        <v>1</v>
      </c>
      <c r="DC63" s="219" t="s">
        <v>4</v>
      </c>
      <c r="DD63" s="760">
        <f>'Arable Inputs'!$D$18</f>
        <v>7.45</v>
      </c>
      <c r="DE63" s="760">
        <f>'Arable Inputs'!$D$25</f>
        <v>193.7</v>
      </c>
      <c r="DF63" s="760">
        <f>'Arable Inputs'!$D$19</f>
        <v>3.9</v>
      </c>
      <c r="DG63" s="760">
        <f>'Arable Inputs'!$D$26</f>
        <v>73.449999999999989</v>
      </c>
      <c r="DH63" s="762">
        <f>DD63*DE63+DF63*DG63</f>
        <v>1729.52</v>
      </c>
      <c r="DI63" s="197">
        <f>'Arable NPV'!$E143</f>
        <v>175.95</v>
      </c>
      <c r="DJ63" s="197">
        <f>DH63+DI63</f>
        <v>1905.47</v>
      </c>
      <c r="DK63" s="197">
        <f>'Arable NPV'!$G143</f>
        <v>671.92799999999988</v>
      </c>
      <c r="DL63" s="197">
        <f>'Arable NPV'!$H143</f>
        <v>969.47373599999992</v>
      </c>
      <c r="DM63" s="197">
        <f>'Arable NPV'!$I143-'Arable NPV'!$I143</f>
        <v>0</v>
      </c>
      <c r="DN63" s="197">
        <f>DH63-DM63</f>
        <v>1729.52</v>
      </c>
      <c r="DO63" s="197">
        <f>DJ63-DM63</f>
        <v>1905.47</v>
      </c>
      <c r="DP63" s="1018">
        <f>DH63/(1+$B$4)^(DB63-1)</f>
        <v>1729.52</v>
      </c>
      <c r="DQ63" s="213">
        <f>DI63/(1+$B$4)^(DB63-1)</f>
        <v>175.95</v>
      </c>
      <c r="DR63" s="213">
        <f>DM63/(1+$B$4)^(DB63-1)</f>
        <v>0</v>
      </c>
      <c r="DS63" s="213">
        <f>DN63/(1+$B$4)^(DB63-1)</f>
        <v>1729.52</v>
      </c>
      <c r="DT63" s="929">
        <f>DO63/(1+$B$4)^(DB63-1)</f>
        <v>1905.47</v>
      </c>
      <c r="DU63" s="196">
        <f>DP63</f>
        <v>1729.52</v>
      </c>
      <c r="DV63" s="197">
        <f>DQ63</f>
        <v>175.95</v>
      </c>
      <c r="DW63" s="197">
        <f>DR63</f>
        <v>0</v>
      </c>
      <c r="DX63" s="197">
        <f>DS63</f>
        <v>1729.52</v>
      </c>
      <c r="DY63" s="199">
        <f>DT63</f>
        <v>1905.47</v>
      </c>
    </row>
    <row r="64" spans="2:129" x14ac:dyDescent="0.3">
      <c r="B64" s="204">
        <v>2</v>
      </c>
      <c r="C64" s="219" t="s">
        <v>7</v>
      </c>
      <c r="D64" s="760">
        <f>'Arable Inputs'!$G$18</f>
        <v>63.1</v>
      </c>
      <c r="E64" s="760">
        <f>'Arable Inputs'!$G$25</f>
        <v>26</v>
      </c>
      <c r="H64" s="762">
        <f>D64*E64</f>
        <v>1640.6000000000001</v>
      </c>
      <c r="I64" s="197">
        <f>'Arable NPV'!$E144</f>
        <v>175.95</v>
      </c>
      <c r="J64" s="197">
        <f t="shared" ref="J64:J78" si="145">H64+I64</f>
        <v>1816.5500000000002</v>
      </c>
      <c r="K64" s="197">
        <f>'Arable NPV'!$G144</f>
        <v>819.30399999999986</v>
      </c>
      <c r="L64" s="197">
        <f>'Arable NPV'!$H144</f>
        <v>996.95456799999988</v>
      </c>
      <c r="M64" s="197">
        <f t="shared" ref="M64:M78" si="146">K64+L64</f>
        <v>1816.2585679999997</v>
      </c>
      <c r="N64" s="197">
        <f t="shared" ref="N64:N78" si="147">H64-M64</f>
        <v>-175.6585679999996</v>
      </c>
      <c r="O64" s="197">
        <f t="shared" ref="O64:O78" si="148">J64-M64</f>
        <v>0.29143200000044089</v>
      </c>
      <c r="P64" s="196">
        <f t="shared" ref="P64:P77" si="149">H64/(1+$B$4)^(B64-1)</f>
        <v>1577.5</v>
      </c>
      <c r="Q64" s="197">
        <f t="shared" ref="Q64:Q77" si="150">I64/(1+$B$4)^(B64-1)</f>
        <v>169.18269230769229</v>
      </c>
      <c r="R64" s="197">
        <f t="shared" ref="R64:R77" si="151">M64/(1+$B$4)^(B64-1)</f>
        <v>1746.4024692307689</v>
      </c>
      <c r="S64" s="197">
        <f t="shared" ref="S64:S78" si="152">N64/(1+$B$4)^(B64-1)</f>
        <v>-168.90246923076884</v>
      </c>
      <c r="T64" s="199">
        <f t="shared" ref="T64:T77" si="153">O64/(1+$B$4)^(B64-1)</f>
        <v>0.28022307692350085</v>
      </c>
      <c r="U64" s="196">
        <f t="shared" ref="U64:Y78" si="154">U63+P64</f>
        <v>3307.02</v>
      </c>
      <c r="V64" s="197">
        <f t="shared" si="154"/>
        <v>345.13269230769231</v>
      </c>
      <c r="W64" s="197">
        <f t="shared" si="154"/>
        <v>3387.8042052307687</v>
      </c>
      <c r="X64" s="197">
        <f t="shared" si="154"/>
        <v>-80.784205230768663</v>
      </c>
      <c r="Y64" s="199">
        <f t="shared" si="154"/>
        <v>264.34848707692373</v>
      </c>
      <c r="Z64" s="197"/>
      <c r="AB64" s="204">
        <v>2</v>
      </c>
      <c r="AC64" s="219" t="s">
        <v>7</v>
      </c>
      <c r="AD64" s="760">
        <f>'Arable Inputs'!$G$18</f>
        <v>63.1</v>
      </c>
      <c r="AE64" s="760">
        <f>'Arable Inputs'!$G$25</f>
        <v>26</v>
      </c>
      <c r="AH64" s="762">
        <f>AD64*AE64</f>
        <v>1640.6000000000001</v>
      </c>
      <c r="AI64" s="197">
        <f>'Arable NPV'!$E144</f>
        <v>175.95</v>
      </c>
      <c r="AJ64" s="197">
        <f t="shared" ref="AJ64:AJ78" si="155">AH64+AI64</f>
        <v>1816.5500000000002</v>
      </c>
      <c r="AK64" s="197">
        <f>'Arable NPV'!$G144</f>
        <v>819.30399999999986</v>
      </c>
      <c r="AL64" s="197">
        <f>'Arable NPV'!$H144</f>
        <v>996.95456799999988</v>
      </c>
      <c r="AM64" s="197">
        <f>'Arable NPV'!$I144+0.5*'Arable NPV'!$I144</f>
        <v>2724.3878519999998</v>
      </c>
      <c r="AN64" s="197">
        <f t="shared" ref="AN64:AN78" si="156">AH64-AM64</f>
        <v>-1083.7878519999997</v>
      </c>
      <c r="AO64" s="197">
        <f t="shared" ref="AO64:AO78" si="157">AJ64-AM64</f>
        <v>-907.83785199999966</v>
      </c>
      <c r="AP64" s="196">
        <f t="shared" ref="AP64:AP77" si="158">AH64/(1+$B$4)^(AB64-1)</f>
        <v>1577.5</v>
      </c>
      <c r="AQ64" s="197">
        <f t="shared" ref="AQ64:AQ77" si="159">AI64/(1+$B$4)^(AB64-1)</f>
        <v>169.18269230769229</v>
      </c>
      <c r="AR64" s="197">
        <f t="shared" ref="AR64:AR77" si="160">AM64/(1+$B$4)^(AB64-1)</f>
        <v>2619.6037038461536</v>
      </c>
      <c r="AS64" s="197">
        <f t="shared" ref="AS64:AS78" si="161">AN64/(1+$B$4)^(AB64-1)</f>
        <v>-1042.1037038461536</v>
      </c>
      <c r="AT64" s="199">
        <f t="shared" ref="AT64:AT77" si="162">AO64/(1+$B$4)^(AB64-1)</f>
        <v>-872.92101153846113</v>
      </c>
      <c r="AU64" s="196">
        <f t="shared" ref="AU64:AX78" si="163">AU63+AP64</f>
        <v>3307.02</v>
      </c>
      <c r="AV64" s="197">
        <f t="shared" si="163"/>
        <v>345.13269230769231</v>
      </c>
      <c r="AW64" s="197">
        <f t="shared" si="163"/>
        <v>5081.7063078461533</v>
      </c>
      <c r="AX64" s="197">
        <f t="shared" si="163"/>
        <v>-1774.6863078461533</v>
      </c>
      <c r="AY64" s="199">
        <f t="shared" ref="AY64:AY78" si="164">AY63+AT64</f>
        <v>-1429.5536155384607</v>
      </c>
      <c r="BB64" s="204">
        <v>2</v>
      </c>
      <c r="BC64" s="219" t="s">
        <v>7</v>
      </c>
      <c r="BD64" s="760">
        <f>'Arable Inputs'!$G$18</f>
        <v>63.1</v>
      </c>
      <c r="BE64" s="760">
        <f>'Arable Inputs'!$G$25</f>
        <v>26</v>
      </c>
      <c r="BH64" s="762">
        <f>BD64*BE64</f>
        <v>1640.6000000000001</v>
      </c>
      <c r="BI64" s="197">
        <f>'Arable NPV'!$E144</f>
        <v>175.95</v>
      </c>
      <c r="BJ64" s="197">
        <f t="shared" ref="BJ64:BJ78" si="165">BH64+BI64</f>
        <v>1816.5500000000002</v>
      </c>
      <c r="BK64" s="197">
        <f>'Arable NPV'!$G144</f>
        <v>819.30399999999986</v>
      </c>
      <c r="BL64" s="197">
        <f>'Arable NPV'!$H144</f>
        <v>996.95456799999988</v>
      </c>
      <c r="BM64" s="197">
        <f>'Arable NPV'!$I144-0.5*'Arable NPV'!$I144</f>
        <v>908.12928399999987</v>
      </c>
      <c r="BN64" s="197">
        <f t="shared" ref="BN64:BN78" si="166">BH64-BM64</f>
        <v>732.47071600000027</v>
      </c>
      <c r="BO64" s="197">
        <f t="shared" ref="BO64:BO78" si="167">BJ64-BM64</f>
        <v>908.42071600000031</v>
      </c>
      <c r="BP64" s="196">
        <f t="shared" ref="BP64:BP77" si="168">BH64/(1+$B$4)^(BB64-1)</f>
        <v>1577.5</v>
      </c>
      <c r="BQ64" s="197">
        <f t="shared" ref="BQ64:BQ77" si="169">BI64/(1+$B$4)^(BB64-1)</f>
        <v>169.18269230769229</v>
      </c>
      <c r="BR64" s="197">
        <f t="shared" ref="BR64:BR77" si="170">BM64/(1+$B$4)^(BB64-1)</f>
        <v>873.20123461538446</v>
      </c>
      <c r="BS64" s="197">
        <f t="shared" ref="BS64:BS78" si="171">BN64/(1+$B$4)^(BB64-1)</f>
        <v>704.29876538461565</v>
      </c>
      <c r="BT64" s="199">
        <f t="shared" ref="BT64:BT77" si="172">BO64/(1+$B$4)^(BB64-1)</f>
        <v>873.48145769230791</v>
      </c>
      <c r="BU64" s="196">
        <f t="shared" ref="BU64:BW78" si="173">BU63+BP64</f>
        <v>3307.02</v>
      </c>
      <c r="BV64" s="197">
        <f t="shared" si="173"/>
        <v>345.13269230769231</v>
      </c>
      <c r="BW64" s="197">
        <f t="shared" si="173"/>
        <v>1693.9021026153844</v>
      </c>
      <c r="BX64" s="197">
        <f t="shared" ref="BX64:BX78" si="174">BX63+BS64</f>
        <v>1613.1178973846158</v>
      </c>
      <c r="BY64" s="199">
        <f t="shared" ref="BY64:BY78" si="175">BY63+BT64</f>
        <v>1958.250589692308</v>
      </c>
      <c r="CB64" s="204">
        <v>2</v>
      </c>
      <c r="CC64" s="219" t="s">
        <v>7</v>
      </c>
      <c r="CD64" s="760">
        <f>'Arable Inputs'!$G$18</f>
        <v>63.1</v>
      </c>
      <c r="CE64" s="760">
        <f>'Arable Inputs'!$G$25</f>
        <v>26</v>
      </c>
      <c r="CH64" s="762">
        <f>CD64*CE64</f>
        <v>1640.6000000000001</v>
      </c>
      <c r="CI64" s="197">
        <f>'Arable NPV'!$E144</f>
        <v>175.95</v>
      </c>
      <c r="CJ64" s="197">
        <f t="shared" ref="CJ64:CJ78" si="176">CH64+CI64</f>
        <v>1816.5500000000002</v>
      </c>
      <c r="CK64" s="197">
        <f>'Arable NPV'!$G144</f>
        <v>819.30399999999986</v>
      </c>
      <c r="CL64" s="197">
        <f>'Arable NPV'!$H144</f>
        <v>996.95456799999988</v>
      </c>
      <c r="CM64" s="197">
        <f>'Arable NPV'!$I144+'Arable NPV'!$I144</f>
        <v>3632.5171359999995</v>
      </c>
      <c r="CN64" s="197">
        <f t="shared" ref="CN64:CN78" si="177">CH64-CM64</f>
        <v>-1991.9171359999993</v>
      </c>
      <c r="CO64" s="197">
        <f t="shared" ref="CO64:CO78" si="178">CJ64-CM64</f>
        <v>-1815.9671359999993</v>
      </c>
      <c r="CP64" s="196">
        <f t="shared" ref="CP64:CP77" si="179">CH64/(1+$B$4)^(CB64-1)</f>
        <v>1577.5</v>
      </c>
      <c r="CQ64" s="197">
        <f t="shared" ref="CQ64:CQ77" si="180">CI64/(1+$B$4)^(CB64-1)</f>
        <v>169.18269230769229</v>
      </c>
      <c r="CR64" s="197">
        <f t="shared" ref="CR64:CR77" si="181">CM64/(1+$B$4)^(CB64-1)</f>
        <v>3492.8049384615379</v>
      </c>
      <c r="CS64" s="197">
        <f t="shared" ref="CS64:CS78" si="182">CN64/(1+$B$4)^(CB64-1)</f>
        <v>-1915.3049384615379</v>
      </c>
      <c r="CT64" s="199">
        <f t="shared" ref="CT64:CT77" si="183">CO64/(1+$B$4)^(CB64-1)</f>
        <v>-1746.1222461538455</v>
      </c>
      <c r="CU64" s="196">
        <f t="shared" ref="CU64:CV78" si="184">CU63+CP64</f>
        <v>3307.02</v>
      </c>
      <c r="CV64" s="197">
        <f t="shared" si="184"/>
        <v>345.13269230769231</v>
      </c>
      <c r="CW64" s="197">
        <f t="shared" ref="CW64:CW78" si="185">CW63+CR64</f>
        <v>6775.6084104615375</v>
      </c>
      <c r="CX64" s="197">
        <f t="shared" ref="CX64:CX78" si="186">CX63+CS64</f>
        <v>-3468.5884104615375</v>
      </c>
      <c r="CY64" s="199">
        <f t="shared" ref="CY64:CY78" si="187">CY63+CT64</f>
        <v>-3123.4557181538448</v>
      </c>
      <c r="DB64" s="204">
        <v>2</v>
      </c>
      <c r="DC64" s="219" t="s">
        <v>7</v>
      </c>
      <c r="DD64" s="760">
        <f>'Arable Inputs'!$G$18</f>
        <v>63.1</v>
      </c>
      <c r="DE64" s="760">
        <f>'Arable Inputs'!$G$25</f>
        <v>26</v>
      </c>
      <c r="DH64" s="762">
        <f>DD64*DE64</f>
        <v>1640.6000000000001</v>
      </c>
      <c r="DI64" s="197">
        <f>'Arable NPV'!$E144</f>
        <v>175.95</v>
      </c>
      <c r="DJ64" s="197">
        <f t="shared" ref="DJ64:DJ78" si="188">DH64+DI64</f>
        <v>1816.5500000000002</v>
      </c>
      <c r="DK64" s="197">
        <f>'Arable NPV'!$G144</f>
        <v>819.30399999999986</v>
      </c>
      <c r="DL64" s="197">
        <f>'Arable NPV'!$H144</f>
        <v>996.95456799999988</v>
      </c>
      <c r="DM64" s="197">
        <f>'Arable NPV'!$I144-'Arable NPV'!$I144</f>
        <v>0</v>
      </c>
      <c r="DN64" s="197">
        <f t="shared" ref="DN64:DN78" si="189">DH64-DM64</f>
        <v>1640.6000000000001</v>
      </c>
      <c r="DO64" s="197">
        <f t="shared" ref="DO64:DO78" si="190">DJ64-DM64</f>
        <v>1816.5500000000002</v>
      </c>
      <c r="DP64" s="196">
        <f t="shared" ref="DP64:DP77" si="191">DH64/(1+$B$4)^(DB64-1)</f>
        <v>1577.5</v>
      </c>
      <c r="DQ64" s="197">
        <f t="shared" ref="DQ64:DQ77" si="192">DI64/(1+$B$4)^(DB64-1)</f>
        <v>169.18269230769229</v>
      </c>
      <c r="DR64" s="197">
        <f t="shared" ref="DR64:DR77" si="193">DM64/(1+$B$4)^(DB64-1)</f>
        <v>0</v>
      </c>
      <c r="DS64" s="197">
        <f t="shared" ref="DS64:DS78" si="194">DN64/(1+$B$4)^(DB64-1)</f>
        <v>1577.5</v>
      </c>
      <c r="DT64" s="199">
        <f t="shared" ref="DT64:DT77" si="195">DO64/(1+$B$4)^(DB64-1)</f>
        <v>1746.6826923076924</v>
      </c>
      <c r="DU64" s="196">
        <f t="shared" ref="DU64:DY78" si="196">DU63+DP64</f>
        <v>3307.02</v>
      </c>
      <c r="DV64" s="197">
        <f t="shared" si="196"/>
        <v>345.13269230769231</v>
      </c>
      <c r="DW64" s="197">
        <f t="shared" si="196"/>
        <v>0</v>
      </c>
      <c r="DX64" s="197">
        <f t="shared" si="196"/>
        <v>3307.02</v>
      </c>
      <c r="DY64" s="199">
        <f t="shared" si="196"/>
        <v>3652.1526923076926</v>
      </c>
    </row>
    <row r="65" spans="2:129" x14ac:dyDescent="0.3">
      <c r="B65" s="204">
        <f t="shared" ref="B65:B78" si="197">B64+1</f>
        <v>3</v>
      </c>
      <c r="C65" s="219" t="s">
        <v>31</v>
      </c>
      <c r="D65" s="760">
        <f>'Arable Inputs'!$H$18</f>
        <v>8.14</v>
      </c>
      <c r="E65" s="760">
        <f>'Arable Inputs'!$H$25</f>
        <v>182.8</v>
      </c>
      <c r="H65" s="762">
        <f>D65*E65</f>
        <v>1487.9920000000002</v>
      </c>
      <c r="I65" s="197">
        <f>'Arable NPV'!$E145</f>
        <v>175.95</v>
      </c>
      <c r="J65" s="197">
        <f t="shared" si="145"/>
        <v>1663.9420000000002</v>
      </c>
      <c r="K65" s="197">
        <f>'Arable NPV'!$G145</f>
        <v>574.23049999999989</v>
      </c>
      <c r="L65" s="197">
        <f>'Arable NPV'!$H145</f>
        <v>636.366536</v>
      </c>
      <c r="M65" s="197">
        <f t="shared" si="146"/>
        <v>1210.5970359999999</v>
      </c>
      <c r="N65" s="197">
        <f t="shared" si="147"/>
        <v>277.3949640000003</v>
      </c>
      <c r="O65" s="197">
        <f t="shared" si="148"/>
        <v>453.34496400000035</v>
      </c>
      <c r="P65" s="196">
        <f t="shared" si="149"/>
        <v>1375.7322485207101</v>
      </c>
      <c r="Q65" s="197">
        <f t="shared" si="150"/>
        <v>162.67566568047334</v>
      </c>
      <c r="R65" s="197">
        <f t="shared" si="151"/>
        <v>1119.2650110946743</v>
      </c>
      <c r="S65" s="197">
        <f t="shared" si="152"/>
        <v>256.46723742603575</v>
      </c>
      <c r="T65" s="199">
        <f t="shared" si="153"/>
        <v>419.14290310650915</v>
      </c>
      <c r="U65" s="196">
        <f t="shared" si="154"/>
        <v>4682.7522485207101</v>
      </c>
      <c r="V65" s="197">
        <f t="shared" si="154"/>
        <v>507.80835798816565</v>
      </c>
      <c r="W65" s="197">
        <f t="shared" si="154"/>
        <v>4507.0692163254425</v>
      </c>
      <c r="X65" s="197">
        <f t="shared" si="154"/>
        <v>175.68303219526709</v>
      </c>
      <c r="Y65" s="199">
        <f t="shared" si="154"/>
        <v>683.49139018343294</v>
      </c>
      <c r="Z65" s="197"/>
      <c r="AB65" s="204">
        <f t="shared" ref="AB65:AB78" si="198">AB64+1</f>
        <v>3</v>
      </c>
      <c r="AC65" s="219" t="s">
        <v>31</v>
      </c>
      <c r="AD65" s="760">
        <f>'Arable Inputs'!$H$18</f>
        <v>8.14</v>
      </c>
      <c r="AE65" s="760">
        <f>'Arable Inputs'!$H$25</f>
        <v>182.8</v>
      </c>
      <c r="AH65" s="762">
        <f>AD65*AE65</f>
        <v>1487.9920000000002</v>
      </c>
      <c r="AI65" s="197">
        <f>'Arable NPV'!$E145</f>
        <v>175.95</v>
      </c>
      <c r="AJ65" s="197">
        <f t="shared" si="155"/>
        <v>1663.9420000000002</v>
      </c>
      <c r="AK65" s="197">
        <f>'Arable NPV'!$G145</f>
        <v>574.23049999999989</v>
      </c>
      <c r="AL65" s="197">
        <f>'Arable NPV'!$H145</f>
        <v>636.366536</v>
      </c>
      <c r="AM65" s="197">
        <f>'Arable NPV'!$I145+0.5*'Arable NPV'!$I145</f>
        <v>1815.8955539999997</v>
      </c>
      <c r="AN65" s="197">
        <f t="shared" si="156"/>
        <v>-327.90355399999953</v>
      </c>
      <c r="AO65" s="197">
        <f t="shared" si="157"/>
        <v>-151.95355399999949</v>
      </c>
      <c r="AP65" s="196">
        <f t="shared" si="158"/>
        <v>1375.7322485207101</v>
      </c>
      <c r="AQ65" s="197">
        <f t="shared" si="159"/>
        <v>162.67566568047334</v>
      </c>
      <c r="AR65" s="197">
        <f t="shared" si="160"/>
        <v>1678.8975166420114</v>
      </c>
      <c r="AS65" s="197">
        <f t="shared" si="161"/>
        <v>-303.16526812130132</v>
      </c>
      <c r="AT65" s="199">
        <f t="shared" si="162"/>
        <v>-140.48960244082792</v>
      </c>
      <c r="AU65" s="196">
        <f t="shared" si="163"/>
        <v>4682.7522485207101</v>
      </c>
      <c r="AV65" s="197">
        <f t="shared" si="163"/>
        <v>507.80835798816565</v>
      </c>
      <c r="AW65" s="197">
        <f t="shared" si="163"/>
        <v>6760.6038244881647</v>
      </c>
      <c r="AX65" s="197">
        <f t="shared" si="163"/>
        <v>-2077.8515759674547</v>
      </c>
      <c r="AY65" s="199">
        <f t="shared" si="164"/>
        <v>-1570.0432179792886</v>
      </c>
      <c r="BB65" s="204">
        <f t="shared" ref="BB65:BB78" si="199">BB64+1</f>
        <v>3</v>
      </c>
      <c r="BC65" s="219" t="s">
        <v>31</v>
      </c>
      <c r="BD65" s="760">
        <f>'Arable Inputs'!$H$18</f>
        <v>8.14</v>
      </c>
      <c r="BE65" s="760">
        <f>'Arable Inputs'!$H$25</f>
        <v>182.8</v>
      </c>
      <c r="BH65" s="762">
        <f>BD65*BE65</f>
        <v>1487.9920000000002</v>
      </c>
      <c r="BI65" s="197">
        <f>'Arable NPV'!$E145</f>
        <v>175.95</v>
      </c>
      <c r="BJ65" s="197">
        <f t="shared" si="165"/>
        <v>1663.9420000000002</v>
      </c>
      <c r="BK65" s="197">
        <f>'Arable NPV'!$G145</f>
        <v>574.23049999999989</v>
      </c>
      <c r="BL65" s="197">
        <f>'Arable NPV'!$H145</f>
        <v>636.366536</v>
      </c>
      <c r="BM65" s="197">
        <f>'Arable NPV'!$I145-0.5*'Arable NPV'!$I145</f>
        <v>605.29851799999994</v>
      </c>
      <c r="BN65" s="197">
        <f t="shared" si="166"/>
        <v>882.69348200000024</v>
      </c>
      <c r="BO65" s="197">
        <f t="shared" si="167"/>
        <v>1058.6434820000004</v>
      </c>
      <c r="BP65" s="196">
        <f t="shared" si="168"/>
        <v>1375.7322485207101</v>
      </c>
      <c r="BQ65" s="197">
        <f t="shared" si="169"/>
        <v>162.67566568047334</v>
      </c>
      <c r="BR65" s="197">
        <f t="shared" si="170"/>
        <v>559.63250554733713</v>
      </c>
      <c r="BS65" s="197">
        <f t="shared" si="171"/>
        <v>816.09974297337294</v>
      </c>
      <c r="BT65" s="199">
        <f t="shared" si="172"/>
        <v>978.7754086538464</v>
      </c>
      <c r="BU65" s="196">
        <f t="shared" si="173"/>
        <v>4682.7522485207101</v>
      </c>
      <c r="BV65" s="197">
        <f t="shared" si="173"/>
        <v>507.80835798816565</v>
      </c>
      <c r="BW65" s="197">
        <f t="shared" si="173"/>
        <v>2253.5346081627213</v>
      </c>
      <c r="BX65" s="197">
        <f t="shared" si="174"/>
        <v>2429.2176403579888</v>
      </c>
      <c r="BY65" s="199">
        <f t="shared" si="175"/>
        <v>2937.0259983461547</v>
      </c>
      <c r="CB65" s="204">
        <f t="shared" ref="CB65:CB78" si="200">CB64+1</f>
        <v>3</v>
      </c>
      <c r="CC65" s="219" t="s">
        <v>31</v>
      </c>
      <c r="CD65" s="760">
        <f>'Arable Inputs'!$H$18</f>
        <v>8.14</v>
      </c>
      <c r="CE65" s="760">
        <f>'Arable Inputs'!$H$25</f>
        <v>182.8</v>
      </c>
      <c r="CH65" s="762">
        <f>CD65*CE65</f>
        <v>1487.9920000000002</v>
      </c>
      <c r="CI65" s="197">
        <f>'Arable NPV'!$E145</f>
        <v>175.95</v>
      </c>
      <c r="CJ65" s="197">
        <f t="shared" si="176"/>
        <v>1663.9420000000002</v>
      </c>
      <c r="CK65" s="197">
        <f>'Arable NPV'!$G145</f>
        <v>574.23049999999989</v>
      </c>
      <c r="CL65" s="197">
        <f>'Arable NPV'!$H145</f>
        <v>636.366536</v>
      </c>
      <c r="CM65" s="197">
        <f>'Arable NPV'!$I145+'Arable NPV'!$I145</f>
        <v>2421.1940719999998</v>
      </c>
      <c r="CN65" s="197">
        <f t="shared" si="177"/>
        <v>-933.20207199999959</v>
      </c>
      <c r="CO65" s="197">
        <f t="shared" si="178"/>
        <v>-757.25207199999954</v>
      </c>
      <c r="CP65" s="196">
        <f t="shared" si="179"/>
        <v>1375.7322485207101</v>
      </c>
      <c r="CQ65" s="197">
        <f t="shared" si="180"/>
        <v>162.67566568047334</v>
      </c>
      <c r="CR65" s="197">
        <f t="shared" si="181"/>
        <v>2238.5300221893485</v>
      </c>
      <c r="CS65" s="197">
        <f t="shared" si="182"/>
        <v>-862.79777366863857</v>
      </c>
      <c r="CT65" s="199">
        <f t="shared" si="183"/>
        <v>-700.12210798816523</v>
      </c>
      <c r="CU65" s="196">
        <f t="shared" si="184"/>
        <v>4682.7522485207101</v>
      </c>
      <c r="CV65" s="197">
        <f t="shared" si="184"/>
        <v>507.80835798816565</v>
      </c>
      <c r="CW65" s="197">
        <f t="shared" si="185"/>
        <v>9014.1384326508851</v>
      </c>
      <c r="CX65" s="197">
        <f t="shared" si="186"/>
        <v>-4331.3861841301759</v>
      </c>
      <c r="CY65" s="199">
        <f t="shared" si="187"/>
        <v>-3823.5778261420101</v>
      </c>
      <c r="DB65" s="204">
        <f t="shared" ref="DB65:DB78" si="201">DB64+1</f>
        <v>3</v>
      </c>
      <c r="DC65" s="219" t="s">
        <v>31</v>
      </c>
      <c r="DD65" s="760">
        <f>'Arable Inputs'!$H$18</f>
        <v>8.14</v>
      </c>
      <c r="DE65" s="760">
        <f>'Arable Inputs'!$H$25</f>
        <v>182.8</v>
      </c>
      <c r="DH65" s="762">
        <f>DD65*DE65</f>
        <v>1487.9920000000002</v>
      </c>
      <c r="DI65" s="197">
        <f>'Arable NPV'!$E145</f>
        <v>175.95</v>
      </c>
      <c r="DJ65" s="197">
        <f t="shared" si="188"/>
        <v>1663.9420000000002</v>
      </c>
      <c r="DK65" s="197">
        <f>'Arable NPV'!$G145</f>
        <v>574.23049999999989</v>
      </c>
      <c r="DL65" s="197">
        <f>'Arable NPV'!$H145</f>
        <v>636.366536</v>
      </c>
      <c r="DM65" s="197">
        <f>'Arable NPV'!$I145-'Arable NPV'!$I145</f>
        <v>0</v>
      </c>
      <c r="DN65" s="197">
        <f t="shared" si="189"/>
        <v>1487.9920000000002</v>
      </c>
      <c r="DO65" s="197">
        <f t="shared" si="190"/>
        <v>1663.9420000000002</v>
      </c>
      <c r="DP65" s="196">
        <f t="shared" si="191"/>
        <v>1375.7322485207101</v>
      </c>
      <c r="DQ65" s="197">
        <f t="shared" si="192"/>
        <v>162.67566568047334</v>
      </c>
      <c r="DR65" s="197">
        <f t="shared" si="193"/>
        <v>0</v>
      </c>
      <c r="DS65" s="197">
        <f t="shared" si="194"/>
        <v>1375.7322485207101</v>
      </c>
      <c r="DT65" s="199">
        <f t="shared" si="195"/>
        <v>1538.4079142011835</v>
      </c>
      <c r="DU65" s="196">
        <f t="shared" si="196"/>
        <v>4682.7522485207101</v>
      </c>
      <c r="DV65" s="197">
        <f t="shared" si="196"/>
        <v>507.80835798816565</v>
      </c>
      <c r="DW65" s="197">
        <f t="shared" si="196"/>
        <v>0</v>
      </c>
      <c r="DX65" s="197">
        <f t="shared" si="196"/>
        <v>4682.7522485207101</v>
      </c>
      <c r="DY65" s="199">
        <f t="shared" si="196"/>
        <v>5190.5606065088759</v>
      </c>
    </row>
    <row r="66" spans="2:129" x14ac:dyDescent="0.3">
      <c r="B66" s="204">
        <f t="shared" si="197"/>
        <v>4</v>
      </c>
      <c r="C66" s="219" t="s">
        <v>6</v>
      </c>
      <c r="D66" s="760">
        <f>'Arable Inputs'!$F$18</f>
        <v>3.3</v>
      </c>
      <c r="E66" s="760">
        <f>'Arable Inputs'!$F$25</f>
        <v>345.1</v>
      </c>
      <c r="F66" s="760">
        <f>'Arable Inputs'!$F$19</f>
        <v>2.6</v>
      </c>
      <c r="G66" s="760">
        <f>'Arable Inputs'!$F$26</f>
        <v>42.374999999999993</v>
      </c>
      <c r="H66" s="762">
        <f>D66*E66+F66*G66</f>
        <v>1249.0049999999999</v>
      </c>
      <c r="I66" s="197">
        <f>'Arable NPV'!$E146</f>
        <v>175.95</v>
      </c>
      <c r="J66" s="197">
        <f t="shared" si="145"/>
        <v>1424.9549999999999</v>
      </c>
      <c r="K66" s="197">
        <f>'Arable NPV'!$G146</f>
        <v>619.745</v>
      </c>
      <c r="L66" s="197">
        <f>'Arable NPV'!$H146</f>
        <v>710.23622685714281</v>
      </c>
      <c r="M66" s="197">
        <f t="shared" si="146"/>
        <v>1329.9812268571427</v>
      </c>
      <c r="N66" s="197">
        <f t="shared" si="147"/>
        <v>-80.976226857142819</v>
      </c>
      <c r="O66" s="197">
        <f t="shared" si="148"/>
        <v>94.973773142857226</v>
      </c>
      <c r="P66" s="196">
        <f t="shared" si="149"/>
        <v>1110.3608969617658</v>
      </c>
      <c r="Q66" s="197">
        <f t="shared" si="150"/>
        <v>156.41890930814745</v>
      </c>
      <c r="R66" s="197">
        <f t="shared" si="151"/>
        <v>1182.3484677766758</v>
      </c>
      <c r="S66" s="197">
        <f t="shared" si="152"/>
        <v>-71.987570814909901</v>
      </c>
      <c r="T66" s="199">
        <f t="shared" si="153"/>
        <v>84.431338493237604</v>
      </c>
      <c r="U66" s="196">
        <f t="shared" si="154"/>
        <v>5793.1131454824754</v>
      </c>
      <c r="V66" s="197">
        <f t="shared" si="154"/>
        <v>664.22726729631313</v>
      </c>
      <c r="W66" s="197">
        <f t="shared" si="154"/>
        <v>5689.4176841021181</v>
      </c>
      <c r="X66" s="197">
        <f t="shared" si="154"/>
        <v>103.69546138035719</v>
      </c>
      <c r="Y66" s="199">
        <f t="shared" si="154"/>
        <v>767.92272867667054</v>
      </c>
      <c r="Z66" s="197"/>
      <c r="AB66" s="204">
        <f t="shared" si="198"/>
        <v>4</v>
      </c>
      <c r="AC66" s="219" t="s">
        <v>6</v>
      </c>
      <c r="AD66" s="760">
        <f>'Arable Inputs'!$F$18</f>
        <v>3.3</v>
      </c>
      <c r="AE66" s="760">
        <f>'Arable Inputs'!$F$25</f>
        <v>345.1</v>
      </c>
      <c r="AF66" s="760">
        <f>'Arable Inputs'!$F$19</f>
        <v>2.6</v>
      </c>
      <c r="AG66" s="760">
        <f>'Arable Inputs'!$F$26</f>
        <v>42.374999999999993</v>
      </c>
      <c r="AH66" s="762">
        <f>AD66*AE66+AF66*AG66</f>
        <v>1249.0049999999999</v>
      </c>
      <c r="AI66" s="197">
        <f>'Arable NPV'!$E146</f>
        <v>175.95</v>
      </c>
      <c r="AJ66" s="197">
        <f t="shared" si="155"/>
        <v>1424.9549999999999</v>
      </c>
      <c r="AK66" s="197">
        <f>'Arable NPV'!$G146</f>
        <v>619.745</v>
      </c>
      <c r="AL66" s="197">
        <f>'Arable NPV'!$H146</f>
        <v>710.23622685714281</v>
      </c>
      <c r="AM66" s="197">
        <f>'Arable NPV'!$I146+0.5*'Arable NPV'!$I146</f>
        <v>1994.9718402857141</v>
      </c>
      <c r="AN66" s="197">
        <f t="shared" si="156"/>
        <v>-745.96684028571417</v>
      </c>
      <c r="AO66" s="197">
        <f t="shared" si="157"/>
        <v>-570.01684028571412</v>
      </c>
      <c r="AP66" s="196">
        <f t="shared" si="158"/>
        <v>1110.3608969617658</v>
      </c>
      <c r="AQ66" s="197">
        <f t="shared" si="159"/>
        <v>156.41890930814745</v>
      </c>
      <c r="AR66" s="197">
        <f t="shared" si="160"/>
        <v>1773.5227016650135</v>
      </c>
      <c r="AS66" s="197">
        <f t="shared" si="161"/>
        <v>-663.16180470324775</v>
      </c>
      <c r="AT66" s="199">
        <f t="shared" si="162"/>
        <v>-506.74289539510028</v>
      </c>
      <c r="AU66" s="196">
        <f t="shared" si="163"/>
        <v>5793.1131454824754</v>
      </c>
      <c r="AV66" s="197">
        <f t="shared" si="163"/>
        <v>664.22726729631313</v>
      </c>
      <c r="AW66" s="197">
        <f t="shared" si="163"/>
        <v>8534.1265261531789</v>
      </c>
      <c r="AX66" s="197">
        <f t="shared" si="163"/>
        <v>-2741.0133806707026</v>
      </c>
      <c r="AY66" s="199">
        <f t="shared" si="164"/>
        <v>-2076.7861133743891</v>
      </c>
      <c r="BB66" s="204">
        <f t="shared" si="199"/>
        <v>4</v>
      </c>
      <c r="BC66" s="219" t="s">
        <v>6</v>
      </c>
      <c r="BD66" s="760">
        <f>'Arable Inputs'!$F$18</f>
        <v>3.3</v>
      </c>
      <c r="BE66" s="760">
        <f>'Arable Inputs'!$F$25</f>
        <v>345.1</v>
      </c>
      <c r="BF66" s="760">
        <f>'Arable Inputs'!$F$19</f>
        <v>2.6</v>
      </c>
      <c r="BG66" s="760">
        <f>'Arable Inputs'!$F$26</f>
        <v>42.374999999999993</v>
      </c>
      <c r="BH66" s="762">
        <f>BD66*BE66+BF66*BG66</f>
        <v>1249.0049999999999</v>
      </c>
      <c r="BI66" s="197">
        <f>'Arable NPV'!$E146</f>
        <v>175.95</v>
      </c>
      <c r="BJ66" s="197">
        <f t="shared" si="165"/>
        <v>1424.9549999999999</v>
      </c>
      <c r="BK66" s="197">
        <f>'Arable NPV'!$G146</f>
        <v>619.745</v>
      </c>
      <c r="BL66" s="197">
        <f>'Arable NPV'!$H146</f>
        <v>710.23622685714281</v>
      </c>
      <c r="BM66" s="197">
        <f>'Arable NPV'!$I146-0.5*'Arable NPV'!$I146</f>
        <v>664.99061342857135</v>
      </c>
      <c r="BN66" s="197">
        <f t="shared" si="166"/>
        <v>584.01438657142853</v>
      </c>
      <c r="BO66" s="197">
        <f t="shared" si="167"/>
        <v>759.96438657142858</v>
      </c>
      <c r="BP66" s="196">
        <f t="shared" si="168"/>
        <v>1110.3608969617658</v>
      </c>
      <c r="BQ66" s="197">
        <f t="shared" si="169"/>
        <v>156.41890930814745</v>
      </c>
      <c r="BR66" s="197">
        <f t="shared" si="170"/>
        <v>591.17423388833788</v>
      </c>
      <c r="BS66" s="197">
        <f t="shared" si="171"/>
        <v>519.18666307342801</v>
      </c>
      <c r="BT66" s="199">
        <f t="shared" si="172"/>
        <v>675.60557238157548</v>
      </c>
      <c r="BU66" s="196">
        <f t="shared" si="173"/>
        <v>5793.1131454824754</v>
      </c>
      <c r="BV66" s="197">
        <f t="shared" si="173"/>
        <v>664.22726729631313</v>
      </c>
      <c r="BW66" s="197">
        <f t="shared" si="173"/>
        <v>2844.708842051059</v>
      </c>
      <c r="BX66" s="197">
        <f t="shared" si="174"/>
        <v>2948.4043034314168</v>
      </c>
      <c r="BY66" s="199">
        <f t="shared" si="175"/>
        <v>3612.6315707277299</v>
      </c>
      <c r="CB66" s="204">
        <f t="shared" si="200"/>
        <v>4</v>
      </c>
      <c r="CC66" s="219" t="s">
        <v>6</v>
      </c>
      <c r="CD66" s="760">
        <f>'Arable Inputs'!$F$18</f>
        <v>3.3</v>
      </c>
      <c r="CE66" s="760">
        <f>'Arable Inputs'!$F$25</f>
        <v>345.1</v>
      </c>
      <c r="CF66" s="760">
        <f>'Arable Inputs'!$F$19</f>
        <v>2.6</v>
      </c>
      <c r="CG66" s="760">
        <f>'Arable Inputs'!$F$26</f>
        <v>42.374999999999993</v>
      </c>
      <c r="CH66" s="762">
        <f>CD66*CE66+CF66*CG66</f>
        <v>1249.0049999999999</v>
      </c>
      <c r="CI66" s="197">
        <f>'Arable NPV'!$E146</f>
        <v>175.95</v>
      </c>
      <c r="CJ66" s="197">
        <f t="shared" si="176"/>
        <v>1424.9549999999999</v>
      </c>
      <c r="CK66" s="197">
        <f>'Arable NPV'!$G146</f>
        <v>619.745</v>
      </c>
      <c r="CL66" s="197">
        <f>'Arable NPV'!$H146</f>
        <v>710.23622685714281</v>
      </c>
      <c r="CM66" s="197">
        <f>'Arable NPV'!$I146+'Arable NPV'!$I146</f>
        <v>2659.9624537142854</v>
      </c>
      <c r="CN66" s="197">
        <f t="shared" si="177"/>
        <v>-1410.9574537142855</v>
      </c>
      <c r="CO66" s="197">
        <f t="shared" si="178"/>
        <v>-1235.0074537142855</v>
      </c>
      <c r="CP66" s="196">
        <f t="shared" si="179"/>
        <v>1110.3608969617658</v>
      </c>
      <c r="CQ66" s="197">
        <f t="shared" si="180"/>
        <v>156.41890930814745</v>
      </c>
      <c r="CR66" s="197">
        <f t="shared" si="181"/>
        <v>2364.6969355533515</v>
      </c>
      <c r="CS66" s="197">
        <f t="shared" si="182"/>
        <v>-1254.3360385915857</v>
      </c>
      <c r="CT66" s="199">
        <f t="shared" si="183"/>
        <v>-1097.9171292834383</v>
      </c>
      <c r="CU66" s="196">
        <f t="shared" si="184"/>
        <v>5793.1131454824754</v>
      </c>
      <c r="CV66" s="197">
        <f t="shared" si="184"/>
        <v>664.22726729631313</v>
      </c>
      <c r="CW66" s="197">
        <f t="shared" si="185"/>
        <v>11378.835368204236</v>
      </c>
      <c r="CX66" s="197">
        <f t="shared" si="186"/>
        <v>-5585.7222227217617</v>
      </c>
      <c r="CY66" s="199">
        <f t="shared" si="187"/>
        <v>-4921.4949554254481</v>
      </c>
      <c r="DB66" s="204">
        <f t="shared" si="201"/>
        <v>4</v>
      </c>
      <c r="DC66" s="219" t="s">
        <v>6</v>
      </c>
      <c r="DD66" s="760">
        <f>'Arable Inputs'!$F$18</f>
        <v>3.3</v>
      </c>
      <c r="DE66" s="760">
        <f>'Arable Inputs'!$F$25</f>
        <v>345.1</v>
      </c>
      <c r="DF66" s="760">
        <f>'Arable Inputs'!$F$19</f>
        <v>2.6</v>
      </c>
      <c r="DG66" s="760">
        <f>'Arable Inputs'!$F$26</f>
        <v>42.374999999999993</v>
      </c>
      <c r="DH66" s="762">
        <f>DD66*DE66+DF66*DG66</f>
        <v>1249.0049999999999</v>
      </c>
      <c r="DI66" s="197">
        <f>'Arable NPV'!$E146</f>
        <v>175.95</v>
      </c>
      <c r="DJ66" s="197">
        <f t="shared" si="188"/>
        <v>1424.9549999999999</v>
      </c>
      <c r="DK66" s="197">
        <f>'Arable NPV'!$G146</f>
        <v>619.745</v>
      </c>
      <c r="DL66" s="197">
        <f>'Arable NPV'!$H146</f>
        <v>710.23622685714281</v>
      </c>
      <c r="DM66" s="197">
        <f>'Arable NPV'!$I146-'Arable NPV'!$I146</f>
        <v>0</v>
      </c>
      <c r="DN66" s="197">
        <f t="shared" si="189"/>
        <v>1249.0049999999999</v>
      </c>
      <c r="DO66" s="197">
        <f t="shared" si="190"/>
        <v>1424.9549999999999</v>
      </c>
      <c r="DP66" s="196">
        <f t="shared" si="191"/>
        <v>1110.3608969617658</v>
      </c>
      <c r="DQ66" s="197">
        <f t="shared" si="192"/>
        <v>156.41890930814745</v>
      </c>
      <c r="DR66" s="197">
        <f t="shared" si="193"/>
        <v>0</v>
      </c>
      <c r="DS66" s="197">
        <f t="shared" si="194"/>
        <v>1110.3608969617658</v>
      </c>
      <c r="DT66" s="199">
        <f t="shared" si="195"/>
        <v>1266.7798062699133</v>
      </c>
      <c r="DU66" s="196">
        <f t="shared" si="196"/>
        <v>5793.1131454824754</v>
      </c>
      <c r="DV66" s="197">
        <f t="shared" si="196"/>
        <v>664.22726729631313</v>
      </c>
      <c r="DW66" s="197">
        <f t="shared" si="196"/>
        <v>0</v>
      </c>
      <c r="DX66" s="197">
        <f t="shared" si="196"/>
        <v>5793.1131454824754</v>
      </c>
      <c r="DY66" s="199">
        <f t="shared" si="196"/>
        <v>6457.340412778789</v>
      </c>
    </row>
    <row r="67" spans="2:129" x14ac:dyDescent="0.3">
      <c r="B67" s="204">
        <f t="shared" si="197"/>
        <v>5</v>
      </c>
      <c r="C67" s="219" t="s">
        <v>5</v>
      </c>
      <c r="D67" s="760">
        <f>'Arable Inputs'!$E$18</f>
        <v>4.1100000000000003</v>
      </c>
      <c r="E67" s="760">
        <f>'Arable Inputs'!$E$25</f>
        <v>154.80000000000001</v>
      </c>
      <c r="F67" s="760">
        <f>'Arable Inputs'!$E$19</f>
        <v>3.5</v>
      </c>
      <c r="G67" s="760">
        <f>'Arable Inputs'!$E$26</f>
        <v>79.099999999999994</v>
      </c>
      <c r="H67" s="762">
        <f>D67*E67+F67*G67</f>
        <v>913.07799999999997</v>
      </c>
      <c r="I67" s="197">
        <f>'Arable NPV'!$E147</f>
        <v>175.95</v>
      </c>
      <c r="J67" s="197">
        <f t="shared" si="145"/>
        <v>1089.028</v>
      </c>
      <c r="K67" s="197">
        <f>'Arable NPV'!$G147</f>
        <v>468.64299999999992</v>
      </c>
      <c r="L67" s="197">
        <f>'Arable NPV'!$H147</f>
        <v>888.75536799999986</v>
      </c>
      <c r="M67" s="197">
        <f t="shared" si="146"/>
        <v>1357.3983679999997</v>
      </c>
      <c r="N67" s="197">
        <f t="shared" si="147"/>
        <v>-444.32036799999969</v>
      </c>
      <c r="O67" s="197">
        <f t="shared" si="148"/>
        <v>-268.37036799999964</v>
      </c>
      <c r="P67" s="196">
        <f t="shared" si="149"/>
        <v>780.50290113703988</v>
      </c>
      <c r="Q67" s="197">
        <f t="shared" si="150"/>
        <v>150.40279741168024</v>
      </c>
      <c r="R67" s="197">
        <f t="shared" si="151"/>
        <v>1160.3098138633095</v>
      </c>
      <c r="S67" s="197">
        <f t="shared" si="152"/>
        <v>-379.80691272626973</v>
      </c>
      <c r="T67" s="199">
        <f t="shared" si="153"/>
        <v>-229.40411531458949</v>
      </c>
      <c r="U67" s="196">
        <f t="shared" si="154"/>
        <v>6573.6160466195151</v>
      </c>
      <c r="V67" s="197">
        <f t="shared" si="154"/>
        <v>814.63006470799337</v>
      </c>
      <c r="W67" s="197">
        <f t="shared" si="154"/>
        <v>6849.7274979654276</v>
      </c>
      <c r="X67" s="197">
        <f t="shared" si="154"/>
        <v>-276.11145134591254</v>
      </c>
      <c r="Y67" s="199">
        <f t="shared" si="154"/>
        <v>538.51861336208106</v>
      </c>
      <c r="Z67" s="197"/>
      <c r="AB67" s="204">
        <f t="shared" si="198"/>
        <v>5</v>
      </c>
      <c r="AC67" s="219" t="s">
        <v>5</v>
      </c>
      <c r="AD67" s="760">
        <f>'Arable Inputs'!$E$18</f>
        <v>4.1100000000000003</v>
      </c>
      <c r="AE67" s="760">
        <f>'Arable Inputs'!$E$25</f>
        <v>154.80000000000001</v>
      </c>
      <c r="AF67" s="760">
        <f>'Arable Inputs'!$E$19</f>
        <v>3.5</v>
      </c>
      <c r="AG67" s="760">
        <f>'Arable Inputs'!$E$26</f>
        <v>79.099999999999994</v>
      </c>
      <c r="AH67" s="762">
        <f>AD67*AE67+AF67*AG67</f>
        <v>913.07799999999997</v>
      </c>
      <c r="AI67" s="197">
        <f>'Arable NPV'!$E147</f>
        <v>175.95</v>
      </c>
      <c r="AJ67" s="197">
        <f t="shared" si="155"/>
        <v>1089.028</v>
      </c>
      <c r="AK67" s="197">
        <f>'Arable NPV'!$G147</f>
        <v>468.64299999999992</v>
      </c>
      <c r="AL67" s="197">
        <f>'Arable NPV'!$H147</f>
        <v>888.75536799999986</v>
      </c>
      <c r="AM67" s="197">
        <f>'Arable NPV'!$I147+0.5*'Arable NPV'!$I147</f>
        <v>2036.0975519999995</v>
      </c>
      <c r="AN67" s="197">
        <f t="shared" si="156"/>
        <v>-1123.0195519999995</v>
      </c>
      <c r="AO67" s="197">
        <f t="shared" si="157"/>
        <v>-947.06955199999948</v>
      </c>
      <c r="AP67" s="196">
        <f t="shared" si="158"/>
        <v>780.50290113703988</v>
      </c>
      <c r="AQ67" s="197">
        <f t="shared" si="159"/>
        <v>150.40279741168024</v>
      </c>
      <c r="AR67" s="197">
        <f t="shared" si="160"/>
        <v>1740.4647207949645</v>
      </c>
      <c r="AS67" s="197">
        <f t="shared" si="161"/>
        <v>-959.96181965792459</v>
      </c>
      <c r="AT67" s="199">
        <f t="shared" si="162"/>
        <v>-809.55902224624424</v>
      </c>
      <c r="AU67" s="196">
        <f t="shared" si="163"/>
        <v>6573.6160466195151</v>
      </c>
      <c r="AV67" s="197">
        <f t="shared" si="163"/>
        <v>814.63006470799337</v>
      </c>
      <c r="AW67" s="197">
        <f t="shared" si="163"/>
        <v>10274.591246948143</v>
      </c>
      <c r="AX67" s="197">
        <f t="shared" si="163"/>
        <v>-3700.9752003286271</v>
      </c>
      <c r="AY67" s="199">
        <f t="shared" si="164"/>
        <v>-2886.3451356206333</v>
      </c>
      <c r="BB67" s="204">
        <f t="shared" si="199"/>
        <v>5</v>
      </c>
      <c r="BC67" s="219" t="s">
        <v>5</v>
      </c>
      <c r="BD67" s="760">
        <f>'Arable Inputs'!$E$18</f>
        <v>4.1100000000000003</v>
      </c>
      <c r="BE67" s="760">
        <f>'Arable Inputs'!$E$25</f>
        <v>154.80000000000001</v>
      </c>
      <c r="BF67" s="760">
        <f>'Arable Inputs'!$E$19</f>
        <v>3.5</v>
      </c>
      <c r="BG67" s="760">
        <f>'Arable Inputs'!$E$26</f>
        <v>79.099999999999994</v>
      </c>
      <c r="BH67" s="762">
        <f>BD67*BE67+BF67*BG67</f>
        <v>913.07799999999997</v>
      </c>
      <c r="BI67" s="197">
        <f>'Arable NPV'!$E147</f>
        <v>175.95</v>
      </c>
      <c r="BJ67" s="197">
        <f t="shared" si="165"/>
        <v>1089.028</v>
      </c>
      <c r="BK67" s="197">
        <f>'Arable NPV'!$G147</f>
        <v>468.64299999999992</v>
      </c>
      <c r="BL67" s="197">
        <f>'Arable NPV'!$H147</f>
        <v>888.75536799999986</v>
      </c>
      <c r="BM67" s="197">
        <f>'Arable NPV'!$I147-0.5*'Arable NPV'!$I147</f>
        <v>678.69918399999983</v>
      </c>
      <c r="BN67" s="197">
        <f t="shared" si="166"/>
        <v>234.37881600000014</v>
      </c>
      <c r="BO67" s="197">
        <f t="shared" si="167"/>
        <v>410.32881600000019</v>
      </c>
      <c r="BP67" s="196">
        <f t="shared" si="168"/>
        <v>780.50290113703988</v>
      </c>
      <c r="BQ67" s="197">
        <f t="shared" si="169"/>
        <v>150.40279741168024</v>
      </c>
      <c r="BR67" s="197">
        <f t="shared" si="170"/>
        <v>580.15490693165475</v>
      </c>
      <c r="BS67" s="197">
        <f t="shared" si="171"/>
        <v>200.34799420538505</v>
      </c>
      <c r="BT67" s="199">
        <f t="shared" si="172"/>
        <v>350.75079161706532</v>
      </c>
      <c r="BU67" s="196">
        <f t="shared" si="173"/>
        <v>6573.6160466195151</v>
      </c>
      <c r="BV67" s="197">
        <f t="shared" si="173"/>
        <v>814.63006470799337</v>
      </c>
      <c r="BW67" s="197">
        <f t="shared" si="173"/>
        <v>3424.8637489827138</v>
      </c>
      <c r="BX67" s="197">
        <f t="shared" si="174"/>
        <v>3148.7522976368018</v>
      </c>
      <c r="BY67" s="199">
        <f t="shared" si="175"/>
        <v>3963.3823623447952</v>
      </c>
      <c r="CB67" s="204">
        <f t="shared" si="200"/>
        <v>5</v>
      </c>
      <c r="CC67" s="219" t="s">
        <v>5</v>
      </c>
      <c r="CD67" s="760">
        <f>'Arable Inputs'!$E$18</f>
        <v>4.1100000000000003</v>
      </c>
      <c r="CE67" s="760">
        <f>'Arable Inputs'!$E$25</f>
        <v>154.80000000000001</v>
      </c>
      <c r="CF67" s="760">
        <f>'Arable Inputs'!$E$19</f>
        <v>3.5</v>
      </c>
      <c r="CG67" s="760">
        <f>'Arable Inputs'!$E$26</f>
        <v>79.099999999999994</v>
      </c>
      <c r="CH67" s="762">
        <f>CD67*CE67+CF67*CG67</f>
        <v>913.07799999999997</v>
      </c>
      <c r="CI67" s="197">
        <f>'Arable NPV'!$E147</f>
        <v>175.95</v>
      </c>
      <c r="CJ67" s="197">
        <f t="shared" si="176"/>
        <v>1089.028</v>
      </c>
      <c r="CK67" s="197">
        <f>'Arable NPV'!$G147</f>
        <v>468.64299999999992</v>
      </c>
      <c r="CL67" s="197">
        <f>'Arable NPV'!$H147</f>
        <v>888.75536799999986</v>
      </c>
      <c r="CM67" s="197">
        <f>'Arable NPV'!$I147+'Arable NPV'!$I147</f>
        <v>2714.7967359999993</v>
      </c>
      <c r="CN67" s="197">
        <f t="shared" si="177"/>
        <v>-1801.7187359999994</v>
      </c>
      <c r="CO67" s="197">
        <f t="shared" si="178"/>
        <v>-1625.7687359999993</v>
      </c>
      <c r="CP67" s="196">
        <f t="shared" si="179"/>
        <v>780.50290113703988</v>
      </c>
      <c r="CQ67" s="197">
        <f t="shared" si="180"/>
        <v>150.40279741168024</v>
      </c>
      <c r="CR67" s="197">
        <f t="shared" si="181"/>
        <v>2320.619627726619</v>
      </c>
      <c r="CS67" s="197">
        <f t="shared" si="182"/>
        <v>-1540.1167265895795</v>
      </c>
      <c r="CT67" s="199">
        <f t="shared" si="183"/>
        <v>-1389.713929177899</v>
      </c>
      <c r="CU67" s="196">
        <f t="shared" si="184"/>
        <v>6573.6160466195151</v>
      </c>
      <c r="CV67" s="197">
        <f t="shared" si="184"/>
        <v>814.63006470799337</v>
      </c>
      <c r="CW67" s="197">
        <f t="shared" si="185"/>
        <v>13699.454995930855</v>
      </c>
      <c r="CX67" s="197">
        <f t="shared" si="186"/>
        <v>-7125.8389493113409</v>
      </c>
      <c r="CY67" s="199">
        <f t="shared" si="187"/>
        <v>-6311.2088846033475</v>
      </c>
      <c r="DB67" s="204">
        <f t="shared" si="201"/>
        <v>5</v>
      </c>
      <c r="DC67" s="219" t="s">
        <v>5</v>
      </c>
      <c r="DD67" s="760">
        <f>'Arable Inputs'!$E$18</f>
        <v>4.1100000000000003</v>
      </c>
      <c r="DE67" s="760">
        <f>'Arable Inputs'!$E$25</f>
        <v>154.80000000000001</v>
      </c>
      <c r="DF67" s="760">
        <f>'Arable Inputs'!$E$19</f>
        <v>3.5</v>
      </c>
      <c r="DG67" s="760">
        <f>'Arable Inputs'!$E$26</f>
        <v>79.099999999999994</v>
      </c>
      <c r="DH67" s="762">
        <f>DD67*DE67+DF67*DG67</f>
        <v>913.07799999999997</v>
      </c>
      <c r="DI67" s="197">
        <f>'Arable NPV'!$E147</f>
        <v>175.95</v>
      </c>
      <c r="DJ67" s="197">
        <f t="shared" si="188"/>
        <v>1089.028</v>
      </c>
      <c r="DK67" s="197">
        <f>'Arable NPV'!$G147</f>
        <v>468.64299999999992</v>
      </c>
      <c r="DL67" s="197">
        <f>'Arable NPV'!$H147</f>
        <v>888.75536799999986</v>
      </c>
      <c r="DM67" s="197">
        <f>'Arable NPV'!$I147-'Arable NPV'!$I147</f>
        <v>0</v>
      </c>
      <c r="DN67" s="197">
        <f t="shared" si="189"/>
        <v>913.07799999999997</v>
      </c>
      <c r="DO67" s="197">
        <f t="shared" si="190"/>
        <v>1089.028</v>
      </c>
      <c r="DP67" s="196">
        <f t="shared" si="191"/>
        <v>780.50290113703988</v>
      </c>
      <c r="DQ67" s="197">
        <f t="shared" si="192"/>
        <v>150.40279741168024</v>
      </c>
      <c r="DR67" s="197">
        <f t="shared" si="193"/>
        <v>0</v>
      </c>
      <c r="DS67" s="197">
        <f t="shared" si="194"/>
        <v>780.50290113703988</v>
      </c>
      <c r="DT67" s="199">
        <f t="shared" si="195"/>
        <v>930.90569854872012</v>
      </c>
      <c r="DU67" s="196">
        <f t="shared" si="196"/>
        <v>6573.6160466195151</v>
      </c>
      <c r="DV67" s="197">
        <f t="shared" si="196"/>
        <v>814.63006470799337</v>
      </c>
      <c r="DW67" s="197">
        <f t="shared" si="196"/>
        <v>0</v>
      </c>
      <c r="DX67" s="197">
        <f t="shared" si="196"/>
        <v>6573.6160466195151</v>
      </c>
      <c r="DY67" s="199">
        <f t="shared" si="196"/>
        <v>7388.2461113275094</v>
      </c>
    </row>
    <row r="68" spans="2:129" x14ac:dyDescent="0.3">
      <c r="B68" s="204">
        <f t="shared" si="197"/>
        <v>6</v>
      </c>
      <c r="C68" s="219" t="s">
        <v>4</v>
      </c>
      <c r="D68" s="760">
        <f>'Arable Inputs'!$D$18</f>
        <v>7.45</v>
      </c>
      <c r="E68" s="760">
        <f>'Arable Inputs'!$D$25</f>
        <v>193.7</v>
      </c>
      <c r="F68" s="760">
        <f>'Arable Inputs'!$D$19</f>
        <v>3.9</v>
      </c>
      <c r="G68" s="760">
        <f>'Arable Inputs'!$D$26</f>
        <v>73.449999999999989</v>
      </c>
      <c r="H68" s="762">
        <f>D68*E68+F68*G68</f>
        <v>1729.52</v>
      </c>
      <c r="I68" s="197">
        <f>'Arable NPV'!$E148</f>
        <v>175.95</v>
      </c>
      <c r="J68" s="197">
        <f t="shared" si="145"/>
        <v>1905.47</v>
      </c>
      <c r="K68" s="197">
        <f>'Arable NPV'!$G148</f>
        <v>671.92799999999988</v>
      </c>
      <c r="L68" s="197">
        <f>'Arable NPV'!$H148</f>
        <v>969.47373599999992</v>
      </c>
      <c r="M68" s="197">
        <f t="shared" si="146"/>
        <v>1641.4017359999998</v>
      </c>
      <c r="N68" s="197">
        <f t="shared" si="147"/>
        <v>88.118264000000181</v>
      </c>
      <c r="O68" s="197">
        <f t="shared" si="148"/>
        <v>264.06826400000023</v>
      </c>
      <c r="P68" s="196">
        <f t="shared" si="149"/>
        <v>1421.5393696824337</v>
      </c>
      <c r="Q68" s="197">
        <f t="shared" si="150"/>
        <v>144.61807443430789</v>
      </c>
      <c r="R68" s="197">
        <f t="shared" si="151"/>
        <v>1349.1125799002568</v>
      </c>
      <c r="S68" s="197">
        <f t="shared" si="152"/>
        <v>72.426789782176868</v>
      </c>
      <c r="T68" s="199">
        <f t="shared" si="153"/>
        <v>217.04486421648483</v>
      </c>
      <c r="U68" s="196">
        <f t="shared" si="154"/>
        <v>7995.1554163019491</v>
      </c>
      <c r="V68" s="197">
        <f t="shared" si="154"/>
        <v>959.24813914230128</v>
      </c>
      <c r="W68" s="197">
        <f t="shared" si="154"/>
        <v>8198.8400778656851</v>
      </c>
      <c r="X68" s="197">
        <f t="shared" si="154"/>
        <v>-203.68466156373569</v>
      </c>
      <c r="Y68" s="199">
        <f t="shared" si="154"/>
        <v>755.56347757856588</v>
      </c>
      <c r="Z68" s="197"/>
      <c r="AB68" s="204">
        <f t="shared" si="198"/>
        <v>6</v>
      </c>
      <c r="AC68" s="219" t="s">
        <v>4</v>
      </c>
      <c r="AD68" s="760">
        <f>'Arable Inputs'!$D$18</f>
        <v>7.45</v>
      </c>
      <c r="AE68" s="760">
        <f>'Arable Inputs'!$D$25</f>
        <v>193.7</v>
      </c>
      <c r="AF68" s="760">
        <f>'Arable Inputs'!$D$19</f>
        <v>3.9</v>
      </c>
      <c r="AG68" s="760">
        <f>'Arable Inputs'!$D$26</f>
        <v>73.449999999999989</v>
      </c>
      <c r="AH68" s="762">
        <f>AD68*AE68+AF68*AG68</f>
        <v>1729.52</v>
      </c>
      <c r="AI68" s="197">
        <f>'Arable NPV'!$E148</f>
        <v>175.95</v>
      </c>
      <c r="AJ68" s="197">
        <f t="shared" si="155"/>
        <v>1905.47</v>
      </c>
      <c r="AK68" s="197">
        <f>'Arable NPV'!$G148</f>
        <v>671.92799999999988</v>
      </c>
      <c r="AL68" s="197">
        <f>'Arable NPV'!$H148</f>
        <v>969.47373599999992</v>
      </c>
      <c r="AM68" s="197">
        <f>'Arable NPV'!$I148+0.5*'Arable NPV'!$I148</f>
        <v>2462.1026039999997</v>
      </c>
      <c r="AN68" s="197">
        <f t="shared" si="156"/>
        <v>-732.58260399999972</v>
      </c>
      <c r="AO68" s="197">
        <f t="shared" si="157"/>
        <v>-556.63260399999967</v>
      </c>
      <c r="AP68" s="196">
        <f t="shared" si="158"/>
        <v>1421.5393696824337</v>
      </c>
      <c r="AQ68" s="197">
        <f t="shared" si="159"/>
        <v>144.61807443430789</v>
      </c>
      <c r="AR68" s="197">
        <f t="shared" si="160"/>
        <v>2023.6688698503851</v>
      </c>
      <c r="AS68" s="197">
        <f t="shared" si="161"/>
        <v>-602.12950016795151</v>
      </c>
      <c r="AT68" s="199">
        <f t="shared" si="162"/>
        <v>-457.51142573364359</v>
      </c>
      <c r="AU68" s="196">
        <f t="shared" si="163"/>
        <v>7995.1554163019491</v>
      </c>
      <c r="AV68" s="197">
        <f t="shared" si="163"/>
        <v>959.24813914230128</v>
      </c>
      <c r="AW68" s="197">
        <f t="shared" si="163"/>
        <v>12298.260116798529</v>
      </c>
      <c r="AX68" s="197">
        <f t="shared" si="163"/>
        <v>-4303.1047004965785</v>
      </c>
      <c r="AY68" s="199">
        <f t="shared" si="164"/>
        <v>-3343.8565613542769</v>
      </c>
      <c r="BB68" s="204">
        <f t="shared" si="199"/>
        <v>6</v>
      </c>
      <c r="BC68" s="219" t="s">
        <v>4</v>
      </c>
      <c r="BD68" s="760">
        <f>'Arable Inputs'!$D$18</f>
        <v>7.45</v>
      </c>
      <c r="BE68" s="760">
        <f>'Arable Inputs'!$D$25</f>
        <v>193.7</v>
      </c>
      <c r="BF68" s="760">
        <f>'Arable Inputs'!$D$19</f>
        <v>3.9</v>
      </c>
      <c r="BG68" s="760">
        <f>'Arable Inputs'!$D$26</f>
        <v>73.449999999999989</v>
      </c>
      <c r="BH68" s="762">
        <f>BD68*BE68+BF68*BG68</f>
        <v>1729.52</v>
      </c>
      <c r="BI68" s="197">
        <f>'Arable NPV'!$E148</f>
        <v>175.95</v>
      </c>
      <c r="BJ68" s="197">
        <f t="shared" si="165"/>
        <v>1905.47</v>
      </c>
      <c r="BK68" s="197">
        <f>'Arable NPV'!$G148</f>
        <v>671.92799999999988</v>
      </c>
      <c r="BL68" s="197">
        <f>'Arable NPV'!$H148</f>
        <v>969.47373599999992</v>
      </c>
      <c r="BM68" s="197">
        <f>'Arable NPV'!$I148-0.5*'Arable NPV'!$I148</f>
        <v>820.7008679999999</v>
      </c>
      <c r="BN68" s="197">
        <f t="shared" si="166"/>
        <v>908.81913200000008</v>
      </c>
      <c r="BO68" s="197">
        <f t="shared" si="167"/>
        <v>1084.7691320000001</v>
      </c>
      <c r="BP68" s="196">
        <f t="shared" si="168"/>
        <v>1421.5393696824337</v>
      </c>
      <c r="BQ68" s="197">
        <f t="shared" si="169"/>
        <v>144.61807443430789</v>
      </c>
      <c r="BR68" s="197">
        <f t="shared" si="170"/>
        <v>674.55628995012842</v>
      </c>
      <c r="BS68" s="197">
        <f t="shared" si="171"/>
        <v>746.98307973230521</v>
      </c>
      <c r="BT68" s="199">
        <f t="shared" si="172"/>
        <v>891.60115416661324</v>
      </c>
      <c r="BU68" s="196">
        <f t="shared" si="173"/>
        <v>7995.1554163019491</v>
      </c>
      <c r="BV68" s="197">
        <f t="shared" si="173"/>
        <v>959.24813914230128</v>
      </c>
      <c r="BW68" s="197">
        <f t="shared" si="173"/>
        <v>4099.4200389328425</v>
      </c>
      <c r="BX68" s="197">
        <f t="shared" si="174"/>
        <v>3895.735377369107</v>
      </c>
      <c r="BY68" s="199">
        <f t="shared" si="175"/>
        <v>4854.9835165114082</v>
      </c>
      <c r="CB68" s="204">
        <f t="shared" si="200"/>
        <v>6</v>
      </c>
      <c r="CC68" s="219" t="s">
        <v>4</v>
      </c>
      <c r="CD68" s="760">
        <f>'Arable Inputs'!$D$18</f>
        <v>7.45</v>
      </c>
      <c r="CE68" s="760">
        <f>'Arable Inputs'!$D$25</f>
        <v>193.7</v>
      </c>
      <c r="CF68" s="760">
        <f>'Arable Inputs'!$D$19</f>
        <v>3.9</v>
      </c>
      <c r="CG68" s="760">
        <f>'Arable Inputs'!$D$26</f>
        <v>73.449999999999989</v>
      </c>
      <c r="CH68" s="762">
        <f>CD68*CE68+CF68*CG68</f>
        <v>1729.52</v>
      </c>
      <c r="CI68" s="197">
        <f>'Arable NPV'!$E148</f>
        <v>175.95</v>
      </c>
      <c r="CJ68" s="197">
        <f t="shared" si="176"/>
        <v>1905.47</v>
      </c>
      <c r="CK68" s="197">
        <f>'Arable NPV'!$G148</f>
        <v>671.92799999999988</v>
      </c>
      <c r="CL68" s="197">
        <f>'Arable NPV'!$H148</f>
        <v>969.47373599999992</v>
      </c>
      <c r="CM68" s="197">
        <f>'Arable NPV'!$I148+'Arable NPV'!$I148</f>
        <v>3282.8034719999996</v>
      </c>
      <c r="CN68" s="197">
        <f t="shared" si="177"/>
        <v>-1553.2834719999996</v>
      </c>
      <c r="CO68" s="197">
        <f t="shared" si="178"/>
        <v>-1377.3334719999996</v>
      </c>
      <c r="CP68" s="196">
        <f t="shared" si="179"/>
        <v>1421.5393696824337</v>
      </c>
      <c r="CQ68" s="197">
        <f t="shared" si="180"/>
        <v>144.61807443430789</v>
      </c>
      <c r="CR68" s="197">
        <f t="shared" si="181"/>
        <v>2698.2251598005137</v>
      </c>
      <c r="CS68" s="197">
        <f t="shared" si="182"/>
        <v>-1276.6857901180799</v>
      </c>
      <c r="CT68" s="199">
        <f t="shared" si="183"/>
        <v>-1132.0677156837719</v>
      </c>
      <c r="CU68" s="196">
        <f t="shared" si="184"/>
        <v>7995.1554163019491</v>
      </c>
      <c r="CV68" s="197">
        <f t="shared" si="184"/>
        <v>959.24813914230128</v>
      </c>
      <c r="CW68" s="197">
        <f t="shared" si="185"/>
        <v>16397.68015573137</v>
      </c>
      <c r="CX68" s="197">
        <f t="shared" si="186"/>
        <v>-8402.5247394294202</v>
      </c>
      <c r="CY68" s="199">
        <f t="shared" si="187"/>
        <v>-7443.2766002871194</v>
      </c>
      <c r="DB68" s="204">
        <f t="shared" si="201"/>
        <v>6</v>
      </c>
      <c r="DC68" s="219" t="s">
        <v>4</v>
      </c>
      <c r="DD68" s="760">
        <f>'Arable Inputs'!$D$18</f>
        <v>7.45</v>
      </c>
      <c r="DE68" s="760">
        <f>'Arable Inputs'!$D$25</f>
        <v>193.7</v>
      </c>
      <c r="DF68" s="760">
        <f>'Arable Inputs'!$D$19</f>
        <v>3.9</v>
      </c>
      <c r="DG68" s="760">
        <f>'Arable Inputs'!$D$26</f>
        <v>73.449999999999989</v>
      </c>
      <c r="DH68" s="762">
        <f>DD68*DE68+DF68*DG68</f>
        <v>1729.52</v>
      </c>
      <c r="DI68" s="197">
        <f>'Arable NPV'!$E148</f>
        <v>175.95</v>
      </c>
      <c r="DJ68" s="197">
        <f t="shared" si="188"/>
        <v>1905.47</v>
      </c>
      <c r="DK68" s="197">
        <f>'Arable NPV'!$G148</f>
        <v>671.92799999999988</v>
      </c>
      <c r="DL68" s="197">
        <f>'Arable NPV'!$H148</f>
        <v>969.47373599999992</v>
      </c>
      <c r="DM68" s="197">
        <f>'Arable NPV'!$I148-'Arable NPV'!$I148</f>
        <v>0</v>
      </c>
      <c r="DN68" s="197">
        <f t="shared" si="189"/>
        <v>1729.52</v>
      </c>
      <c r="DO68" s="197">
        <f t="shared" si="190"/>
        <v>1905.47</v>
      </c>
      <c r="DP68" s="196">
        <f t="shared" si="191"/>
        <v>1421.5393696824337</v>
      </c>
      <c r="DQ68" s="197">
        <f t="shared" si="192"/>
        <v>144.61807443430789</v>
      </c>
      <c r="DR68" s="197">
        <f t="shared" si="193"/>
        <v>0</v>
      </c>
      <c r="DS68" s="197">
        <f t="shared" si="194"/>
        <v>1421.5393696824337</v>
      </c>
      <c r="DT68" s="199">
        <f t="shared" si="195"/>
        <v>1566.1574441167415</v>
      </c>
      <c r="DU68" s="196">
        <f t="shared" si="196"/>
        <v>7995.1554163019491</v>
      </c>
      <c r="DV68" s="197">
        <f t="shared" si="196"/>
        <v>959.24813914230128</v>
      </c>
      <c r="DW68" s="197">
        <f t="shared" si="196"/>
        <v>0</v>
      </c>
      <c r="DX68" s="197">
        <f t="shared" si="196"/>
        <v>7995.1554163019491</v>
      </c>
      <c r="DY68" s="199">
        <f t="shared" si="196"/>
        <v>8954.4035554442507</v>
      </c>
    </row>
    <row r="69" spans="2:129" x14ac:dyDescent="0.3">
      <c r="B69" s="204">
        <f t="shared" si="197"/>
        <v>7</v>
      </c>
      <c r="C69" s="219" t="s">
        <v>7</v>
      </c>
      <c r="D69" s="760">
        <f>'Arable Inputs'!$G$18</f>
        <v>63.1</v>
      </c>
      <c r="E69" s="760">
        <f>'Arable Inputs'!$G$25</f>
        <v>26</v>
      </c>
      <c r="H69" s="762">
        <f>D69*E69</f>
        <v>1640.6000000000001</v>
      </c>
      <c r="I69" s="197">
        <f>'Arable NPV'!$E149</f>
        <v>175.95</v>
      </c>
      <c r="J69" s="197">
        <f t="shared" si="145"/>
        <v>1816.5500000000002</v>
      </c>
      <c r="K69" s="197">
        <f>'Arable NPV'!$G149</f>
        <v>819.30399999999986</v>
      </c>
      <c r="L69" s="197">
        <f>'Arable NPV'!$H149</f>
        <v>996.95456799999988</v>
      </c>
      <c r="M69" s="197">
        <f t="shared" si="146"/>
        <v>1816.2585679999997</v>
      </c>
      <c r="N69" s="197">
        <f t="shared" si="147"/>
        <v>-175.6585679999996</v>
      </c>
      <c r="O69" s="197">
        <f t="shared" si="148"/>
        <v>0.29143200000044089</v>
      </c>
      <c r="P69" s="196">
        <f t="shared" si="149"/>
        <v>1296.5900109128772</v>
      </c>
      <c r="Q69" s="197">
        <f t="shared" si="150"/>
        <v>139.05584080221914</v>
      </c>
      <c r="R69" s="197">
        <f t="shared" si="151"/>
        <v>1435.4155287722333</v>
      </c>
      <c r="S69" s="197">
        <f t="shared" si="152"/>
        <v>-138.82551785935624</v>
      </c>
      <c r="T69" s="199">
        <f t="shared" si="153"/>
        <v>0.23032294286293628</v>
      </c>
      <c r="U69" s="196">
        <f t="shared" si="154"/>
        <v>9291.7454272148261</v>
      </c>
      <c r="V69" s="197">
        <f t="shared" si="154"/>
        <v>1098.3039799445205</v>
      </c>
      <c r="W69" s="197">
        <f t="shared" si="154"/>
        <v>9634.2556066379184</v>
      </c>
      <c r="X69" s="197">
        <f t="shared" si="154"/>
        <v>-342.51017942309193</v>
      </c>
      <c r="Y69" s="199">
        <f t="shared" si="154"/>
        <v>755.79380052142881</v>
      </c>
      <c r="Z69" s="197"/>
      <c r="AB69" s="204">
        <f t="shared" si="198"/>
        <v>7</v>
      </c>
      <c r="AC69" s="219" t="s">
        <v>7</v>
      </c>
      <c r="AD69" s="760">
        <f>'Arable Inputs'!$G$18</f>
        <v>63.1</v>
      </c>
      <c r="AE69" s="760">
        <f>'Arable Inputs'!$G$25</f>
        <v>26</v>
      </c>
      <c r="AH69" s="762">
        <f>AD69*AE69</f>
        <v>1640.6000000000001</v>
      </c>
      <c r="AI69" s="197">
        <f>'Arable NPV'!$E149</f>
        <v>175.95</v>
      </c>
      <c r="AJ69" s="197">
        <f t="shared" si="155"/>
        <v>1816.5500000000002</v>
      </c>
      <c r="AK69" s="197">
        <f>'Arable NPV'!$G149</f>
        <v>819.30399999999986</v>
      </c>
      <c r="AL69" s="197">
        <f>'Arable NPV'!$H149</f>
        <v>996.95456799999988</v>
      </c>
      <c r="AM69" s="197">
        <f>'Arable NPV'!$I149+0.5*'Arable NPV'!$I149</f>
        <v>2724.3878519999998</v>
      </c>
      <c r="AN69" s="197">
        <f t="shared" si="156"/>
        <v>-1083.7878519999997</v>
      </c>
      <c r="AO69" s="197">
        <f t="shared" si="157"/>
        <v>-907.83785199999966</v>
      </c>
      <c r="AP69" s="196">
        <f t="shared" si="158"/>
        <v>1296.5900109128772</v>
      </c>
      <c r="AQ69" s="197">
        <f t="shared" si="159"/>
        <v>139.05584080221914</v>
      </c>
      <c r="AR69" s="197">
        <f t="shared" si="160"/>
        <v>2153.1232931583504</v>
      </c>
      <c r="AS69" s="197">
        <f t="shared" si="161"/>
        <v>-856.53328224547306</v>
      </c>
      <c r="AT69" s="199">
        <f t="shared" si="162"/>
        <v>-717.47744144325395</v>
      </c>
      <c r="AU69" s="196">
        <f t="shared" si="163"/>
        <v>9291.7454272148261</v>
      </c>
      <c r="AV69" s="197">
        <f t="shared" si="163"/>
        <v>1098.3039799445205</v>
      </c>
      <c r="AW69" s="197">
        <f t="shared" si="163"/>
        <v>14451.383409956879</v>
      </c>
      <c r="AX69" s="197">
        <f t="shared" si="163"/>
        <v>-5159.6379827420515</v>
      </c>
      <c r="AY69" s="199">
        <f t="shared" si="164"/>
        <v>-4061.334002797531</v>
      </c>
      <c r="BB69" s="204">
        <f t="shared" si="199"/>
        <v>7</v>
      </c>
      <c r="BC69" s="219" t="s">
        <v>7</v>
      </c>
      <c r="BD69" s="760">
        <f>'Arable Inputs'!$G$18</f>
        <v>63.1</v>
      </c>
      <c r="BE69" s="760">
        <f>'Arable Inputs'!$G$25</f>
        <v>26</v>
      </c>
      <c r="BH69" s="762">
        <f>BD69*BE69</f>
        <v>1640.6000000000001</v>
      </c>
      <c r="BI69" s="197">
        <f>'Arable NPV'!$E149</f>
        <v>175.95</v>
      </c>
      <c r="BJ69" s="197">
        <f t="shared" si="165"/>
        <v>1816.5500000000002</v>
      </c>
      <c r="BK69" s="197">
        <f>'Arable NPV'!$G149</f>
        <v>819.30399999999986</v>
      </c>
      <c r="BL69" s="197">
        <f>'Arable NPV'!$H149</f>
        <v>996.95456799999988</v>
      </c>
      <c r="BM69" s="197">
        <f>'Arable NPV'!$I149-0.5*'Arable NPV'!$I149</f>
        <v>908.12928399999987</v>
      </c>
      <c r="BN69" s="197">
        <f t="shared" si="166"/>
        <v>732.47071600000027</v>
      </c>
      <c r="BO69" s="197">
        <f t="shared" si="167"/>
        <v>908.42071600000031</v>
      </c>
      <c r="BP69" s="196">
        <f t="shared" si="168"/>
        <v>1296.5900109128772</v>
      </c>
      <c r="BQ69" s="197">
        <f t="shared" si="169"/>
        <v>139.05584080221914</v>
      </c>
      <c r="BR69" s="197">
        <f t="shared" si="170"/>
        <v>717.70776438611665</v>
      </c>
      <c r="BS69" s="197">
        <f t="shared" si="171"/>
        <v>578.88224652676047</v>
      </c>
      <c r="BT69" s="199">
        <f t="shared" si="172"/>
        <v>717.93808732897969</v>
      </c>
      <c r="BU69" s="196">
        <f t="shared" si="173"/>
        <v>9291.7454272148261</v>
      </c>
      <c r="BV69" s="197">
        <f t="shared" si="173"/>
        <v>1098.3039799445205</v>
      </c>
      <c r="BW69" s="197">
        <f t="shared" si="173"/>
        <v>4817.1278033189592</v>
      </c>
      <c r="BX69" s="197">
        <f t="shared" si="174"/>
        <v>4474.6176238958678</v>
      </c>
      <c r="BY69" s="199">
        <f t="shared" si="175"/>
        <v>5572.9216038403883</v>
      </c>
      <c r="CB69" s="204">
        <f t="shared" si="200"/>
        <v>7</v>
      </c>
      <c r="CC69" s="219" t="s">
        <v>7</v>
      </c>
      <c r="CD69" s="760">
        <f>'Arable Inputs'!$G$18</f>
        <v>63.1</v>
      </c>
      <c r="CE69" s="760">
        <f>'Arable Inputs'!$G$25</f>
        <v>26</v>
      </c>
      <c r="CH69" s="762">
        <f>CD69*CE69</f>
        <v>1640.6000000000001</v>
      </c>
      <c r="CI69" s="197">
        <f>'Arable NPV'!$E149</f>
        <v>175.95</v>
      </c>
      <c r="CJ69" s="197">
        <f t="shared" si="176"/>
        <v>1816.5500000000002</v>
      </c>
      <c r="CK69" s="197">
        <f>'Arable NPV'!$G149</f>
        <v>819.30399999999986</v>
      </c>
      <c r="CL69" s="197">
        <f>'Arable NPV'!$H149</f>
        <v>996.95456799999988</v>
      </c>
      <c r="CM69" s="197">
        <f>'Arable NPV'!$I149+'Arable NPV'!$I149</f>
        <v>3632.5171359999995</v>
      </c>
      <c r="CN69" s="197">
        <f t="shared" si="177"/>
        <v>-1991.9171359999993</v>
      </c>
      <c r="CO69" s="197">
        <f t="shared" si="178"/>
        <v>-1815.9671359999993</v>
      </c>
      <c r="CP69" s="196">
        <f t="shared" si="179"/>
        <v>1296.5900109128772</v>
      </c>
      <c r="CQ69" s="197">
        <f t="shared" si="180"/>
        <v>139.05584080221914</v>
      </c>
      <c r="CR69" s="197">
        <f t="shared" si="181"/>
        <v>2870.8310575444666</v>
      </c>
      <c r="CS69" s="197">
        <f t="shared" si="182"/>
        <v>-1574.2410466315896</v>
      </c>
      <c r="CT69" s="199">
        <f t="shared" si="183"/>
        <v>-1435.1852058293705</v>
      </c>
      <c r="CU69" s="196">
        <f t="shared" si="184"/>
        <v>9291.7454272148261</v>
      </c>
      <c r="CV69" s="197">
        <f t="shared" si="184"/>
        <v>1098.3039799445205</v>
      </c>
      <c r="CW69" s="197">
        <f t="shared" si="185"/>
        <v>19268.511213275837</v>
      </c>
      <c r="CX69" s="197">
        <f t="shared" si="186"/>
        <v>-9976.7657860610088</v>
      </c>
      <c r="CY69" s="199">
        <f t="shared" si="187"/>
        <v>-8878.4618061164892</v>
      </c>
      <c r="DB69" s="204">
        <f t="shared" si="201"/>
        <v>7</v>
      </c>
      <c r="DC69" s="219" t="s">
        <v>7</v>
      </c>
      <c r="DD69" s="760">
        <f>'Arable Inputs'!$G$18</f>
        <v>63.1</v>
      </c>
      <c r="DE69" s="760">
        <f>'Arable Inputs'!$G$25</f>
        <v>26</v>
      </c>
      <c r="DH69" s="762">
        <f>DD69*DE69</f>
        <v>1640.6000000000001</v>
      </c>
      <c r="DI69" s="197">
        <f>'Arable NPV'!$E149</f>
        <v>175.95</v>
      </c>
      <c r="DJ69" s="197">
        <f t="shared" si="188"/>
        <v>1816.5500000000002</v>
      </c>
      <c r="DK69" s="197">
        <f>'Arable NPV'!$G149</f>
        <v>819.30399999999986</v>
      </c>
      <c r="DL69" s="197">
        <f>'Arable NPV'!$H149</f>
        <v>996.95456799999988</v>
      </c>
      <c r="DM69" s="197">
        <f>'Arable NPV'!$I149-'Arable NPV'!$I149</f>
        <v>0</v>
      </c>
      <c r="DN69" s="197">
        <f t="shared" si="189"/>
        <v>1640.6000000000001</v>
      </c>
      <c r="DO69" s="197">
        <f t="shared" si="190"/>
        <v>1816.5500000000002</v>
      </c>
      <c r="DP69" s="196">
        <f t="shared" si="191"/>
        <v>1296.5900109128772</v>
      </c>
      <c r="DQ69" s="197">
        <f t="shared" si="192"/>
        <v>139.05584080221914</v>
      </c>
      <c r="DR69" s="197">
        <f t="shared" si="193"/>
        <v>0</v>
      </c>
      <c r="DS69" s="197">
        <f t="shared" si="194"/>
        <v>1296.5900109128772</v>
      </c>
      <c r="DT69" s="199">
        <f t="shared" si="195"/>
        <v>1435.6458517150963</v>
      </c>
      <c r="DU69" s="196">
        <f t="shared" si="196"/>
        <v>9291.7454272148261</v>
      </c>
      <c r="DV69" s="197">
        <f t="shared" si="196"/>
        <v>1098.3039799445205</v>
      </c>
      <c r="DW69" s="197">
        <f t="shared" si="196"/>
        <v>0</v>
      </c>
      <c r="DX69" s="197">
        <f t="shared" si="196"/>
        <v>9291.7454272148261</v>
      </c>
      <c r="DY69" s="199">
        <f t="shared" si="196"/>
        <v>10390.049407159348</v>
      </c>
    </row>
    <row r="70" spans="2:129" x14ac:dyDescent="0.3">
      <c r="B70" s="204">
        <f t="shared" si="197"/>
        <v>8</v>
      </c>
      <c r="C70" s="219" t="s">
        <v>31</v>
      </c>
      <c r="D70" s="760">
        <f>'Arable Inputs'!$H$18</f>
        <v>8.14</v>
      </c>
      <c r="E70" s="760">
        <f>'Arable Inputs'!$H$25</f>
        <v>182.8</v>
      </c>
      <c r="H70" s="762">
        <f>D70*E70</f>
        <v>1487.9920000000002</v>
      </c>
      <c r="I70" s="197">
        <f>'Arable NPV'!$E150</f>
        <v>175.95</v>
      </c>
      <c r="J70" s="197">
        <f t="shared" si="145"/>
        <v>1663.9420000000002</v>
      </c>
      <c r="K70" s="197">
        <f>'Arable NPV'!$G150</f>
        <v>574.23049999999989</v>
      </c>
      <c r="L70" s="197">
        <f>'Arable NPV'!$H150</f>
        <v>636.366536</v>
      </c>
      <c r="M70" s="197">
        <f t="shared" si="146"/>
        <v>1210.5970359999999</v>
      </c>
      <c r="N70" s="197">
        <f t="shared" si="147"/>
        <v>277.3949640000003</v>
      </c>
      <c r="O70" s="197">
        <f t="shared" si="148"/>
        <v>453.34496400000035</v>
      </c>
      <c r="P70" s="196">
        <f t="shared" si="149"/>
        <v>1130.7516267021647</v>
      </c>
      <c r="Q70" s="197">
        <f t="shared" si="150"/>
        <v>133.70753923290303</v>
      </c>
      <c r="R70" s="197">
        <f t="shared" si="151"/>
        <v>919.95425226601935</v>
      </c>
      <c r="S70" s="197">
        <f t="shared" si="152"/>
        <v>210.79737443614528</v>
      </c>
      <c r="T70" s="199">
        <f t="shared" si="153"/>
        <v>344.50491366904834</v>
      </c>
      <c r="U70" s="196">
        <f t="shared" si="154"/>
        <v>10422.497053916992</v>
      </c>
      <c r="V70" s="197">
        <f t="shared" si="154"/>
        <v>1232.0115191774235</v>
      </c>
      <c r="W70" s="197">
        <f t="shared" si="154"/>
        <v>10554.209858903938</v>
      </c>
      <c r="X70" s="197">
        <f t="shared" si="154"/>
        <v>-131.71280498694665</v>
      </c>
      <c r="Y70" s="199">
        <f t="shared" si="154"/>
        <v>1100.2987141904771</v>
      </c>
      <c r="Z70" s="197"/>
      <c r="AB70" s="204">
        <f t="shared" si="198"/>
        <v>8</v>
      </c>
      <c r="AC70" s="219" t="s">
        <v>31</v>
      </c>
      <c r="AD70" s="760">
        <f>'Arable Inputs'!$H$18</f>
        <v>8.14</v>
      </c>
      <c r="AE70" s="760">
        <f>'Arable Inputs'!$H$25</f>
        <v>182.8</v>
      </c>
      <c r="AH70" s="762">
        <f>AD70*AE70</f>
        <v>1487.9920000000002</v>
      </c>
      <c r="AI70" s="197">
        <f>'Arable NPV'!$E150</f>
        <v>175.95</v>
      </c>
      <c r="AJ70" s="197">
        <f t="shared" si="155"/>
        <v>1663.9420000000002</v>
      </c>
      <c r="AK70" s="197">
        <f>'Arable NPV'!$G150</f>
        <v>574.23049999999989</v>
      </c>
      <c r="AL70" s="197">
        <f>'Arable NPV'!$H150</f>
        <v>636.366536</v>
      </c>
      <c r="AM70" s="197">
        <f>'Arable NPV'!$I150+0.5*'Arable NPV'!$I150</f>
        <v>1815.8955539999997</v>
      </c>
      <c r="AN70" s="197">
        <f t="shared" si="156"/>
        <v>-327.90355399999953</v>
      </c>
      <c r="AO70" s="197">
        <f t="shared" si="157"/>
        <v>-151.95355399999949</v>
      </c>
      <c r="AP70" s="196">
        <f t="shared" si="158"/>
        <v>1130.7516267021647</v>
      </c>
      <c r="AQ70" s="197">
        <f t="shared" si="159"/>
        <v>133.70753923290303</v>
      </c>
      <c r="AR70" s="197">
        <f t="shared" si="160"/>
        <v>1379.931378399029</v>
      </c>
      <c r="AS70" s="197">
        <f t="shared" si="161"/>
        <v>-249.17975169686432</v>
      </c>
      <c r="AT70" s="199">
        <f t="shared" si="162"/>
        <v>-115.47221246396124</v>
      </c>
      <c r="AU70" s="196">
        <f t="shared" si="163"/>
        <v>10422.497053916992</v>
      </c>
      <c r="AV70" s="197">
        <f t="shared" si="163"/>
        <v>1232.0115191774235</v>
      </c>
      <c r="AW70" s="197">
        <f t="shared" si="163"/>
        <v>15831.314788355909</v>
      </c>
      <c r="AX70" s="197">
        <f t="shared" si="163"/>
        <v>-5408.817734438916</v>
      </c>
      <c r="AY70" s="199">
        <f t="shared" si="164"/>
        <v>-4176.8062152614921</v>
      </c>
      <c r="BB70" s="204">
        <f t="shared" si="199"/>
        <v>8</v>
      </c>
      <c r="BC70" s="219" t="s">
        <v>31</v>
      </c>
      <c r="BD70" s="760">
        <f>'Arable Inputs'!$H$18</f>
        <v>8.14</v>
      </c>
      <c r="BE70" s="760">
        <f>'Arable Inputs'!$H$25</f>
        <v>182.8</v>
      </c>
      <c r="BH70" s="762">
        <f>BD70*BE70</f>
        <v>1487.9920000000002</v>
      </c>
      <c r="BI70" s="197">
        <f>'Arable NPV'!$E150</f>
        <v>175.95</v>
      </c>
      <c r="BJ70" s="197">
        <f t="shared" si="165"/>
        <v>1663.9420000000002</v>
      </c>
      <c r="BK70" s="197">
        <f>'Arable NPV'!$G150</f>
        <v>574.23049999999989</v>
      </c>
      <c r="BL70" s="197">
        <f>'Arable NPV'!$H150</f>
        <v>636.366536</v>
      </c>
      <c r="BM70" s="197">
        <f>'Arable NPV'!$I150-0.5*'Arable NPV'!$I150</f>
        <v>605.29851799999994</v>
      </c>
      <c r="BN70" s="197">
        <f t="shared" si="166"/>
        <v>882.69348200000024</v>
      </c>
      <c r="BO70" s="197">
        <f t="shared" si="167"/>
        <v>1058.6434820000004</v>
      </c>
      <c r="BP70" s="196">
        <f t="shared" si="168"/>
        <v>1130.7516267021647</v>
      </c>
      <c r="BQ70" s="197">
        <f t="shared" si="169"/>
        <v>133.70753923290303</v>
      </c>
      <c r="BR70" s="197">
        <f t="shared" si="170"/>
        <v>459.97712613300968</v>
      </c>
      <c r="BS70" s="197">
        <f t="shared" si="171"/>
        <v>670.77450056915495</v>
      </c>
      <c r="BT70" s="199">
        <f t="shared" si="172"/>
        <v>804.48203980205813</v>
      </c>
      <c r="BU70" s="196">
        <f t="shared" si="173"/>
        <v>10422.497053916992</v>
      </c>
      <c r="BV70" s="197">
        <f t="shared" si="173"/>
        <v>1232.0115191774235</v>
      </c>
      <c r="BW70" s="197">
        <f t="shared" si="173"/>
        <v>5277.1049294519689</v>
      </c>
      <c r="BX70" s="197">
        <f t="shared" si="174"/>
        <v>5145.3921244650228</v>
      </c>
      <c r="BY70" s="199">
        <f t="shared" si="175"/>
        <v>6377.4036436424467</v>
      </c>
      <c r="CB70" s="204">
        <f t="shared" si="200"/>
        <v>8</v>
      </c>
      <c r="CC70" s="219" t="s">
        <v>31</v>
      </c>
      <c r="CD70" s="760">
        <f>'Arable Inputs'!$H$18</f>
        <v>8.14</v>
      </c>
      <c r="CE70" s="760">
        <f>'Arable Inputs'!$H$25</f>
        <v>182.8</v>
      </c>
      <c r="CH70" s="762">
        <f>CD70*CE70</f>
        <v>1487.9920000000002</v>
      </c>
      <c r="CI70" s="197">
        <f>'Arable NPV'!$E150</f>
        <v>175.95</v>
      </c>
      <c r="CJ70" s="197">
        <f t="shared" si="176"/>
        <v>1663.9420000000002</v>
      </c>
      <c r="CK70" s="197">
        <f>'Arable NPV'!$G150</f>
        <v>574.23049999999989</v>
      </c>
      <c r="CL70" s="197">
        <f>'Arable NPV'!$H150</f>
        <v>636.366536</v>
      </c>
      <c r="CM70" s="197">
        <f>'Arable NPV'!$I150+'Arable NPV'!$I150</f>
        <v>2421.1940719999998</v>
      </c>
      <c r="CN70" s="197">
        <f t="shared" si="177"/>
        <v>-933.20207199999959</v>
      </c>
      <c r="CO70" s="197">
        <f t="shared" si="178"/>
        <v>-757.25207199999954</v>
      </c>
      <c r="CP70" s="196">
        <f t="shared" si="179"/>
        <v>1130.7516267021647</v>
      </c>
      <c r="CQ70" s="197">
        <f t="shared" si="180"/>
        <v>133.70753923290303</v>
      </c>
      <c r="CR70" s="197">
        <f t="shared" si="181"/>
        <v>1839.9085045320387</v>
      </c>
      <c r="CS70" s="197">
        <f t="shared" si="182"/>
        <v>-709.15687782987402</v>
      </c>
      <c r="CT70" s="199">
        <f t="shared" si="183"/>
        <v>-575.44933859697096</v>
      </c>
      <c r="CU70" s="196">
        <f t="shared" si="184"/>
        <v>10422.497053916992</v>
      </c>
      <c r="CV70" s="197">
        <f t="shared" si="184"/>
        <v>1232.0115191774235</v>
      </c>
      <c r="CW70" s="197">
        <f t="shared" si="185"/>
        <v>21108.419717807876</v>
      </c>
      <c r="CX70" s="197">
        <f t="shared" si="186"/>
        <v>-10685.922663890882</v>
      </c>
      <c r="CY70" s="199">
        <f t="shared" si="187"/>
        <v>-9453.9111447134601</v>
      </c>
      <c r="DB70" s="204">
        <f t="shared" si="201"/>
        <v>8</v>
      </c>
      <c r="DC70" s="219" t="s">
        <v>31</v>
      </c>
      <c r="DD70" s="760">
        <f>'Arable Inputs'!$H$18</f>
        <v>8.14</v>
      </c>
      <c r="DE70" s="760">
        <f>'Arable Inputs'!$H$25</f>
        <v>182.8</v>
      </c>
      <c r="DH70" s="762">
        <f>DD70*DE70</f>
        <v>1487.9920000000002</v>
      </c>
      <c r="DI70" s="197">
        <f>'Arable NPV'!$E150</f>
        <v>175.95</v>
      </c>
      <c r="DJ70" s="197">
        <f t="shared" si="188"/>
        <v>1663.9420000000002</v>
      </c>
      <c r="DK70" s="197">
        <f>'Arable NPV'!$G150</f>
        <v>574.23049999999989</v>
      </c>
      <c r="DL70" s="197">
        <f>'Arable NPV'!$H150</f>
        <v>636.366536</v>
      </c>
      <c r="DM70" s="197">
        <f>'Arable NPV'!$I150-'Arable NPV'!$I150</f>
        <v>0</v>
      </c>
      <c r="DN70" s="197">
        <f t="shared" si="189"/>
        <v>1487.9920000000002</v>
      </c>
      <c r="DO70" s="197">
        <f t="shared" si="190"/>
        <v>1663.9420000000002</v>
      </c>
      <c r="DP70" s="196">
        <f t="shared" si="191"/>
        <v>1130.7516267021647</v>
      </c>
      <c r="DQ70" s="197">
        <f t="shared" si="192"/>
        <v>133.70753923290303</v>
      </c>
      <c r="DR70" s="197">
        <f t="shared" si="193"/>
        <v>0</v>
      </c>
      <c r="DS70" s="197">
        <f t="shared" si="194"/>
        <v>1130.7516267021647</v>
      </c>
      <c r="DT70" s="199">
        <f t="shared" si="195"/>
        <v>1264.4591659350676</v>
      </c>
      <c r="DU70" s="196">
        <f t="shared" si="196"/>
        <v>10422.497053916992</v>
      </c>
      <c r="DV70" s="197">
        <f t="shared" si="196"/>
        <v>1232.0115191774235</v>
      </c>
      <c r="DW70" s="197">
        <f t="shared" si="196"/>
        <v>0</v>
      </c>
      <c r="DX70" s="197">
        <f t="shared" si="196"/>
        <v>10422.497053916992</v>
      </c>
      <c r="DY70" s="199">
        <f t="shared" si="196"/>
        <v>11654.508573094416</v>
      </c>
    </row>
    <row r="71" spans="2:129" x14ac:dyDescent="0.3">
      <c r="B71" s="204">
        <f t="shared" si="197"/>
        <v>9</v>
      </c>
      <c r="C71" s="219" t="s">
        <v>6</v>
      </c>
      <c r="D71" s="760">
        <f>'Arable Inputs'!$F$18</f>
        <v>3.3</v>
      </c>
      <c r="E71" s="760">
        <f>'Arable Inputs'!$F$25</f>
        <v>345.1</v>
      </c>
      <c r="F71" s="760">
        <f>'Arable Inputs'!$F$19</f>
        <v>2.6</v>
      </c>
      <c r="G71" s="760">
        <f>'Arable Inputs'!$F$26</f>
        <v>42.374999999999993</v>
      </c>
      <c r="H71" s="762">
        <f>D71*E71+F71*G71</f>
        <v>1249.0049999999999</v>
      </c>
      <c r="I71" s="197">
        <f>'Arable NPV'!$E151</f>
        <v>175.95</v>
      </c>
      <c r="J71" s="197">
        <f t="shared" si="145"/>
        <v>1424.9549999999999</v>
      </c>
      <c r="K71" s="197">
        <f>'Arable NPV'!$G151</f>
        <v>619.745</v>
      </c>
      <c r="L71" s="197">
        <f>'Arable NPV'!$H151</f>
        <v>710.23622685714281</v>
      </c>
      <c r="M71" s="197">
        <f t="shared" si="146"/>
        <v>1329.9812268571427</v>
      </c>
      <c r="N71" s="197">
        <f t="shared" si="147"/>
        <v>-80.976226857142819</v>
      </c>
      <c r="O71" s="197">
        <f t="shared" si="148"/>
        <v>94.973773142857226</v>
      </c>
      <c r="P71" s="196">
        <f t="shared" si="149"/>
        <v>912.63571949850268</v>
      </c>
      <c r="Q71" s="197">
        <f t="shared" si="150"/>
        <v>128.56494157009902</v>
      </c>
      <c r="R71" s="197">
        <f t="shared" si="151"/>
        <v>971.80425530103548</v>
      </c>
      <c r="S71" s="197">
        <f t="shared" si="152"/>
        <v>-59.16853580253283</v>
      </c>
      <c r="T71" s="199">
        <f t="shared" si="153"/>
        <v>69.39640576756625</v>
      </c>
      <c r="U71" s="196">
        <f t="shared" si="154"/>
        <v>11335.132773415495</v>
      </c>
      <c r="V71" s="197">
        <f t="shared" si="154"/>
        <v>1360.5764607475226</v>
      </c>
      <c r="W71" s="197">
        <f t="shared" si="154"/>
        <v>11526.014114204972</v>
      </c>
      <c r="X71" s="197">
        <f t="shared" si="154"/>
        <v>-190.88134078947948</v>
      </c>
      <c r="Y71" s="199">
        <f t="shared" si="154"/>
        <v>1169.6951199580433</v>
      </c>
      <c r="Z71" s="197"/>
      <c r="AB71" s="204">
        <f t="shared" si="198"/>
        <v>9</v>
      </c>
      <c r="AC71" s="219" t="s">
        <v>6</v>
      </c>
      <c r="AD71" s="760">
        <f>'Arable Inputs'!$F$18</f>
        <v>3.3</v>
      </c>
      <c r="AE71" s="760">
        <f>'Arable Inputs'!$F$25</f>
        <v>345.1</v>
      </c>
      <c r="AF71" s="760">
        <f>'Arable Inputs'!$F$19</f>
        <v>2.6</v>
      </c>
      <c r="AG71" s="760">
        <f>'Arable Inputs'!$F$26</f>
        <v>42.374999999999993</v>
      </c>
      <c r="AH71" s="762">
        <f>AD71*AE71+AF71*AG71</f>
        <v>1249.0049999999999</v>
      </c>
      <c r="AI71" s="197">
        <f>'Arable NPV'!$E151</f>
        <v>175.95</v>
      </c>
      <c r="AJ71" s="197">
        <f t="shared" si="155"/>
        <v>1424.9549999999999</v>
      </c>
      <c r="AK71" s="197">
        <f>'Arable NPV'!$G151</f>
        <v>619.745</v>
      </c>
      <c r="AL71" s="197">
        <f>'Arable NPV'!$H151</f>
        <v>710.23622685714281</v>
      </c>
      <c r="AM71" s="197">
        <f>'Arable NPV'!$I151+0.5*'Arable NPV'!$I151</f>
        <v>1994.9718402857141</v>
      </c>
      <c r="AN71" s="197">
        <f t="shared" si="156"/>
        <v>-745.96684028571417</v>
      </c>
      <c r="AO71" s="197">
        <f t="shared" si="157"/>
        <v>-570.01684028571412</v>
      </c>
      <c r="AP71" s="196">
        <f t="shared" si="158"/>
        <v>912.63571949850268</v>
      </c>
      <c r="AQ71" s="197">
        <f t="shared" si="159"/>
        <v>128.56494157009902</v>
      </c>
      <c r="AR71" s="197">
        <f t="shared" si="160"/>
        <v>1457.7063829515532</v>
      </c>
      <c r="AS71" s="197">
        <f t="shared" si="161"/>
        <v>-545.07066345305054</v>
      </c>
      <c r="AT71" s="199">
        <f t="shared" si="162"/>
        <v>-416.50572188295149</v>
      </c>
      <c r="AU71" s="196">
        <f t="shared" si="163"/>
        <v>11335.132773415495</v>
      </c>
      <c r="AV71" s="197">
        <f t="shared" si="163"/>
        <v>1360.5764607475226</v>
      </c>
      <c r="AW71" s="197">
        <f t="shared" si="163"/>
        <v>17289.02117130746</v>
      </c>
      <c r="AX71" s="197">
        <f t="shared" si="163"/>
        <v>-5953.8883978919666</v>
      </c>
      <c r="AY71" s="199">
        <f t="shared" si="164"/>
        <v>-4593.3119371444436</v>
      </c>
      <c r="BB71" s="204">
        <f t="shared" si="199"/>
        <v>9</v>
      </c>
      <c r="BC71" s="219" t="s">
        <v>6</v>
      </c>
      <c r="BD71" s="760">
        <f>'Arable Inputs'!$F$18</f>
        <v>3.3</v>
      </c>
      <c r="BE71" s="760">
        <f>'Arable Inputs'!$F$25</f>
        <v>345.1</v>
      </c>
      <c r="BF71" s="760">
        <f>'Arable Inputs'!$F$19</f>
        <v>2.6</v>
      </c>
      <c r="BG71" s="760">
        <f>'Arable Inputs'!$F$26</f>
        <v>42.374999999999993</v>
      </c>
      <c r="BH71" s="762">
        <f>BD71*BE71+BF71*BG71</f>
        <v>1249.0049999999999</v>
      </c>
      <c r="BI71" s="197">
        <f>'Arable NPV'!$E151</f>
        <v>175.95</v>
      </c>
      <c r="BJ71" s="197">
        <f t="shared" si="165"/>
        <v>1424.9549999999999</v>
      </c>
      <c r="BK71" s="197">
        <f>'Arable NPV'!$G151</f>
        <v>619.745</v>
      </c>
      <c r="BL71" s="197">
        <f>'Arable NPV'!$H151</f>
        <v>710.23622685714281</v>
      </c>
      <c r="BM71" s="197">
        <f>'Arable NPV'!$I151-0.5*'Arable NPV'!$I151</f>
        <v>664.99061342857135</v>
      </c>
      <c r="BN71" s="197">
        <f t="shared" si="166"/>
        <v>584.01438657142853</v>
      </c>
      <c r="BO71" s="197">
        <f t="shared" si="167"/>
        <v>759.96438657142858</v>
      </c>
      <c r="BP71" s="196">
        <f t="shared" si="168"/>
        <v>912.63571949850268</v>
      </c>
      <c r="BQ71" s="197">
        <f t="shared" si="169"/>
        <v>128.56494157009902</v>
      </c>
      <c r="BR71" s="197">
        <f t="shared" si="170"/>
        <v>485.90212765051774</v>
      </c>
      <c r="BS71" s="197">
        <f t="shared" si="171"/>
        <v>426.73359184798494</v>
      </c>
      <c r="BT71" s="199">
        <f t="shared" si="172"/>
        <v>555.29853341808405</v>
      </c>
      <c r="BU71" s="196">
        <f t="shared" si="173"/>
        <v>11335.132773415495</v>
      </c>
      <c r="BV71" s="197">
        <f t="shared" si="173"/>
        <v>1360.5764607475226</v>
      </c>
      <c r="BW71" s="197">
        <f t="shared" si="173"/>
        <v>5763.0070571024862</v>
      </c>
      <c r="BX71" s="197">
        <f t="shared" si="174"/>
        <v>5572.1257163130076</v>
      </c>
      <c r="BY71" s="199">
        <f t="shared" si="175"/>
        <v>6932.7021770605306</v>
      </c>
      <c r="CB71" s="204">
        <f t="shared" si="200"/>
        <v>9</v>
      </c>
      <c r="CC71" s="219" t="s">
        <v>6</v>
      </c>
      <c r="CD71" s="760">
        <f>'Arable Inputs'!$F$18</f>
        <v>3.3</v>
      </c>
      <c r="CE71" s="760">
        <f>'Arable Inputs'!$F$25</f>
        <v>345.1</v>
      </c>
      <c r="CF71" s="760">
        <f>'Arable Inputs'!$F$19</f>
        <v>2.6</v>
      </c>
      <c r="CG71" s="760">
        <f>'Arable Inputs'!$F$26</f>
        <v>42.374999999999993</v>
      </c>
      <c r="CH71" s="762">
        <f>CD71*CE71+CF71*CG71</f>
        <v>1249.0049999999999</v>
      </c>
      <c r="CI71" s="197">
        <f>'Arable NPV'!$E151</f>
        <v>175.95</v>
      </c>
      <c r="CJ71" s="197">
        <f t="shared" si="176"/>
        <v>1424.9549999999999</v>
      </c>
      <c r="CK71" s="197">
        <f>'Arable NPV'!$G151</f>
        <v>619.745</v>
      </c>
      <c r="CL71" s="197">
        <f>'Arable NPV'!$H151</f>
        <v>710.23622685714281</v>
      </c>
      <c r="CM71" s="197">
        <f>'Arable NPV'!$I151+'Arable NPV'!$I151</f>
        <v>2659.9624537142854</v>
      </c>
      <c r="CN71" s="197">
        <f t="shared" si="177"/>
        <v>-1410.9574537142855</v>
      </c>
      <c r="CO71" s="197">
        <f t="shared" si="178"/>
        <v>-1235.0074537142855</v>
      </c>
      <c r="CP71" s="196">
        <f t="shared" si="179"/>
        <v>912.63571949850268</v>
      </c>
      <c r="CQ71" s="197">
        <f t="shared" si="180"/>
        <v>128.56494157009902</v>
      </c>
      <c r="CR71" s="197">
        <f t="shared" si="181"/>
        <v>1943.608510602071</v>
      </c>
      <c r="CS71" s="197">
        <f t="shared" si="182"/>
        <v>-1030.9727911035684</v>
      </c>
      <c r="CT71" s="199">
        <f t="shared" si="183"/>
        <v>-902.40784953346929</v>
      </c>
      <c r="CU71" s="196">
        <f t="shared" si="184"/>
        <v>11335.132773415495</v>
      </c>
      <c r="CV71" s="197">
        <f t="shared" si="184"/>
        <v>1360.5764607475226</v>
      </c>
      <c r="CW71" s="197">
        <f t="shared" si="185"/>
        <v>23052.028228409945</v>
      </c>
      <c r="CX71" s="197">
        <f t="shared" si="186"/>
        <v>-11716.89545499445</v>
      </c>
      <c r="CY71" s="199">
        <f t="shared" si="187"/>
        <v>-10356.318994246929</v>
      </c>
      <c r="DB71" s="204">
        <f t="shared" si="201"/>
        <v>9</v>
      </c>
      <c r="DC71" s="219" t="s">
        <v>6</v>
      </c>
      <c r="DD71" s="760">
        <f>'Arable Inputs'!$F$18</f>
        <v>3.3</v>
      </c>
      <c r="DE71" s="760">
        <f>'Arable Inputs'!$F$25</f>
        <v>345.1</v>
      </c>
      <c r="DF71" s="760">
        <f>'Arable Inputs'!$F$19</f>
        <v>2.6</v>
      </c>
      <c r="DG71" s="760">
        <f>'Arable Inputs'!$F$26</f>
        <v>42.374999999999993</v>
      </c>
      <c r="DH71" s="762">
        <f>DD71*DE71+DF71*DG71</f>
        <v>1249.0049999999999</v>
      </c>
      <c r="DI71" s="197">
        <f>'Arable NPV'!$E151</f>
        <v>175.95</v>
      </c>
      <c r="DJ71" s="197">
        <f t="shared" si="188"/>
        <v>1424.9549999999999</v>
      </c>
      <c r="DK71" s="197">
        <f>'Arable NPV'!$G151</f>
        <v>619.745</v>
      </c>
      <c r="DL71" s="197">
        <f>'Arable NPV'!$H151</f>
        <v>710.23622685714281</v>
      </c>
      <c r="DM71" s="197">
        <f>'Arable NPV'!$I151-'Arable NPV'!$I151</f>
        <v>0</v>
      </c>
      <c r="DN71" s="197">
        <f t="shared" si="189"/>
        <v>1249.0049999999999</v>
      </c>
      <c r="DO71" s="197">
        <f t="shared" si="190"/>
        <v>1424.9549999999999</v>
      </c>
      <c r="DP71" s="196">
        <f t="shared" si="191"/>
        <v>912.63571949850268</v>
      </c>
      <c r="DQ71" s="197">
        <f t="shared" si="192"/>
        <v>128.56494157009902</v>
      </c>
      <c r="DR71" s="197">
        <f t="shared" si="193"/>
        <v>0</v>
      </c>
      <c r="DS71" s="197">
        <f t="shared" si="194"/>
        <v>912.63571949850268</v>
      </c>
      <c r="DT71" s="199">
        <f t="shared" si="195"/>
        <v>1041.2006610686017</v>
      </c>
      <c r="DU71" s="196">
        <f t="shared" si="196"/>
        <v>11335.132773415495</v>
      </c>
      <c r="DV71" s="197">
        <f t="shared" si="196"/>
        <v>1360.5764607475226</v>
      </c>
      <c r="DW71" s="197">
        <f t="shared" si="196"/>
        <v>0</v>
      </c>
      <c r="DX71" s="197">
        <f t="shared" si="196"/>
        <v>11335.132773415495</v>
      </c>
      <c r="DY71" s="199">
        <f t="shared" si="196"/>
        <v>12695.709234163018</v>
      </c>
    </row>
    <row r="72" spans="2:129" x14ac:dyDescent="0.3">
      <c r="B72" s="204">
        <f t="shared" si="197"/>
        <v>10</v>
      </c>
      <c r="C72" s="219" t="s">
        <v>5</v>
      </c>
      <c r="D72" s="760">
        <f>'Arable Inputs'!$E$18</f>
        <v>4.1100000000000003</v>
      </c>
      <c r="E72" s="760">
        <f>'Arable Inputs'!$E$25</f>
        <v>154.80000000000001</v>
      </c>
      <c r="F72" s="760">
        <f>'Arable Inputs'!$E$19</f>
        <v>3.5</v>
      </c>
      <c r="G72" s="760">
        <f>'Arable Inputs'!$E$26</f>
        <v>79.099999999999994</v>
      </c>
      <c r="H72" s="762">
        <f>D72*E72+F72*G72</f>
        <v>913.07799999999997</v>
      </c>
      <c r="I72" s="197">
        <f>'Arable NPV'!$E152</f>
        <v>175.95</v>
      </c>
      <c r="J72" s="197">
        <f t="shared" si="145"/>
        <v>1089.028</v>
      </c>
      <c r="K72" s="197">
        <f>'Arable NPV'!$G152</f>
        <v>468.64299999999992</v>
      </c>
      <c r="L72" s="197">
        <f>'Arable NPV'!$H152</f>
        <v>888.75536799999986</v>
      </c>
      <c r="M72" s="197">
        <f t="shared" si="146"/>
        <v>1357.3983679999997</v>
      </c>
      <c r="N72" s="197">
        <f t="shared" si="147"/>
        <v>-444.32036799999969</v>
      </c>
      <c r="O72" s="197">
        <f t="shared" si="148"/>
        <v>-268.37036799999964</v>
      </c>
      <c r="P72" s="196">
        <f t="shared" si="149"/>
        <v>641.51649134884735</v>
      </c>
      <c r="Q72" s="197">
        <f t="shared" si="150"/>
        <v>123.62013612509521</v>
      </c>
      <c r="R72" s="197">
        <f t="shared" si="151"/>
        <v>953.69008825315177</v>
      </c>
      <c r="S72" s="197">
        <f t="shared" si="152"/>
        <v>-312.17359690430442</v>
      </c>
      <c r="T72" s="199">
        <f t="shared" si="153"/>
        <v>-188.55346077920919</v>
      </c>
      <c r="U72" s="196">
        <f t="shared" si="154"/>
        <v>11976.649264764343</v>
      </c>
      <c r="V72" s="197">
        <f t="shared" si="154"/>
        <v>1484.1965968726179</v>
      </c>
      <c r="W72" s="197">
        <f t="shared" si="154"/>
        <v>12479.704202458124</v>
      </c>
      <c r="X72" s="197">
        <f t="shared" si="154"/>
        <v>-503.05493769378393</v>
      </c>
      <c r="Y72" s="199">
        <f t="shared" si="154"/>
        <v>981.14165917883406</v>
      </c>
      <c r="Z72" s="197"/>
      <c r="AB72" s="204">
        <f t="shared" si="198"/>
        <v>10</v>
      </c>
      <c r="AC72" s="219" t="s">
        <v>5</v>
      </c>
      <c r="AD72" s="760">
        <f>'Arable Inputs'!$E$18</f>
        <v>4.1100000000000003</v>
      </c>
      <c r="AE72" s="760">
        <f>'Arable Inputs'!$E$25</f>
        <v>154.80000000000001</v>
      </c>
      <c r="AF72" s="760">
        <f>'Arable Inputs'!$E$19</f>
        <v>3.5</v>
      </c>
      <c r="AG72" s="760">
        <f>'Arable Inputs'!$E$26</f>
        <v>79.099999999999994</v>
      </c>
      <c r="AH72" s="762">
        <f>AD72*AE72+AF72*AG72</f>
        <v>913.07799999999997</v>
      </c>
      <c r="AI72" s="197">
        <f>'Arable NPV'!$E152</f>
        <v>175.95</v>
      </c>
      <c r="AJ72" s="197">
        <f t="shared" si="155"/>
        <v>1089.028</v>
      </c>
      <c r="AK72" s="197">
        <f>'Arable NPV'!$G152</f>
        <v>468.64299999999992</v>
      </c>
      <c r="AL72" s="197">
        <f>'Arable NPV'!$H152</f>
        <v>888.75536799999986</v>
      </c>
      <c r="AM72" s="197">
        <f>'Arable NPV'!$I152+0.5*'Arable NPV'!$I152</f>
        <v>2036.0975519999995</v>
      </c>
      <c r="AN72" s="197">
        <f t="shared" si="156"/>
        <v>-1123.0195519999995</v>
      </c>
      <c r="AO72" s="197">
        <f t="shared" si="157"/>
        <v>-947.06955199999948</v>
      </c>
      <c r="AP72" s="196">
        <f t="shared" si="158"/>
        <v>641.51649134884735</v>
      </c>
      <c r="AQ72" s="197">
        <f t="shared" si="159"/>
        <v>123.62013612509521</v>
      </c>
      <c r="AR72" s="197">
        <f t="shared" si="160"/>
        <v>1430.5351323797277</v>
      </c>
      <c r="AS72" s="197">
        <f t="shared" si="161"/>
        <v>-789.0186410308803</v>
      </c>
      <c r="AT72" s="199">
        <f t="shared" si="162"/>
        <v>-665.3985049057851</v>
      </c>
      <c r="AU72" s="196">
        <f t="shared" si="163"/>
        <v>11976.649264764343</v>
      </c>
      <c r="AV72" s="197">
        <f t="shared" si="163"/>
        <v>1484.1965968726179</v>
      </c>
      <c r="AW72" s="197">
        <f t="shared" si="163"/>
        <v>18719.55630368719</v>
      </c>
      <c r="AX72" s="197">
        <f t="shared" si="163"/>
        <v>-6742.9070389228473</v>
      </c>
      <c r="AY72" s="199">
        <f t="shared" si="164"/>
        <v>-5258.7104420502292</v>
      </c>
      <c r="BB72" s="204">
        <f t="shared" si="199"/>
        <v>10</v>
      </c>
      <c r="BC72" s="219" t="s">
        <v>5</v>
      </c>
      <c r="BD72" s="760">
        <f>'Arable Inputs'!$E$18</f>
        <v>4.1100000000000003</v>
      </c>
      <c r="BE72" s="760">
        <f>'Arable Inputs'!$E$25</f>
        <v>154.80000000000001</v>
      </c>
      <c r="BF72" s="760">
        <f>'Arable Inputs'!$E$19</f>
        <v>3.5</v>
      </c>
      <c r="BG72" s="760">
        <f>'Arable Inputs'!$E$26</f>
        <v>79.099999999999994</v>
      </c>
      <c r="BH72" s="762">
        <f>BD72*BE72+BF72*BG72</f>
        <v>913.07799999999997</v>
      </c>
      <c r="BI72" s="197">
        <f>'Arable NPV'!$E152</f>
        <v>175.95</v>
      </c>
      <c r="BJ72" s="197">
        <f t="shared" si="165"/>
        <v>1089.028</v>
      </c>
      <c r="BK72" s="197">
        <f>'Arable NPV'!$G152</f>
        <v>468.64299999999992</v>
      </c>
      <c r="BL72" s="197">
        <f>'Arable NPV'!$H152</f>
        <v>888.75536799999986</v>
      </c>
      <c r="BM72" s="197">
        <f>'Arable NPV'!$I152-0.5*'Arable NPV'!$I152</f>
        <v>678.69918399999983</v>
      </c>
      <c r="BN72" s="197">
        <f t="shared" si="166"/>
        <v>234.37881600000014</v>
      </c>
      <c r="BO72" s="197">
        <f t="shared" si="167"/>
        <v>410.32881600000019</v>
      </c>
      <c r="BP72" s="196">
        <f t="shared" si="168"/>
        <v>641.51649134884735</v>
      </c>
      <c r="BQ72" s="197">
        <f t="shared" si="169"/>
        <v>123.62013612509521</v>
      </c>
      <c r="BR72" s="197">
        <f t="shared" si="170"/>
        <v>476.84504412657589</v>
      </c>
      <c r="BS72" s="197">
        <f t="shared" si="171"/>
        <v>164.67144722227147</v>
      </c>
      <c r="BT72" s="199">
        <f t="shared" si="172"/>
        <v>288.29158334736672</v>
      </c>
      <c r="BU72" s="196">
        <f t="shared" si="173"/>
        <v>11976.649264764343</v>
      </c>
      <c r="BV72" s="197">
        <f t="shared" si="173"/>
        <v>1484.1965968726179</v>
      </c>
      <c r="BW72" s="197">
        <f t="shared" si="173"/>
        <v>6239.8521012290621</v>
      </c>
      <c r="BX72" s="197">
        <f t="shared" si="174"/>
        <v>5736.7971635352787</v>
      </c>
      <c r="BY72" s="199">
        <f t="shared" si="175"/>
        <v>7220.9937604078978</v>
      </c>
      <c r="CB72" s="204">
        <f t="shared" si="200"/>
        <v>10</v>
      </c>
      <c r="CC72" s="219" t="s">
        <v>5</v>
      </c>
      <c r="CD72" s="760">
        <f>'Arable Inputs'!$E$18</f>
        <v>4.1100000000000003</v>
      </c>
      <c r="CE72" s="760">
        <f>'Arable Inputs'!$E$25</f>
        <v>154.80000000000001</v>
      </c>
      <c r="CF72" s="760">
        <f>'Arable Inputs'!$E$19</f>
        <v>3.5</v>
      </c>
      <c r="CG72" s="760">
        <f>'Arable Inputs'!$E$26</f>
        <v>79.099999999999994</v>
      </c>
      <c r="CH72" s="762">
        <f>CD72*CE72+CF72*CG72</f>
        <v>913.07799999999997</v>
      </c>
      <c r="CI72" s="197">
        <f>'Arable NPV'!$E152</f>
        <v>175.95</v>
      </c>
      <c r="CJ72" s="197">
        <f t="shared" si="176"/>
        <v>1089.028</v>
      </c>
      <c r="CK72" s="197">
        <f>'Arable NPV'!$G152</f>
        <v>468.64299999999992</v>
      </c>
      <c r="CL72" s="197">
        <f>'Arable NPV'!$H152</f>
        <v>888.75536799999986</v>
      </c>
      <c r="CM72" s="197">
        <f>'Arable NPV'!$I152+'Arable NPV'!$I152</f>
        <v>2714.7967359999993</v>
      </c>
      <c r="CN72" s="197">
        <f t="shared" si="177"/>
        <v>-1801.7187359999994</v>
      </c>
      <c r="CO72" s="197">
        <f t="shared" si="178"/>
        <v>-1625.7687359999993</v>
      </c>
      <c r="CP72" s="196">
        <f t="shared" si="179"/>
        <v>641.51649134884735</v>
      </c>
      <c r="CQ72" s="197">
        <f t="shared" si="180"/>
        <v>123.62013612509521</v>
      </c>
      <c r="CR72" s="197">
        <f t="shared" si="181"/>
        <v>1907.3801765063035</v>
      </c>
      <c r="CS72" s="197">
        <f t="shared" si="182"/>
        <v>-1265.8636851574563</v>
      </c>
      <c r="CT72" s="199">
        <f t="shared" si="183"/>
        <v>-1142.243549032361</v>
      </c>
      <c r="CU72" s="196">
        <f t="shared" si="184"/>
        <v>11976.649264764343</v>
      </c>
      <c r="CV72" s="197">
        <f t="shared" si="184"/>
        <v>1484.1965968726179</v>
      </c>
      <c r="CW72" s="197">
        <f t="shared" si="185"/>
        <v>24959.408404916248</v>
      </c>
      <c r="CX72" s="197">
        <f t="shared" si="186"/>
        <v>-12982.759140151906</v>
      </c>
      <c r="CY72" s="199">
        <f t="shared" si="187"/>
        <v>-11498.562543279289</v>
      </c>
      <c r="DB72" s="204">
        <f t="shared" si="201"/>
        <v>10</v>
      </c>
      <c r="DC72" s="219" t="s">
        <v>5</v>
      </c>
      <c r="DD72" s="760">
        <f>'Arable Inputs'!$E$18</f>
        <v>4.1100000000000003</v>
      </c>
      <c r="DE72" s="760">
        <f>'Arable Inputs'!$E$25</f>
        <v>154.80000000000001</v>
      </c>
      <c r="DF72" s="760">
        <f>'Arable Inputs'!$E$19</f>
        <v>3.5</v>
      </c>
      <c r="DG72" s="760">
        <f>'Arable Inputs'!$E$26</f>
        <v>79.099999999999994</v>
      </c>
      <c r="DH72" s="762">
        <f>DD72*DE72+DF72*DG72</f>
        <v>913.07799999999997</v>
      </c>
      <c r="DI72" s="197">
        <f>'Arable NPV'!$E152</f>
        <v>175.95</v>
      </c>
      <c r="DJ72" s="197">
        <f t="shared" si="188"/>
        <v>1089.028</v>
      </c>
      <c r="DK72" s="197">
        <f>'Arable NPV'!$G152</f>
        <v>468.64299999999992</v>
      </c>
      <c r="DL72" s="197">
        <f>'Arable NPV'!$H152</f>
        <v>888.75536799999986</v>
      </c>
      <c r="DM72" s="197">
        <f>'Arable NPV'!$I152-'Arable NPV'!$I152</f>
        <v>0</v>
      </c>
      <c r="DN72" s="197">
        <f t="shared" si="189"/>
        <v>913.07799999999997</v>
      </c>
      <c r="DO72" s="197">
        <f t="shared" si="190"/>
        <v>1089.028</v>
      </c>
      <c r="DP72" s="196">
        <f t="shared" si="191"/>
        <v>641.51649134884735</v>
      </c>
      <c r="DQ72" s="197">
        <f t="shared" si="192"/>
        <v>123.62013612509521</v>
      </c>
      <c r="DR72" s="197">
        <f t="shared" si="193"/>
        <v>0</v>
      </c>
      <c r="DS72" s="197">
        <f t="shared" si="194"/>
        <v>641.51649134884735</v>
      </c>
      <c r="DT72" s="199">
        <f t="shared" si="195"/>
        <v>765.13662747394267</v>
      </c>
      <c r="DU72" s="196">
        <f t="shared" si="196"/>
        <v>11976.649264764343</v>
      </c>
      <c r="DV72" s="197">
        <f t="shared" si="196"/>
        <v>1484.1965968726179</v>
      </c>
      <c r="DW72" s="197">
        <f t="shared" si="196"/>
        <v>0</v>
      </c>
      <c r="DX72" s="197">
        <f t="shared" si="196"/>
        <v>11976.649264764343</v>
      </c>
      <c r="DY72" s="199">
        <f t="shared" si="196"/>
        <v>13460.845861636961</v>
      </c>
    </row>
    <row r="73" spans="2:129" x14ac:dyDescent="0.3">
      <c r="B73" s="204">
        <f t="shared" si="197"/>
        <v>11</v>
      </c>
      <c r="C73" s="219" t="s">
        <v>4</v>
      </c>
      <c r="D73" s="760">
        <f>'Arable Inputs'!$D$18</f>
        <v>7.45</v>
      </c>
      <c r="E73" s="760">
        <f>'Arable Inputs'!$D$25</f>
        <v>193.7</v>
      </c>
      <c r="F73" s="760">
        <f>'Arable Inputs'!$D$19</f>
        <v>3.9</v>
      </c>
      <c r="G73" s="760">
        <f>'Arable Inputs'!$D$26</f>
        <v>73.449999999999989</v>
      </c>
      <c r="H73" s="762">
        <f>D73*E73+F73*G73</f>
        <v>1729.52</v>
      </c>
      <c r="I73" s="197">
        <f>'Arable NPV'!$E153</f>
        <v>175.95</v>
      </c>
      <c r="J73" s="197">
        <f t="shared" si="145"/>
        <v>1905.47</v>
      </c>
      <c r="K73" s="197">
        <f>'Arable NPV'!$G153</f>
        <v>671.92799999999988</v>
      </c>
      <c r="L73" s="197">
        <f>'Arable NPV'!$H153</f>
        <v>969.47373599999992</v>
      </c>
      <c r="M73" s="197">
        <f t="shared" si="146"/>
        <v>1641.4017359999998</v>
      </c>
      <c r="N73" s="197">
        <f t="shared" si="147"/>
        <v>88.118264000000181</v>
      </c>
      <c r="O73" s="197">
        <f t="shared" si="148"/>
        <v>264.06826400000023</v>
      </c>
      <c r="P73" s="196">
        <f t="shared" si="149"/>
        <v>1168.4017412675951</v>
      </c>
      <c r="Q73" s="197">
        <f t="shared" si="150"/>
        <v>118.86551550489925</v>
      </c>
      <c r="R73" s="197">
        <f t="shared" si="151"/>
        <v>1108.8721994900627</v>
      </c>
      <c r="S73" s="197">
        <f t="shared" si="152"/>
        <v>59.529541777532408</v>
      </c>
      <c r="T73" s="199">
        <f t="shared" si="153"/>
        <v>178.39505728243171</v>
      </c>
      <c r="U73" s="196">
        <f t="shared" si="154"/>
        <v>13145.051006031938</v>
      </c>
      <c r="V73" s="197">
        <f t="shared" si="154"/>
        <v>1603.0621123775172</v>
      </c>
      <c r="W73" s="197">
        <f t="shared" si="154"/>
        <v>13588.576401948187</v>
      </c>
      <c r="X73" s="197">
        <f t="shared" si="154"/>
        <v>-443.52539591625151</v>
      </c>
      <c r="Y73" s="199">
        <f t="shared" si="154"/>
        <v>1159.5367164612658</v>
      </c>
      <c r="Z73" s="197"/>
      <c r="AB73" s="204">
        <f t="shared" si="198"/>
        <v>11</v>
      </c>
      <c r="AC73" s="219" t="s">
        <v>4</v>
      </c>
      <c r="AD73" s="760">
        <f>'Arable Inputs'!$D$18</f>
        <v>7.45</v>
      </c>
      <c r="AE73" s="760">
        <f>'Arable Inputs'!$D$25</f>
        <v>193.7</v>
      </c>
      <c r="AF73" s="760">
        <f>'Arable Inputs'!$D$19</f>
        <v>3.9</v>
      </c>
      <c r="AG73" s="760">
        <f>'Arable Inputs'!$D$26</f>
        <v>73.449999999999989</v>
      </c>
      <c r="AH73" s="762">
        <f>AD73*AE73+AF73*AG73</f>
        <v>1729.52</v>
      </c>
      <c r="AI73" s="197">
        <f>'Arable NPV'!$E153</f>
        <v>175.95</v>
      </c>
      <c r="AJ73" s="197">
        <f t="shared" si="155"/>
        <v>1905.47</v>
      </c>
      <c r="AK73" s="197">
        <f>'Arable NPV'!$G153</f>
        <v>671.92799999999988</v>
      </c>
      <c r="AL73" s="197">
        <f>'Arable NPV'!$H153</f>
        <v>969.47373599999992</v>
      </c>
      <c r="AM73" s="197">
        <f>'Arable NPV'!$I153+0.5*'Arable NPV'!$I153</f>
        <v>2462.1026039999997</v>
      </c>
      <c r="AN73" s="197">
        <f t="shared" si="156"/>
        <v>-732.58260399999972</v>
      </c>
      <c r="AO73" s="197">
        <f t="shared" si="157"/>
        <v>-556.63260399999967</v>
      </c>
      <c r="AP73" s="196">
        <f t="shared" si="158"/>
        <v>1168.4017412675951</v>
      </c>
      <c r="AQ73" s="197">
        <f t="shared" si="159"/>
        <v>118.86551550489925</v>
      </c>
      <c r="AR73" s="197">
        <f t="shared" si="160"/>
        <v>1663.308299235094</v>
      </c>
      <c r="AS73" s="197">
        <f t="shared" si="161"/>
        <v>-494.90655796749894</v>
      </c>
      <c r="AT73" s="199">
        <f t="shared" si="162"/>
        <v>-376.04104246259965</v>
      </c>
      <c r="AU73" s="196">
        <f t="shared" si="163"/>
        <v>13145.051006031938</v>
      </c>
      <c r="AV73" s="197">
        <f t="shared" si="163"/>
        <v>1603.0621123775172</v>
      </c>
      <c r="AW73" s="197">
        <f t="shared" si="163"/>
        <v>20382.864602922284</v>
      </c>
      <c r="AX73" s="197">
        <f t="shared" si="163"/>
        <v>-7237.8135968903462</v>
      </c>
      <c r="AY73" s="199">
        <f t="shared" si="164"/>
        <v>-5634.7514845128289</v>
      </c>
      <c r="BB73" s="204">
        <f t="shared" si="199"/>
        <v>11</v>
      </c>
      <c r="BC73" s="219" t="s">
        <v>4</v>
      </c>
      <c r="BD73" s="760">
        <f>'Arable Inputs'!$D$18</f>
        <v>7.45</v>
      </c>
      <c r="BE73" s="760">
        <f>'Arable Inputs'!$D$25</f>
        <v>193.7</v>
      </c>
      <c r="BF73" s="760">
        <f>'Arable Inputs'!$D$19</f>
        <v>3.9</v>
      </c>
      <c r="BG73" s="760">
        <f>'Arable Inputs'!$D$26</f>
        <v>73.449999999999989</v>
      </c>
      <c r="BH73" s="762">
        <f>BD73*BE73+BF73*BG73</f>
        <v>1729.52</v>
      </c>
      <c r="BI73" s="197">
        <f>'Arable NPV'!$E153</f>
        <v>175.95</v>
      </c>
      <c r="BJ73" s="197">
        <f t="shared" si="165"/>
        <v>1905.47</v>
      </c>
      <c r="BK73" s="197">
        <f>'Arable NPV'!$G153</f>
        <v>671.92799999999988</v>
      </c>
      <c r="BL73" s="197">
        <f>'Arable NPV'!$H153</f>
        <v>969.47373599999992</v>
      </c>
      <c r="BM73" s="197">
        <f>'Arable NPV'!$I153-0.5*'Arable NPV'!$I153</f>
        <v>820.7008679999999</v>
      </c>
      <c r="BN73" s="197">
        <f t="shared" si="166"/>
        <v>908.81913200000008</v>
      </c>
      <c r="BO73" s="197">
        <f t="shared" si="167"/>
        <v>1084.7691320000001</v>
      </c>
      <c r="BP73" s="196">
        <f t="shared" si="168"/>
        <v>1168.4017412675951</v>
      </c>
      <c r="BQ73" s="197">
        <f t="shared" si="169"/>
        <v>118.86551550489925</v>
      </c>
      <c r="BR73" s="197">
        <f t="shared" si="170"/>
        <v>554.43609974503136</v>
      </c>
      <c r="BS73" s="197">
        <f t="shared" si="171"/>
        <v>613.96564152256371</v>
      </c>
      <c r="BT73" s="199">
        <f t="shared" si="172"/>
        <v>732.83115702746306</v>
      </c>
      <c r="BU73" s="196">
        <f t="shared" si="173"/>
        <v>13145.051006031938</v>
      </c>
      <c r="BV73" s="197">
        <f t="shared" si="173"/>
        <v>1603.0621123775172</v>
      </c>
      <c r="BW73" s="197">
        <f t="shared" si="173"/>
        <v>6794.2882009740933</v>
      </c>
      <c r="BX73" s="197">
        <f t="shared" si="174"/>
        <v>6350.7628050578423</v>
      </c>
      <c r="BY73" s="199">
        <f t="shared" si="175"/>
        <v>7953.8249174353605</v>
      </c>
      <c r="CB73" s="204">
        <f t="shared" si="200"/>
        <v>11</v>
      </c>
      <c r="CC73" s="219" t="s">
        <v>4</v>
      </c>
      <c r="CD73" s="760">
        <f>'Arable Inputs'!$D$18</f>
        <v>7.45</v>
      </c>
      <c r="CE73" s="760">
        <f>'Arable Inputs'!$D$25</f>
        <v>193.7</v>
      </c>
      <c r="CF73" s="760">
        <f>'Arable Inputs'!$D$19</f>
        <v>3.9</v>
      </c>
      <c r="CG73" s="760">
        <f>'Arable Inputs'!$D$26</f>
        <v>73.449999999999989</v>
      </c>
      <c r="CH73" s="762">
        <f>CD73*CE73+CF73*CG73</f>
        <v>1729.52</v>
      </c>
      <c r="CI73" s="197">
        <f>'Arable NPV'!$E153</f>
        <v>175.95</v>
      </c>
      <c r="CJ73" s="197">
        <f t="shared" si="176"/>
        <v>1905.47</v>
      </c>
      <c r="CK73" s="197">
        <f>'Arable NPV'!$G153</f>
        <v>671.92799999999988</v>
      </c>
      <c r="CL73" s="197">
        <f>'Arable NPV'!$H153</f>
        <v>969.47373599999992</v>
      </c>
      <c r="CM73" s="197">
        <f>'Arable NPV'!$I153+'Arable NPV'!$I153</f>
        <v>3282.8034719999996</v>
      </c>
      <c r="CN73" s="197">
        <f t="shared" si="177"/>
        <v>-1553.2834719999996</v>
      </c>
      <c r="CO73" s="197">
        <f t="shared" si="178"/>
        <v>-1377.3334719999996</v>
      </c>
      <c r="CP73" s="196">
        <f t="shared" si="179"/>
        <v>1168.4017412675951</v>
      </c>
      <c r="CQ73" s="197">
        <f t="shared" si="180"/>
        <v>118.86551550489925</v>
      </c>
      <c r="CR73" s="197">
        <f t="shared" si="181"/>
        <v>2217.7443989801254</v>
      </c>
      <c r="CS73" s="197">
        <f t="shared" si="182"/>
        <v>-1049.3426577125304</v>
      </c>
      <c r="CT73" s="199">
        <f t="shared" si="183"/>
        <v>-930.477142207631</v>
      </c>
      <c r="CU73" s="196">
        <f t="shared" si="184"/>
        <v>13145.051006031938</v>
      </c>
      <c r="CV73" s="197">
        <f t="shared" si="184"/>
        <v>1603.0621123775172</v>
      </c>
      <c r="CW73" s="197">
        <f t="shared" si="185"/>
        <v>27177.152803896373</v>
      </c>
      <c r="CX73" s="197">
        <f t="shared" si="186"/>
        <v>-14032.101797864436</v>
      </c>
      <c r="CY73" s="199">
        <f t="shared" si="187"/>
        <v>-12429.039685486921</v>
      </c>
      <c r="DB73" s="204">
        <f t="shared" si="201"/>
        <v>11</v>
      </c>
      <c r="DC73" s="219" t="s">
        <v>4</v>
      </c>
      <c r="DD73" s="760">
        <f>'Arable Inputs'!$D$18</f>
        <v>7.45</v>
      </c>
      <c r="DE73" s="760">
        <f>'Arable Inputs'!$D$25</f>
        <v>193.7</v>
      </c>
      <c r="DF73" s="760">
        <f>'Arable Inputs'!$D$19</f>
        <v>3.9</v>
      </c>
      <c r="DG73" s="760">
        <f>'Arable Inputs'!$D$26</f>
        <v>73.449999999999989</v>
      </c>
      <c r="DH73" s="762">
        <f>DD73*DE73+DF73*DG73</f>
        <v>1729.52</v>
      </c>
      <c r="DI73" s="197">
        <f>'Arable NPV'!$E153</f>
        <v>175.95</v>
      </c>
      <c r="DJ73" s="197">
        <f t="shared" si="188"/>
        <v>1905.47</v>
      </c>
      <c r="DK73" s="197">
        <f>'Arable NPV'!$G153</f>
        <v>671.92799999999988</v>
      </c>
      <c r="DL73" s="197">
        <f>'Arable NPV'!$H153</f>
        <v>969.47373599999992</v>
      </c>
      <c r="DM73" s="197">
        <f>'Arable NPV'!$I153-'Arable NPV'!$I153</f>
        <v>0</v>
      </c>
      <c r="DN73" s="197">
        <f t="shared" si="189"/>
        <v>1729.52</v>
      </c>
      <c r="DO73" s="197">
        <f t="shared" si="190"/>
        <v>1905.47</v>
      </c>
      <c r="DP73" s="196">
        <f t="shared" si="191"/>
        <v>1168.4017412675951</v>
      </c>
      <c r="DQ73" s="197">
        <f t="shared" si="192"/>
        <v>118.86551550489925</v>
      </c>
      <c r="DR73" s="197">
        <f t="shared" si="193"/>
        <v>0</v>
      </c>
      <c r="DS73" s="197">
        <f t="shared" si="194"/>
        <v>1168.4017412675951</v>
      </c>
      <c r="DT73" s="199">
        <f t="shared" si="195"/>
        <v>1287.2672567724944</v>
      </c>
      <c r="DU73" s="196">
        <f t="shared" si="196"/>
        <v>13145.051006031938</v>
      </c>
      <c r="DV73" s="197">
        <f t="shared" si="196"/>
        <v>1603.0621123775172</v>
      </c>
      <c r="DW73" s="197">
        <f t="shared" si="196"/>
        <v>0</v>
      </c>
      <c r="DX73" s="197">
        <f t="shared" si="196"/>
        <v>13145.051006031938</v>
      </c>
      <c r="DY73" s="199">
        <f t="shared" si="196"/>
        <v>14748.113118409456</v>
      </c>
    </row>
    <row r="74" spans="2:129" x14ac:dyDescent="0.3">
      <c r="B74" s="204">
        <f t="shared" si="197"/>
        <v>12</v>
      </c>
      <c r="C74" s="219" t="s">
        <v>7</v>
      </c>
      <c r="D74" s="760">
        <f>'Arable Inputs'!$G$18</f>
        <v>63.1</v>
      </c>
      <c r="E74" s="760">
        <f>'Arable Inputs'!$G$25</f>
        <v>26</v>
      </c>
      <c r="H74" s="762">
        <f>D74*E74</f>
        <v>1640.6000000000001</v>
      </c>
      <c r="I74" s="197">
        <f>'Arable NPV'!$E154</f>
        <v>175.95</v>
      </c>
      <c r="J74" s="197">
        <f t="shared" si="145"/>
        <v>1816.5500000000002</v>
      </c>
      <c r="K74" s="197">
        <f>'Arable NPV'!$G154</f>
        <v>819.30399999999986</v>
      </c>
      <c r="L74" s="197">
        <f>'Arable NPV'!$H154</f>
        <v>996.95456799999988</v>
      </c>
      <c r="M74" s="197">
        <f t="shared" si="146"/>
        <v>1816.2585679999997</v>
      </c>
      <c r="N74" s="197">
        <f t="shared" si="147"/>
        <v>-175.6585679999996</v>
      </c>
      <c r="O74" s="197">
        <f t="shared" si="148"/>
        <v>0.29143200000044089</v>
      </c>
      <c r="P74" s="196">
        <f t="shared" si="149"/>
        <v>1065.7024763226973</v>
      </c>
      <c r="Q74" s="197">
        <f t="shared" si="150"/>
        <v>114.29376490855698</v>
      </c>
      <c r="R74" s="197">
        <f t="shared" si="151"/>
        <v>1179.8069325612068</v>
      </c>
      <c r="S74" s="197">
        <f t="shared" si="152"/>
        <v>-114.10445623850939</v>
      </c>
      <c r="T74" s="199">
        <f t="shared" si="153"/>
        <v>0.18930867004763269</v>
      </c>
      <c r="U74" s="196">
        <f t="shared" si="154"/>
        <v>14210.753482354634</v>
      </c>
      <c r="V74" s="197">
        <f t="shared" si="154"/>
        <v>1717.3558772860742</v>
      </c>
      <c r="W74" s="197">
        <f t="shared" si="154"/>
        <v>14768.383334509394</v>
      </c>
      <c r="X74" s="197">
        <f t="shared" si="154"/>
        <v>-557.6298521547609</v>
      </c>
      <c r="Y74" s="199">
        <f t="shared" si="154"/>
        <v>1159.7260251313135</v>
      </c>
      <c r="Z74" s="197"/>
      <c r="AB74" s="204">
        <f t="shared" si="198"/>
        <v>12</v>
      </c>
      <c r="AC74" s="219" t="s">
        <v>7</v>
      </c>
      <c r="AD74" s="760">
        <f>'Arable Inputs'!$G$18</f>
        <v>63.1</v>
      </c>
      <c r="AE74" s="760">
        <f>'Arable Inputs'!$G$25</f>
        <v>26</v>
      </c>
      <c r="AH74" s="762">
        <f>AD74*AE74</f>
        <v>1640.6000000000001</v>
      </c>
      <c r="AI74" s="197">
        <f>'Arable NPV'!$E154</f>
        <v>175.95</v>
      </c>
      <c r="AJ74" s="197">
        <f t="shared" si="155"/>
        <v>1816.5500000000002</v>
      </c>
      <c r="AK74" s="197">
        <f>'Arable NPV'!$G154</f>
        <v>819.30399999999986</v>
      </c>
      <c r="AL74" s="197">
        <f>'Arable NPV'!$H154</f>
        <v>996.95456799999988</v>
      </c>
      <c r="AM74" s="197">
        <f>'Arable NPV'!$I154+0.5*'Arable NPV'!$I154</f>
        <v>2724.3878519999998</v>
      </c>
      <c r="AN74" s="197">
        <f t="shared" si="156"/>
        <v>-1083.7878519999997</v>
      </c>
      <c r="AO74" s="197">
        <f t="shared" si="157"/>
        <v>-907.83785199999966</v>
      </c>
      <c r="AP74" s="196">
        <f t="shared" si="158"/>
        <v>1065.7024763226973</v>
      </c>
      <c r="AQ74" s="197">
        <f t="shared" si="159"/>
        <v>114.29376490855698</v>
      </c>
      <c r="AR74" s="197">
        <f t="shared" si="160"/>
        <v>1769.7103988418103</v>
      </c>
      <c r="AS74" s="197">
        <f t="shared" si="161"/>
        <v>-704.00792251911287</v>
      </c>
      <c r="AT74" s="199">
        <f t="shared" si="162"/>
        <v>-589.71415761055584</v>
      </c>
      <c r="AU74" s="196">
        <f t="shared" si="163"/>
        <v>14210.753482354634</v>
      </c>
      <c r="AV74" s="197">
        <f t="shared" si="163"/>
        <v>1717.3558772860742</v>
      </c>
      <c r="AW74" s="197">
        <f t="shared" si="163"/>
        <v>22152.575001764093</v>
      </c>
      <c r="AX74" s="197">
        <f t="shared" si="163"/>
        <v>-7941.8215194094591</v>
      </c>
      <c r="AY74" s="199">
        <f t="shared" si="164"/>
        <v>-6224.4656421233849</v>
      </c>
      <c r="BB74" s="204">
        <f t="shared" si="199"/>
        <v>12</v>
      </c>
      <c r="BC74" s="219" t="s">
        <v>7</v>
      </c>
      <c r="BD74" s="760">
        <f>'Arable Inputs'!$G$18</f>
        <v>63.1</v>
      </c>
      <c r="BE74" s="760">
        <f>'Arable Inputs'!$G$25</f>
        <v>26</v>
      </c>
      <c r="BH74" s="762">
        <f>BD74*BE74</f>
        <v>1640.6000000000001</v>
      </c>
      <c r="BI74" s="197">
        <f>'Arable NPV'!$E154</f>
        <v>175.95</v>
      </c>
      <c r="BJ74" s="197">
        <f t="shared" si="165"/>
        <v>1816.5500000000002</v>
      </c>
      <c r="BK74" s="197">
        <f>'Arable NPV'!$G154</f>
        <v>819.30399999999986</v>
      </c>
      <c r="BL74" s="197">
        <f>'Arable NPV'!$H154</f>
        <v>996.95456799999988</v>
      </c>
      <c r="BM74" s="197">
        <f>'Arable NPV'!$I154-0.5*'Arable NPV'!$I154</f>
        <v>908.12928399999987</v>
      </c>
      <c r="BN74" s="197">
        <f t="shared" si="166"/>
        <v>732.47071600000027</v>
      </c>
      <c r="BO74" s="197">
        <f t="shared" si="167"/>
        <v>908.42071600000031</v>
      </c>
      <c r="BP74" s="196">
        <f t="shared" si="168"/>
        <v>1065.7024763226973</v>
      </c>
      <c r="BQ74" s="197">
        <f t="shared" si="169"/>
        <v>114.29376490855698</v>
      </c>
      <c r="BR74" s="197">
        <f t="shared" si="170"/>
        <v>589.90346628060342</v>
      </c>
      <c r="BS74" s="197">
        <f t="shared" si="171"/>
        <v>475.79901004209398</v>
      </c>
      <c r="BT74" s="199">
        <f t="shared" si="172"/>
        <v>590.09277495065101</v>
      </c>
      <c r="BU74" s="196">
        <f t="shared" si="173"/>
        <v>14210.753482354634</v>
      </c>
      <c r="BV74" s="197">
        <f t="shared" si="173"/>
        <v>1717.3558772860742</v>
      </c>
      <c r="BW74" s="197">
        <f t="shared" si="173"/>
        <v>7384.1916672546968</v>
      </c>
      <c r="BX74" s="197">
        <f t="shared" si="174"/>
        <v>6826.5618150999362</v>
      </c>
      <c r="BY74" s="199">
        <f t="shared" si="175"/>
        <v>8543.9176923860123</v>
      </c>
      <c r="CB74" s="204">
        <f t="shared" si="200"/>
        <v>12</v>
      </c>
      <c r="CC74" s="219" t="s">
        <v>7</v>
      </c>
      <c r="CD74" s="760">
        <f>'Arable Inputs'!$G$18</f>
        <v>63.1</v>
      </c>
      <c r="CE74" s="760">
        <f>'Arable Inputs'!$G$25</f>
        <v>26</v>
      </c>
      <c r="CH74" s="762">
        <f>CD74*CE74</f>
        <v>1640.6000000000001</v>
      </c>
      <c r="CI74" s="197">
        <f>'Arable NPV'!$E154</f>
        <v>175.95</v>
      </c>
      <c r="CJ74" s="197">
        <f t="shared" si="176"/>
        <v>1816.5500000000002</v>
      </c>
      <c r="CK74" s="197">
        <f>'Arable NPV'!$G154</f>
        <v>819.30399999999986</v>
      </c>
      <c r="CL74" s="197">
        <f>'Arable NPV'!$H154</f>
        <v>996.95456799999988</v>
      </c>
      <c r="CM74" s="197">
        <f>'Arable NPV'!$I154+'Arable NPV'!$I154</f>
        <v>3632.5171359999995</v>
      </c>
      <c r="CN74" s="197">
        <f t="shared" si="177"/>
        <v>-1991.9171359999993</v>
      </c>
      <c r="CO74" s="197">
        <f t="shared" si="178"/>
        <v>-1815.9671359999993</v>
      </c>
      <c r="CP74" s="196">
        <f t="shared" si="179"/>
        <v>1065.7024763226973</v>
      </c>
      <c r="CQ74" s="197">
        <f t="shared" si="180"/>
        <v>114.29376490855698</v>
      </c>
      <c r="CR74" s="197">
        <f t="shared" si="181"/>
        <v>2359.6138651224137</v>
      </c>
      <c r="CS74" s="197">
        <f t="shared" si="182"/>
        <v>-1293.9113887997162</v>
      </c>
      <c r="CT74" s="199">
        <f t="shared" si="183"/>
        <v>-1179.6176238911592</v>
      </c>
      <c r="CU74" s="196">
        <f t="shared" si="184"/>
        <v>14210.753482354634</v>
      </c>
      <c r="CV74" s="197">
        <f t="shared" si="184"/>
        <v>1717.3558772860742</v>
      </c>
      <c r="CW74" s="197">
        <f t="shared" si="185"/>
        <v>29536.766669018787</v>
      </c>
      <c r="CX74" s="197">
        <f t="shared" si="186"/>
        <v>-15326.013186664151</v>
      </c>
      <c r="CY74" s="199">
        <f t="shared" si="187"/>
        <v>-13608.657309378081</v>
      </c>
      <c r="DB74" s="204">
        <f t="shared" si="201"/>
        <v>12</v>
      </c>
      <c r="DC74" s="219" t="s">
        <v>7</v>
      </c>
      <c r="DD74" s="760">
        <f>'Arable Inputs'!$G$18</f>
        <v>63.1</v>
      </c>
      <c r="DE74" s="760">
        <f>'Arable Inputs'!$G$25</f>
        <v>26</v>
      </c>
      <c r="DH74" s="762">
        <f>DD74*DE74</f>
        <v>1640.6000000000001</v>
      </c>
      <c r="DI74" s="197">
        <f>'Arable NPV'!$E154</f>
        <v>175.95</v>
      </c>
      <c r="DJ74" s="197">
        <f t="shared" si="188"/>
        <v>1816.5500000000002</v>
      </c>
      <c r="DK74" s="197">
        <f>'Arable NPV'!$G154</f>
        <v>819.30399999999986</v>
      </c>
      <c r="DL74" s="197">
        <f>'Arable NPV'!$H154</f>
        <v>996.95456799999988</v>
      </c>
      <c r="DM74" s="197">
        <f>'Arable NPV'!$I154-'Arable NPV'!$I154</f>
        <v>0</v>
      </c>
      <c r="DN74" s="197">
        <f t="shared" si="189"/>
        <v>1640.6000000000001</v>
      </c>
      <c r="DO74" s="197">
        <f t="shared" si="190"/>
        <v>1816.5500000000002</v>
      </c>
      <c r="DP74" s="196">
        <f t="shared" si="191"/>
        <v>1065.7024763226973</v>
      </c>
      <c r="DQ74" s="197">
        <f t="shared" si="192"/>
        <v>114.29376490855698</v>
      </c>
      <c r="DR74" s="197">
        <f t="shared" si="193"/>
        <v>0</v>
      </c>
      <c r="DS74" s="197">
        <f t="shared" si="194"/>
        <v>1065.7024763226973</v>
      </c>
      <c r="DT74" s="199">
        <f t="shared" si="195"/>
        <v>1179.9962412312543</v>
      </c>
      <c r="DU74" s="196">
        <f t="shared" si="196"/>
        <v>14210.753482354634</v>
      </c>
      <c r="DV74" s="197">
        <f t="shared" si="196"/>
        <v>1717.3558772860742</v>
      </c>
      <c r="DW74" s="197">
        <f t="shared" si="196"/>
        <v>0</v>
      </c>
      <c r="DX74" s="197">
        <f t="shared" si="196"/>
        <v>14210.753482354634</v>
      </c>
      <c r="DY74" s="199">
        <f t="shared" si="196"/>
        <v>15928.10935964071</v>
      </c>
    </row>
    <row r="75" spans="2:129" x14ac:dyDescent="0.3">
      <c r="B75" s="204">
        <f t="shared" si="197"/>
        <v>13</v>
      </c>
      <c r="C75" s="219" t="s">
        <v>31</v>
      </c>
      <c r="D75" s="760">
        <f>'Arable Inputs'!$H$18</f>
        <v>8.14</v>
      </c>
      <c r="E75" s="760">
        <f>'Arable Inputs'!$H$25</f>
        <v>182.8</v>
      </c>
      <c r="H75" s="762">
        <f>D75*E75</f>
        <v>1487.9920000000002</v>
      </c>
      <c r="I75" s="197">
        <f>'Arable NPV'!$E155</f>
        <v>175.95</v>
      </c>
      <c r="J75" s="197">
        <f t="shared" si="145"/>
        <v>1663.9420000000002</v>
      </c>
      <c r="K75" s="197">
        <f>'Arable NPV'!$G155</f>
        <v>574.23049999999989</v>
      </c>
      <c r="L75" s="197">
        <f>'Arable NPV'!$H155</f>
        <v>636.366536</v>
      </c>
      <c r="M75" s="197">
        <f t="shared" si="146"/>
        <v>1210.5970359999999</v>
      </c>
      <c r="N75" s="197">
        <f t="shared" si="147"/>
        <v>277.3949640000003</v>
      </c>
      <c r="O75" s="197">
        <f t="shared" si="148"/>
        <v>453.34496400000035</v>
      </c>
      <c r="P75" s="196">
        <f t="shared" si="149"/>
        <v>929.39541299874043</v>
      </c>
      <c r="Q75" s="197">
        <f t="shared" si="150"/>
        <v>109.89785087361246</v>
      </c>
      <c r="R75" s="197">
        <f t="shared" si="151"/>
        <v>756.13533691597183</v>
      </c>
      <c r="S75" s="197">
        <f t="shared" si="152"/>
        <v>173.26007608276856</v>
      </c>
      <c r="T75" s="199">
        <f t="shared" si="153"/>
        <v>283.15792695638106</v>
      </c>
      <c r="U75" s="196">
        <f t="shared" si="154"/>
        <v>15140.148895353374</v>
      </c>
      <c r="V75" s="197">
        <f t="shared" si="154"/>
        <v>1827.2537281596867</v>
      </c>
      <c r="W75" s="197">
        <f t="shared" si="154"/>
        <v>15524.518671425365</v>
      </c>
      <c r="X75" s="197">
        <f t="shared" si="154"/>
        <v>-384.36977607199231</v>
      </c>
      <c r="Y75" s="199">
        <f t="shared" si="154"/>
        <v>1442.8839520876945</v>
      </c>
      <c r="Z75" s="197"/>
      <c r="AB75" s="204">
        <f t="shared" si="198"/>
        <v>13</v>
      </c>
      <c r="AC75" s="219" t="s">
        <v>31</v>
      </c>
      <c r="AD75" s="760">
        <f>'Arable Inputs'!$H$18</f>
        <v>8.14</v>
      </c>
      <c r="AE75" s="760">
        <f>'Arable Inputs'!$H$25</f>
        <v>182.8</v>
      </c>
      <c r="AH75" s="762">
        <f>AD75*AE75</f>
        <v>1487.9920000000002</v>
      </c>
      <c r="AI75" s="197">
        <f>'Arable NPV'!$E155</f>
        <v>175.95</v>
      </c>
      <c r="AJ75" s="197">
        <f t="shared" si="155"/>
        <v>1663.9420000000002</v>
      </c>
      <c r="AK75" s="197">
        <f>'Arable NPV'!$G155</f>
        <v>574.23049999999989</v>
      </c>
      <c r="AL75" s="197">
        <f>'Arable NPV'!$H155</f>
        <v>636.366536</v>
      </c>
      <c r="AM75" s="197">
        <f>'Arable NPV'!$I155+0.5*'Arable NPV'!$I155</f>
        <v>1815.8955539999997</v>
      </c>
      <c r="AN75" s="197">
        <f t="shared" si="156"/>
        <v>-327.90355399999953</v>
      </c>
      <c r="AO75" s="197">
        <f t="shared" si="157"/>
        <v>-151.95355399999949</v>
      </c>
      <c r="AP75" s="196">
        <f t="shared" si="158"/>
        <v>929.39541299874043</v>
      </c>
      <c r="AQ75" s="197">
        <f t="shared" si="159"/>
        <v>109.89785087361246</v>
      </c>
      <c r="AR75" s="197">
        <f t="shared" si="160"/>
        <v>1134.2030053739577</v>
      </c>
      <c r="AS75" s="197">
        <f t="shared" si="161"/>
        <v>-204.80759237521727</v>
      </c>
      <c r="AT75" s="199">
        <f t="shared" si="162"/>
        <v>-94.909741501604785</v>
      </c>
      <c r="AU75" s="196">
        <f t="shared" si="163"/>
        <v>15140.148895353374</v>
      </c>
      <c r="AV75" s="197">
        <f t="shared" si="163"/>
        <v>1827.2537281596867</v>
      </c>
      <c r="AW75" s="197">
        <f t="shared" si="163"/>
        <v>23286.778007138051</v>
      </c>
      <c r="AX75" s="197">
        <f t="shared" si="163"/>
        <v>-8146.6291117846768</v>
      </c>
      <c r="AY75" s="199">
        <f t="shared" si="164"/>
        <v>-6319.3753836249898</v>
      </c>
      <c r="BB75" s="204">
        <f t="shared" si="199"/>
        <v>13</v>
      </c>
      <c r="BC75" s="219" t="s">
        <v>31</v>
      </c>
      <c r="BD75" s="760">
        <f>'Arable Inputs'!$H$18</f>
        <v>8.14</v>
      </c>
      <c r="BE75" s="760">
        <f>'Arable Inputs'!$H$25</f>
        <v>182.8</v>
      </c>
      <c r="BH75" s="762">
        <f>BD75*BE75</f>
        <v>1487.9920000000002</v>
      </c>
      <c r="BI75" s="197">
        <f>'Arable NPV'!$E155</f>
        <v>175.95</v>
      </c>
      <c r="BJ75" s="197">
        <f t="shared" si="165"/>
        <v>1663.9420000000002</v>
      </c>
      <c r="BK75" s="197">
        <f>'Arable NPV'!$G155</f>
        <v>574.23049999999989</v>
      </c>
      <c r="BL75" s="197">
        <f>'Arable NPV'!$H155</f>
        <v>636.366536</v>
      </c>
      <c r="BM75" s="197">
        <f>'Arable NPV'!$I155-0.5*'Arable NPV'!$I155</f>
        <v>605.29851799999994</v>
      </c>
      <c r="BN75" s="197">
        <f t="shared" si="166"/>
        <v>882.69348200000024</v>
      </c>
      <c r="BO75" s="197">
        <f t="shared" si="167"/>
        <v>1058.6434820000004</v>
      </c>
      <c r="BP75" s="196">
        <f t="shared" si="168"/>
        <v>929.39541299874043</v>
      </c>
      <c r="BQ75" s="197">
        <f t="shared" si="169"/>
        <v>109.89785087361246</v>
      </c>
      <c r="BR75" s="197">
        <f t="shared" si="170"/>
        <v>378.06766845798592</v>
      </c>
      <c r="BS75" s="197">
        <f t="shared" si="171"/>
        <v>551.32774454075445</v>
      </c>
      <c r="BT75" s="199">
        <f t="shared" si="172"/>
        <v>661.22559541436704</v>
      </c>
      <c r="BU75" s="196">
        <f t="shared" si="173"/>
        <v>15140.148895353374</v>
      </c>
      <c r="BV75" s="197">
        <f t="shared" si="173"/>
        <v>1827.2537281596867</v>
      </c>
      <c r="BW75" s="197">
        <f t="shared" si="173"/>
        <v>7762.2593357126825</v>
      </c>
      <c r="BX75" s="197">
        <f t="shared" si="174"/>
        <v>7377.889559640691</v>
      </c>
      <c r="BY75" s="199">
        <f t="shared" si="175"/>
        <v>9205.1432878003798</v>
      </c>
      <c r="CB75" s="204">
        <f t="shared" si="200"/>
        <v>13</v>
      </c>
      <c r="CC75" s="219" t="s">
        <v>31</v>
      </c>
      <c r="CD75" s="760">
        <f>'Arable Inputs'!$H$18</f>
        <v>8.14</v>
      </c>
      <c r="CE75" s="760">
        <f>'Arable Inputs'!$H$25</f>
        <v>182.8</v>
      </c>
      <c r="CH75" s="762">
        <f>CD75*CE75</f>
        <v>1487.9920000000002</v>
      </c>
      <c r="CI75" s="197">
        <f>'Arable NPV'!$E155</f>
        <v>175.95</v>
      </c>
      <c r="CJ75" s="197">
        <f t="shared" si="176"/>
        <v>1663.9420000000002</v>
      </c>
      <c r="CK75" s="197">
        <f>'Arable NPV'!$G155</f>
        <v>574.23049999999989</v>
      </c>
      <c r="CL75" s="197">
        <f>'Arable NPV'!$H155</f>
        <v>636.366536</v>
      </c>
      <c r="CM75" s="197">
        <f>'Arable NPV'!$I155+'Arable NPV'!$I155</f>
        <v>2421.1940719999998</v>
      </c>
      <c r="CN75" s="197">
        <f t="shared" si="177"/>
        <v>-933.20207199999959</v>
      </c>
      <c r="CO75" s="197">
        <f t="shared" si="178"/>
        <v>-757.25207199999954</v>
      </c>
      <c r="CP75" s="196">
        <f t="shared" si="179"/>
        <v>929.39541299874043</v>
      </c>
      <c r="CQ75" s="197">
        <f t="shared" si="180"/>
        <v>109.89785087361246</v>
      </c>
      <c r="CR75" s="197">
        <f t="shared" si="181"/>
        <v>1512.2706738319437</v>
      </c>
      <c r="CS75" s="197">
        <f t="shared" si="182"/>
        <v>-582.87526083320324</v>
      </c>
      <c r="CT75" s="199">
        <f t="shared" si="183"/>
        <v>-472.97740995959077</v>
      </c>
      <c r="CU75" s="196">
        <f t="shared" si="184"/>
        <v>15140.148895353374</v>
      </c>
      <c r="CV75" s="197">
        <f t="shared" si="184"/>
        <v>1827.2537281596867</v>
      </c>
      <c r="CW75" s="197">
        <f t="shared" si="185"/>
        <v>31049.03734285073</v>
      </c>
      <c r="CX75" s="197">
        <f t="shared" si="186"/>
        <v>-15908.888447497355</v>
      </c>
      <c r="CY75" s="199">
        <f t="shared" si="187"/>
        <v>-14081.634719337671</v>
      </c>
      <c r="DB75" s="204">
        <f t="shared" si="201"/>
        <v>13</v>
      </c>
      <c r="DC75" s="219" t="s">
        <v>31</v>
      </c>
      <c r="DD75" s="760">
        <f>'Arable Inputs'!$H$18</f>
        <v>8.14</v>
      </c>
      <c r="DE75" s="760">
        <f>'Arable Inputs'!$H$25</f>
        <v>182.8</v>
      </c>
      <c r="DH75" s="762">
        <f>DD75*DE75</f>
        <v>1487.9920000000002</v>
      </c>
      <c r="DI75" s="197">
        <f>'Arable NPV'!$E155</f>
        <v>175.95</v>
      </c>
      <c r="DJ75" s="197">
        <f t="shared" si="188"/>
        <v>1663.9420000000002</v>
      </c>
      <c r="DK75" s="197">
        <f>'Arable NPV'!$G155</f>
        <v>574.23049999999989</v>
      </c>
      <c r="DL75" s="197">
        <f>'Arable NPV'!$H155</f>
        <v>636.366536</v>
      </c>
      <c r="DM75" s="197">
        <f>'Arable NPV'!$I155-'Arable NPV'!$I155</f>
        <v>0</v>
      </c>
      <c r="DN75" s="197">
        <f t="shared" si="189"/>
        <v>1487.9920000000002</v>
      </c>
      <c r="DO75" s="197">
        <f t="shared" si="190"/>
        <v>1663.9420000000002</v>
      </c>
      <c r="DP75" s="196">
        <f t="shared" si="191"/>
        <v>929.39541299874043</v>
      </c>
      <c r="DQ75" s="197">
        <f t="shared" si="192"/>
        <v>109.89785087361246</v>
      </c>
      <c r="DR75" s="197">
        <f t="shared" si="193"/>
        <v>0</v>
      </c>
      <c r="DS75" s="197">
        <f t="shared" si="194"/>
        <v>929.39541299874043</v>
      </c>
      <c r="DT75" s="199">
        <f t="shared" si="195"/>
        <v>1039.2932638723528</v>
      </c>
      <c r="DU75" s="196">
        <f t="shared" si="196"/>
        <v>15140.148895353374</v>
      </c>
      <c r="DV75" s="197">
        <f t="shared" si="196"/>
        <v>1827.2537281596867</v>
      </c>
      <c r="DW75" s="197">
        <f t="shared" si="196"/>
        <v>0</v>
      </c>
      <c r="DX75" s="197">
        <f t="shared" si="196"/>
        <v>15140.148895353374</v>
      </c>
      <c r="DY75" s="199">
        <f t="shared" si="196"/>
        <v>16967.402623513062</v>
      </c>
    </row>
    <row r="76" spans="2:129" x14ac:dyDescent="0.3">
      <c r="B76" s="204">
        <f t="shared" si="197"/>
        <v>14</v>
      </c>
      <c r="C76" s="219" t="s">
        <v>6</v>
      </c>
      <c r="D76" s="760">
        <f>'Arable Inputs'!$F$18</f>
        <v>3.3</v>
      </c>
      <c r="E76" s="760">
        <f>'Arable Inputs'!$F$25</f>
        <v>345.1</v>
      </c>
      <c r="F76" s="760">
        <f>'Arable Inputs'!$F$19</f>
        <v>2.6</v>
      </c>
      <c r="G76" s="760">
        <f>'Arable Inputs'!$F$26</f>
        <v>42.374999999999993</v>
      </c>
      <c r="H76" s="762">
        <f>D76*E76+F76*G76</f>
        <v>1249.0049999999999</v>
      </c>
      <c r="I76" s="197">
        <f>'Arable NPV'!$E156</f>
        <v>175.95</v>
      </c>
      <c r="J76" s="197">
        <f t="shared" si="145"/>
        <v>1424.9549999999999</v>
      </c>
      <c r="K76" s="197">
        <f>'Arable NPV'!$G156</f>
        <v>619.745</v>
      </c>
      <c r="L76" s="197">
        <f>'Arable NPV'!$H156</f>
        <v>710.23622685714281</v>
      </c>
      <c r="M76" s="197">
        <f t="shared" si="146"/>
        <v>1329.9812268571427</v>
      </c>
      <c r="N76" s="197">
        <f t="shared" si="147"/>
        <v>-80.976226857142819</v>
      </c>
      <c r="O76" s="197">
        <f t="shared" si="148"/>
        <v>94.973773142857226</v>
      </c>
      <c r="P76" s="196">
        <f t="shared" si="149"/>
        <v>750.12003645264338</v>
      </c>
      <c r="Q76" s="197">
        <f t="shared" si="150"/>
        <v>105.67101045539658</v>
      </c>
      <c r="R76" s="197">
        <f t="shared" si="151"/>
        <v>798.75225989600631</v>
      </c>
      <c r="S76" s="197">
        <f t="shared" si="152"/>
        <v>-48.632223443362918</v>
      </c>
      <c r="T76" s="199">
        <f t="shared" si="153"/>
        <v>57.038787012033701</v>
      </c>
      <c r="U76" s="196">
        <f t="shared" si="154"/>
        <v>15890.268931806017</v>
      </c>
      <c r="V76" s="197">
        <f t="shared" si="154"/>
        <v>1932.9247386150832</v>
      </c>
      <c r="W76" s="197">
        <f t="shared" si="154"/>
        <v>16323.270931321371</v>
      </c>
      <c r="X76" s="197">
        <f t="shared" si="154"/>
        <v>-433.00199951535524</v>
      </c>
      <c r="Y76" s="199">
        <f t="shared" si="154"/>
        <v>1499.9227390997282</v>
      </c>
      <c r="Z76" s="197"/>
      <c r="AB76" s="204">
        <f t="shared" si="198"/>
        <v>14</v>
      </c>
      <c r="AC76" s="219" t="s">
        <v>6</v>
      </c>
      <c r="AD76" s="760">
        <f>'Arable Inputs'!$F$18</f>
        <v>3.3</v>
      </c>
      <c r="AE76" s="760">
        <f>'Arable Inputs'!$F$25</f>
        <v>345.1</v>
      </c>
      <c r="AF76" s="760">
        <f>'Arable Inputs'!$F$19</f>
        <v>2.6</v>
      </c>
      <c r="AG76" s="760">
        <f>'Arable Inputs'!$F$26</f>
        <v>42.374999999999993</v>
      </c>
      <c r="AH76" s="762">
        <f>AD76*AE76+AF76*AG76</f>
        <v>1249.0049999999999</v>
      </c>
      <c r="AI76" s="197">
        <f>'Arable NPV'!$E156</f>
        <v>175.95</v>
      </c>
      <c r="AJ76" s="197">
        <f t="shared" si="155"/>
        <v>1424.9549999999999</v>
      </c>
      <c r="AK76" s="197">
        <f>'Arable NPV'!$G156</f>
        <v>619.745</v>
      </c>
      <c r="AL76" s="197">
        <f>'Arable NPV'!$H156</f>
        <v>710.23622685714281</v>
      </c>
      <c r="AM76" s="197">
        <f>'Arable NPV'!$I156+0.5*'Arable NPV'!$I156</f>
        <v>1994.9718402857141</v>
      </c>
      <c r="AN76" s="197">
        <f t="shared" si="156"/>
        <v>-745.96684028571417</v>
      </c>
      <c r="AO76" s="197">
        <f t="shared" si="157"/>
        <v>-570.01684028571412</v>
      </c>
      <c r="AP76" s="196">
        <f t="shared" si="158"/>
        <v>750.12003645264338</v>
      </c>
      <c r="AQ76" s="197">
        <f t="shared" si="159"/>
        <v>105.67101045539658</v>
      </c>
      <c r="AR76" s="197">
        <f t="shared" si="160"/>
        <v>1198.1283898440095</v>
      </c>
      <c r="AS76" s="197">
        <f t="shared" si="161"/>
        <v>-448.00835339136609</v>
      </c>
      <c r="AT76" s="199">
        <f t="shared" si="162"/>
        <v>-342.33734293596945</v>
      </c>
      <c r="AU76" s="196">
        <f t="shared" si="163"/>
        <v>15890.268931806017</v>
      </c>
      <c r="AV76" s="197">
        <f t="shared" si="163"/>
        <v>1932.9247386150832</v>
      </c>
      <c r="AW76" s="197">
        <f t="shared" si="163"/>
        <v>24484.90639698206</v>
      </c>
      <c r="AX76" s="197">
        <f t="shared" si="163"/>
        <v>-8594.6374651760434</v>
      </c>
      <c r="AY76" s="199">
        <f t="shared" si="164"/>
        <v>-6661.7127265609597</v>
      </c>
      <c r="BB76" s="204">
        <f t="shared" si="199"/>
        <v>14</v>
      </c>
      <c r="BC76" s="219" t="s">
        <v>6</v>
      </c>
      <c r="BD76" s="760">
        <f>'Arable Inputs'!$F$18</f>
        <v>3.3</v>
      </c>
      <c r="BE76" s="760">
        <f>'Arable Inputs'!$F$25</f>
        <v>345.1</v>
      </c>
      <c r="BF76" s="760">
        <f>'Arable Inputs'!$F$19</f>
        <v>2.6</v>
      </c>
      <c r="BG76" s="760">
        <f>'Arable Inputs'!$F$26</f>
        <v>42.374999999999993</v>
      </c>
      <c r="BH76" s="762">
        <f>BD76*BE76+BF76*BG76</f>
        <v>1249.0049999999999</v>
      </c>
      <c r="BI76" s="197">
        <f>'Arable NPV'!$E156</f>
        <v>175.95</v>
      </c>
      <c r="BJ76" s="197">
        <f t="shared" si="165"/>
        <v>1424.9549999999999</v>
      </c>
      <c r="BK76" s="197">
        <f>'Arable NPV'!$G156</f>
        <v>619.745</v>
      </c>
      <c r="BL76" s="197">
        <f>'Arable NPV'!$H156</f>
        <v>710.23622685714281</v>
      </c>
      <c r="BM76" s="197">
        <f>'Arable NPV'!$I156-0.5*'Arable NPV'!$I156</f>
        <v>664.99061342857135</v>
      </c>
      <c r="BN76" s="197">
        <f t="shared" si="166"/>
        <v>584.01438657142853</v>
      </c>
      <c r="BO76" s="197">
        <f t="shared" si="167"/>
        <v>759.96438657142858</v>
      </c>
      <c r="BP76" s="196">
        <f t="shared" si="168"/>
        <v>750.12003645264338</v>
      </c>
      <c r="BQ76" s="197">
        <f t="shared" si="169"/>
        <v>105.67101045539658</v>
      </c>
      <c r="BR76" s="197">
        <f t="shared" si="170"/>
        <v>399.37612994800315</v>
      </c>
      <c r="BS76" s="197">
        <f t="shared" si="171"/>
        <v>350.74390650464028</v>
      </c>
      <c r="BT76" s="199">
        <f t="shared" si="172"/>
        <v>456.41491696003686</v>
      </c>
      <c r="BU76" s="196">
        <f t="shared" si="173"/>
        <v>15890.268931806017</v>
      </c>
      <c r="BV76" s="197">
        <f t="shared" si="173"/>
        <v>1932.9247386150832</v>
      </c>
      <c r="BW76" s="197">
        <f t="shared" si="173"/>
        <v>8161.6354656606854</v>
      </c>
      <c r="BX76" s="197">
        <f t="shared" si="174"/>
        <v>7728.6334661453311</v>
      </c>
      <c r="BY76" s="199">
        <f t="shared" si="175"/>
        <v>9661.5582047604166</v>
      </c>
      <c r="CB76" s="204">
        <f t="shared" si="200"/>
        <v>14</v>
      </c>
      <c r="CC76" s="219" t="s">
        <v>6</v>
      </c>
      <c r="CD76" s="760">
        <f>'Arable Inputs'!$F$18</f>
        <v>3.3</v>
      </c>
      <c r="CE76" s="760">
        <f>'Arable Inputs'!$F$25</f>
        <v>345.1</v>
      </c>
      <c r="CF76" s="760">
        <f>'Arable Inputs'!$F$19</f>
        <v>2.6</v>
      </c>
      <c r="CG76" s="760">
        <f>'Arable Inputs'!$F$26</f>
        <v>42.374999999999993</v>
      </c>
      <c r="CH76" s="762">
        <f>CD76*CE76+CF76*CG76</f>
        <v>1249.0049999999999</v>
      </c>
      <c r="CI76" s="197">
        <f>'Arable NPV'!$E156</f>
        <v>175.95</v>
      </c>
      <c r="CJ76" s="197">
        <f t="shared" si="176"/>
        <v>1424.9549999999999</v>
      </c>
      <c r="CK76" s="197">
        <f>'Arable NPV'!$G156</f>
        <v>619.745</v>
      </c>
      <c r="CL76" s="197">
        <f>'Arable NPV'!$H156</f>
        <v>710.23622685714281</v>
      </c>
      <c r="CM76" s="197">
        <f>'Arable NPV'!$I156+'Arable NPV'!$I156</f>
        <v>2659.9624537142854</v>
      </c>
      <c r="CN76" s="197">
        <f t="shared" si="177"/>
        <v>-1410.9574537142855</v>
      </c>
      <c r="CO76" s="197">
        <f t="shared" si="178"/>
        <v>-1235.0074537142855</v>
      </c>
      <c r="CP76" s="196">
        <f t="shared" si="179"/>
        <v>750.12003645264338</v>
      </c>
      <c r="CQ76" s="197">
        <f t="shared" si="180"/>
        <v>105.67101045539658</v>
      </c>
      <c r="CR76" s="197">
        <f t="shared" si="181"/>
        <v>1597.5045197920126</v>
      </c>
      <c r="CS76" s="197">
        <f t="shared" si="182"/>
        <v>-847.38448333936924</v>
      </c>
      <c r="CT76" s="199">
        <f t="shared" si="183"/>
        <v>-741.7134728839726</v>
      </c>
      <c r="CU76" s="196">
        <f t="shared" si="184"/>
        <v>15890.268931806017</v>
      </c>
      <c r="CV76" s="197">
        <f t="shared" si="184"/>
        <v>1932.9247386150832</v>
      </c>
      <c r="CW76" s="197">
        <f t="shared" si="185"/>
        <v>32646.541862642742</v>
      </c>
      <c r="CX76" s="197">
        <f t="shared" si="186"/>
        <v>-16756.272930836723</v>
      </c>
      <c r="CY76" s="199">
        <f t="shared" si="187"/>
        <v>-14823.348192221643</v>
      </c>
      <c r="DB76" s="204">
        <f t="shared" si="201"/>
        <v>14</v>
      </c>
      <c r="DC76" s="219" t="s">
        <v>6</v>
      </c>
      <c r="DD76" s="760">
        <f>'Arable Inputs'!$F$18</f>
        <v>3.3</v>
      </c>
      <c r="DE76" s="760">
        <f>'Arable Inputs'!$F$25</f>
        <v>345.1</v>
      </c>
      <c r="DF76" s="760">
        <f>'Arable Inputs'!$F$19</f>
        <v>2.6</v>
      </c>
      <c r="DG76" s="760">
        <f>'Arable Inputs'!$F$26</f>
        <v>42.374999999999993</v>
      </c>
      <c r="DH76" s="762">
        <f>DD76*DE76+DF76*DG76</f>
        <v>1249.0049999999999</v>
      </c>
      <c r="DI76" s="197">
        <f>'Arable NPV'!$E156</f>
        <v>175.95</v>
      </c>
      <c r="DJ76" s="197">
        <f t="shared" si="188"/>
        <v>1424.9549999999999</v>
      </c>
      <c r="DK76" s="197">
        <f>'Arable NPV'!$G156</f>
        <v>619.745</v>
      </c>
      <c r="DL76" s="197">
        <f>'Arable NPV'!$H156</f>
        <v>710.23622685714281</v>
      </c>
      <c r="DM76" s="197">
        <f>'Arable NPV'!$I156-'Arable NPV'!$I156</f>
        <v>0</v>
      </c>
      <c r="DN76" s="197">
        <f t="shared" si="189"/>
        <v>1249.0049999999999</v>
      </c>
      <c r="DO76" s="197">
        <f t="shared" si="190"/>
        <v>1424.9549999999999</v>
      </c>
      <c r="DP76" s="196">
        <f t="shared" si="191"/>
        <v>750.12003645264338</v>
      </c>
      <c r="DQ76" s="197">
        <f t="shared" si="192"/>
        <v>105.67101045539658</v>
      </c>
      <c r="DR76" s="197">
        <f t="shared" si="193"/>
        <v>0</v>
      </c>
      <c r="DS76" s="197">
        <f t="shared" si="194"/>
        <v>750.12003645264338</v>
      </c>
      <c r="DT76" s="199">
        <f t="shared" si="195"/>
        <v>855.79104690804002</v>
      </c>
      <c r="DU76" s="196">
        <f t="shared" si="196"/>
        <v>15890.268931806017</v>
      </c>
      <c r="DV76" s="197">
        <f t="shared" si="196"/>
        <v>1932.9247386150832</v>
      </c>
      <c r="DW76" s="197">
        <f t="shared" si="196"/>
        <v>0</v>
      </c>
      <c r="DX76" s="197">
        <f t="shared" si="196"/>
        <v>15890.268931806017</v>
      </c>
      <c r="DY76" s="199">
        <f t="shared" si="196"/>
        <v>17823.193670421104</v>
      </c>
    </row>
    <row r="77" spans="2:129" x14ac:dyDescent="0.3">
      <c r="B77" s="204">
        <f t="shared" si="197"/>
        <v>15</v>
      </c>
      <c r="C77" s="219" t="s">
        <v>5</v>
      </c>
      <c r="D77" s="760">
        <f>'Arable Inputs'!$E$18</f>
        <v>4.1100000000000003</v>
      </c>
      <c r="E77" s="760">
        <f>'Arable Inputs'!$E$25</f>
        <v>154.80000000000001</v>
      </c>
      <c r="F77" s="760">
        <f>'Arable Inputs'!$E$19</f>
        <v>3.5</v>
      </c>
      <c r="G77" s="760">
        <f>'Arable Inputs'!$E$26</f>
        <v>79.099999999999994</v>
      </c>
      <c r="H77" s="762">
        <f>D77*E77+F77*G77</f>
        <v>913.07799999999997</v>
      </c>
      <c r="I77" s="197">
        <f>'Arable NPV'!$E157</f>
        <v>175.95</v>
      </c>
      <c r="J77" s="197">
        <f t="shared" si="145"/>
        <v>1089.028</v>
      </c>
      <c r="K77" s="197">
        <f>'Arable NPV'!$G157</f>
        <v>468.64299999999992</v>
      </c>
      <c r="L77" s="197">
        <f>'Arable NPV'!$H157</f>
        <v>888.75536799999986</v>
      </c>
      <c r="M77" s="197">
        <f t="shared" si="146"/>
        <v>1357.3983679999997</v>
      </c>
      <c r="N77" s="197">
        <f t="shared" si="147"/>
        <v>-444.32036799999969</v>
      </c>
      <c r="O77" s="197">
        <f t="shared" si="148"/>
        <v>-268.37036799999964</v>
      </c>
      <c r="P77" s="196">
        <f t="shared" si="149"/>
        <v>527.27979367276873</v>
      </c>
      <c r="Q77" s="197">
        <f t="shared" si="150"/>
        <v>101.60674082249672</v>
      </c>
      <c r="R77" s="197">
        <f t="shared" si="151"/>
        <v>783.86373498298383</v>
      </c>
      <c r="S77" s="197">
        <f t="shared" si="152"/>
        <v>-256.58394131021504</v>
      </c>
      <c r="T77" s="199">
        <f t="shared" si="153"/>
        <v>-154.97720048771828</v>
      </c>
      <c r="U77" s="196">
        <f t="shared" si="154"/>
        <v>16417.548725478784</v>
      </c>
      <c r="V77" s="197">
        <f t="shared" si="154"/>
        <v>2034.5314794375799</v>
      </c>
      <c r="W77" s="197">
        <f t="shared" si="154"/>
        <v>17107.134666304355</v>
      </c>
      <c r="X77" s="197">
        <f t="shared" si="154"/>
        <v>-689.58594082557033</v>
      </c>
      <c r="Y77" s="199">
        <f t="shared" si="154"/>
        <v>1344.9455386120098</v>
      </c>
      <c r="Z77" s="197"/>
      <c r="AB77" s="204">
        <f t="shared" si="198"/>
        <v>15</v>
      </c>
      <c r="AC77" s="219" t="s">
        <v>5</v>
      </c>
      <c r="AD77" s="760">
        <f>'Arable Inputs'!$E$18</f>
        <v>4.1100000000000003</v>
      </c>
      <c r="AE77" s="760">
        <f>'Arable Inputs'!$E$25</f>
        <v>154.80000000000001</v>
      </c>
      <c r="AF77" s="760">
        <f>'Arable Inputs'!$E$19</f>
        <v>3.5</v>
      </c>
      <c r="AG77" s="760">
        <f>'Arable Inputs'!$E$26</f>
        <v>79.099999999999994</v>
      </c>
      <c r="AH77" s="762">
        <f>AD77*AE77+AF77*AG77</f>
        <v>913.07799999999997</v>
      </c>
      <c r="AI77" s="197">
        <f>'Arable NPV'!$E157</f>
        <v>175.95</v>
      </c>
      <c r="AJ77" s="197">
        <f t="shared" si="155"/>
        <v>1089.028</v>
      </c>
      <c r="AK77" s="197">
        <f>'Arable NPV'!$G157</f>
        <v>468.64299999999992</v>
      </c>
      <c r="AL77" s="197">
        <f>'Arable NPV'!$H157</f>
        <v>888.75536799999986</v>
      </c>
      <c r="AM77" s="197">
        <f>'Arable NPV'!$I157+0.5*'Arable NPV'!$I157</f>
        <v>2036.0975519999995</v>
      </c>
      <c r="AN77" s="197">
        <f t="shared" si="156"/>
        <v>-1123.0195519999995</v>
      </c>
      <c r="AO77" s="197">
        <f t="shared" si="157"/>
        <v>-947.06955199999948</v>
      </c>
      <c r="AP77" s="196">
        <f t="shared" si="158"/>
        <v>527.27979367276873</v>
      </c>
      <c r="AQ77" s="197">
        <f t="shared" si="159"/>
        <v>101.60674082249672</v>
      </c>
      <c r="AR77" s="197">
        <f t="shared" si="160"/>
        <v>1175.7956024744758</v>
      </c>
      <c r="AS77" s="197">
        <f t="shared" si="161"/>
        <v>-648.51580880170695</v>
      </c>
      <c r="AT77" s="199">
        <f t="shared" si="162"/>
        <v>-546.90906797921025</v>
      </c>
      <c r="AU77" s="196">
        <f t="shared" si="163"/>
        <v>16417.548725478784</v>
      </c>
      <c r="AV77" s="197">
        <f t="shared" si="163"/>
        <v>2034.5314794375799</v>
      </c>
      <c r="AW77" s="197">
        <f t="shared" si="163"/>
        <v>25660.701999456534</v>
      </c>
      <c r="AX77" s="197">
        <f t="shared" si="163"/>
        <v>-9243.1532739777504</v>
      </c>
      <c r="AY77" s="199">
        <f t="shared" si="164"/>
        <v>-7208.6217945401695</v>
      </c>
      <c r="BB77" s="204">
        <f t="shared" si="199"/>
        <v>15</v>
      </c>
      <c r="BC77" s="219" t="s">
        <v>5</v>
      </c>
      <c r="BD77" s="760">
        <f>'Arable Inputs'!$E$18</f>
        <v>4.1100000000000003</v>
      </c>
      <c r="BE77" s="760">
        <f>'Arable Inputs'!$E$25</f>
        <v>154.80000000000001</v>
      </c>
      <c r="BF77" s="760">
        <f>'Arable Inputs'!$E$19</f>
        <v>3.5</v>
      </c>
      <c r="BG77" s="760">
        <f>'Arable Inputs'!$E$26</f>
        <v>79.099999999999994</v>
      </c>
      <c r="BH77" s="762">
        <f>BD77*BE77+BF77*BG77</f>
        <v>913.07799999999997</v>
      </c>
      <c r="BI77" s="197">
        <f>'Arable NPV'!$E157</f>
        <v>175.95</v>
      </c>
      <c r="BJ77" s="197">
        <f t="shared" si="165"/>
        <v>1089.028</v>
      </c>
      <c r="BK77" s="197">
        <f>'Arable NPV'!$G157</f>
        <v>468.64299999999992</v>
      </c>
      <c r="BL77" s="197">
        <f>'Arable NPV'!$H157</f>
        <v>888.75536799999986</v>
      </c>
      <c r="BM77" s="197">
        <f>'Arable NPV'!$I157-0.5*'Arable NPV'!$I157</f>
        <v>678.69918399999983</v>
      </c>
      <c r="BN77" s="197">
        <f t="shared" si="166"/>
        <v>234.37881600000014</v>
      </c>
      <c r="BO77" s="197">
        <f t="shared" si="167"/>
        <v>410.32881600000019</v>
      </c>
      <c r="BP77" s="196">
        <f t="shared" si="168"/>
        <v>527.27979367276873</v>
      </c>
      <c r="BQ77" s="197">
        <f t="shared" si="169"/>
        <v>101.60674082249672</v>
      </c>
      <c r="BR77" s="197">
        <f t="shared" si="170"/>
        <v>391.93186749149191</v>
      </c>
      <c r="BS77" s="197">
        <f t="shared" si="171"/>
        <v>135.34792618127685</v>
      </c>
      <c r="BT77" s="199">
        <f t="shared" si="172"/>
        <v>236.95466700377361</v>
      </c>
      <c r="BU77" s="196">
        <f t="shared" si="173"/>
        <v>16417.548725478784</v>
      </c>
      <c r="BV77" s="197">
        <f t="shared" si="173"/>
        <v>2034.5314794375799</v>
      </c>
      <c r="BW77" s="197">
        <f t="shared" si="173"/>
        <v>8553.5673331521775</v>
      </c>
      <c r="BX77" s="197">
        <f t="shared" si="174"/>
        <v>7863.9813923266083</v>
      </c>
      <c r="BY77" s="199">
        <f t="shared" si="175"/>
        <v>9898.512871764191</v>
      </c>
      <c r="CB77" s="204">
        <f t="shared" si="200"/>
        <v>15</v>
      </c>
      <c r="CC77" s="219" t="s">
        <v>5</v>
      </c>
      <c r="CD77" s="760">
        <f>'Arable Inputs'!$E$18</f>
        <v>4.1100000000000003</v>
      </c>
      <c r="CE77" s="760">
        <f>'Arable Inputs'!$E$25</f>
        <v>154.80000000000001</v>
      </c>
      <c r="CF77" s="760">
        <f>'Arable Inputs'!$E$19</f>
        <v>3.5</v>
      </c>
      <c r="CG77" s="760">
        <f>'Arable Inputs'!$E$26</f>
        <v>79.099999999999994</v>
      </c>
      <c r="CH77" s="762">
        <f>CD77*CE77+CF77*CG77</f>
        <v>913.07799999999997</v>
      </c>
      <c r="CI77" s="197">
        <f>'Arable NPV'!$E157</f>
        <v>175.95</v>
      </c>
      <c r="CJ77" s="197">
        <f t="shared" si="176"/>
        <v>1089.028</v>
      </c>
      <c r="CK77" s="197">
        <f>'Arable NPV'!$G157</f>
        <v>468.64299999999992</v>
      </c>
      <c r="CL77" s="197">
        <f>'Arable NPV'!$H157</f>
        <v>888.75536799999986</v>
      </c>
      <c r="CM77" s="197">
        <f>'Arable NPV'!$I157+'Arable NPV'!$I157</f>
        <v>2714.7967359999993</v>
      </c>
      <c r="CN77" s="197">
        <f t="shared" si="177"/>
        <v>-1801.7187359999994</v>
      </c>
      <c r="CO77" s="197">
        <f t="shared" si="178"/>
        <v>-1625.7687359999993</v>
      </c>
      <c r="CP77" s="196">
        <f t="shared" si="179"/>
        <v>527.27979367276873</v>
      </c>
      <c r="CQ77" s="197">
        <f t="shared" si="180"/>
        <v>101.60674082249672</v>
      </c>
      <c r="CR77" s="197">
        <f t="shared" si="181"/>
        <v>1567.7274699659677</v>
      </c>
      <c r="CS77" s="197">
        <f t="shared" si="182"/>
        <v>-1040.4476762931988</v>
      </c>
      <c r="CT77" s="199">
        <f t="shared" si="183"/>
        <v>-938.84093547070211</v>
      </c>
      <c r="CU77" s="196">
        <f t="shared" si="184"/>
        <v>16417.548725478784</v>
      </c>
      <c r="CV77" s="197">
        <f t="shared" si="184"/>
        <v>2034.5314794375799</v>
      </c>
      <c r="CW77" s="197">
        <f t="shared" si="185"/>
        <v>34214.26933260871</v>
      </c>
      <c r="CX77" s="197">
        <f t="shared" si="186"/>
        <v>-17796.720607129922</v>
      </c>
      <c r="CY77" s="199">
        <f t="shared" si="187"/>
        <v>-15762.189127692345</v>
      </c>
      <c r="DB77" s="204">
        <f t="shared" si="201"/>
        <v>15</v>
      </c>
      <c r="DC77" s="219" t="s">
        <v>5</v>
      </c>
      <c r="DD77" s="760">
        <f>'Arable Inputs'!$E$18</f>
        <v>4.1100000000000003</v>
      </c>
      <c r="DE77" s="760">
        <f>'Arable Inputs'!$E$25</f>
        <v>154.80000000000001</v>
      </c>
      <c r="DF77" s="760">
        <f>'Arable Inputs'!$E$19</f>
        <v>3.5</v>
      </c>
      <c r="DG77" s="760">
        <f>'Arable Inputs'!$E$26</f>
        <v>79.099999999999994</v>
      </c>
      <c r="DH77" s="762">
        <f>DD77*DE77+DF77*DG77</f>
        <v>913.07799999999997</v>
      </c>
      <c r="DI77" s="197">
        <f>'Arable NPV'!$E157</f>
        <v>175.95</v>
      </c>
      <c r="DJ77" s="197">
        <f t="shared" si="188"/>
        <v>1089.028</v>
      </c>
      <c r="DK77" s="197">
        <f>'Arable NPV'!$G157</f>
        <v>468.64299999999992</v>
      </c>
      <c r="DL77" s="197">
        <f>'Arable NPV'!$H157</f>
        <v>888.75536799999986</v>
      </c>
      <c r="DM77" s="197">
        <f>'Arable NPV'!$I157-'Arable NPV'!$I157</f>
        <v>0</v>
      </c>
      <c r="DN77" s="197">
        <f t="shared" si="189"/>
        <v>913.07799999999997</v>
      </c>
      <c r="DO77" s="197">
        <f t="shared" si="190"/>
        <v>1089.028</v>
      </c>
      <c r="DP77" s="196">
        <f t="shared" si="191"/>
        <v>527.27979367276873</v>
      </c>
      <c r="DQ77" s="197">
        <f t="shared" si="192"/>
        <v>101.60674082249672</v>
      </c>
      <c r="DR77" s="197">
        <f t="shared" si="193"/>
        <v>0</v>
      </c>
      <c r="DS77" s="197">
        <f t="shared" si="194"/>
        <v>527.27979367276873</v>
      </c>
      <c r="DT77" s="199">
        <f t="shared" si="195"/>
        <v>628.88653449526555</v>
      </c>
      <c r="DU77" s="196">
        <f t="shared" si="196"/>
        <v>16417.548725478784</v>
      </c>
      <c r="DV77" s="197">
        <f t="shared" si="196"/>
        <v>2034.5314794375799</v>
      </c>
      <c r="DW77" s="197">
        <f t="shared" si="196"/>
        <v>0</v>
      </c>
      <c r="DX77" s="197">
        <f t="shared" si="196"/>
        <v>16417.548725478784</v>
      </c>
      <c r="DY77" s="199">
        <f t="shared" si="196"/>
        <v>18452.080204916369</v>
      </c>
    </row>
    <row r="78" spans="2:129" x14ac:dyDescent="0.3">
      <c r="B78" s="206">
        <f t="shared" si="197"/>
        <v>16</v>
      </c>
      <c r="C78" s="220" t="s">
        <v>4</v>
      </c>
      <c r="D78" s="761">
        <f>'Arable Inputs'!$D$18</f>
        <v>7.45</v>
      </c>
      <c r="E78" s="761">
        <f>'Arable Inputs'!$D$25</f>
        <v>193.7</v>
      </c>
      <c r="F78" s="761">
        <f>'Arable Inputs'!$D$19</f>
        <v>3.9</v>
      </c>
      <c r="G78" s="761">
        <f>'Arable Inputs'!$D$26</f>
        <v>73.449999999999989</v>
      </c>
      <c r="H78" s="207">
        <f>D78*E78+F78*G78</f>
        <v>1729.52</v>
      </c>
      <c r="I78" s="207">
        <f>'Arable NPV'!$E158</f>
        <v>175.95</v>
      </c>
      <c r="J78" s="207">
        <f t="shared" si="145"/>
        <v>1905.47</v>
      </c>
      <c r="K78" s="207">
        <f>'Arable NPV'!$G158</f>
        <v>671.92799999999988</v>
      </c>
      <c r="L78" s="207">
        <f>'Arable NPV'!$H158</f>
        <v>969.47373599999992</v>
      </c>
      <c r="M78" s="207">
        <f t="shared" si="146"/>
        <v>1641.4017359999998</v>
      </c>
      <c r="N78" s="207">
        <f t="shared" si="147"/>
        <v>88.118264000000181</v>
      </c>
      <c r="O78" s="207">
        <f t="shared" si="148"/>
        <v>264.06826400000023</v>
      </c>
      <c r="P78" s="208">
        <f>H78/(1+$B$4)^(B78-1)</f>
        <v>960.34106273266298</v>
      </c>
      <c r="Q78" s="207">
        <f>I78/(1+$B$4)^(B78-1)</f>
        <v>97.698789252400701</v>
      </c>
      <c r="R78" s="207">
        <f>M78/(1+$B$4)^(B78-1)</f>
        <v>911.41211869274582</v>
      </c>
      <c r="S78" s="207">
        <f t="shared" si="152"/>
        <v>48.928944039917162</v>
      </c>
      <c r="T78" s="209">
        <f>O78/(1+$B$4)^(B78-1)</f>
        <v>146.62773329231788</v>
      </c>
      <c r="U78" s="208">
        <f t="shared" si="154"/>
        <v>17377.889788211447</v>
      </c>
      <c r="V78" s="207">
        <f t="shared" si="154"/>
        <v>2132.2302686899807</v>
      </c>
      <c r="W78" s="207">
        <f t="shared" si="154"/>
        <v>18018.546784997099</v>
      </c>
      <c r="X78" s="207">
        <f t="shared" si="154"/>
        <v>-640.65699678565318</v>
      </c>
      <c r="Y78" s="209">
        <f t="shared" si="154"/>
        <v>1491.5732719043276</v>
      </c>
      <c r="Z78" s="197"/>
      <c r="AB78" s="206">
        <f t="shared" si="198"/>
        <v>16</v>
      </c>
      <c r="AC78" s="220" t="s">
        <v>4</v>
      </c>
      <c r="AD78" s="761">
        <f>'Arable Inputs'!$D$18</f>
        <v>7.45</v>
      </c>
      <c r="AE78" s="761">
        <f>'Arable Inputs'!$D$25</f>
        <v>193.7</v>
      </c>
      <c r="AF78" s="761">
        <f>'Arable Inputs'!$D$19</f>
        <v>3.9</v>
      </c>
      <c r="AG78" s="761">
        <f>'Arable Inputs'!$D$26</f>
        <v>73.449999999999989</v>
      </c>
      <c r="AH78" s="207">
        <f>AD78*AE78+AF78*AG78</f>
        <v>1729.52</v>
      </c>
      <c r="AI78" s="207">
        <f>'Arable NPV'!$E158</f>
        <v>175.95</v>
      </c>
      <c r="AJ78" s="207">
        <f t="shared" si="155"/>
        <v>1905.47</v>
      </c>
      <c r="AK78" s="207">
        <f>'Arable NPV'!$G158</f>
        <v>671.92799999999988</v>
      </c>
      <c r="AL78" s="207">
        <f>'Arable NPV'!$H158</f>
        <v>969.47373599999992</v>
      </c>
      <c r="AM78" s="207">
        <f>'Arable NPV'!$I158+0.5*'Arable NPV'!$I158</f>
        <v>2462.1026039999997</v>
      </c>
      <c r="AN78" s="207">
        <f t="shared" si="156"/>
        <v>-732.58260399999972</v>
      </c>
      <c r="AO78" s="207">
        <f t="shared" si="157"/>
        <v>-556.63260399999967</v>
      </c>
      <c r="AP78" s="208">
        <f>AH78/(1+$B$4)^(AB78-1)</f>
        <v>960.34106273266298</v>
      </c>
      <c r="AQ78" s="207">
        <f>AI78/(1+$B$4)^(AB78-1)</f>
        <v>97.698789252400701</v>
      </c>
      <c r="AR78" s="207">
        <f>AM78/(1+$B$4)^(AB78-1)</f>
        <v>1367.1181780391189</v>
      </c>
      <c r="AS78" s="207">
        <f t="shared" si="161"/>
        <v>-406.77711530645576</v>
      </c>
      <c r="AT78" s="209">
        <f>AO78/(1+$B$4)^(AB78-1)</f>
        <v>-309.07832605405503</v>
      </c>
      <c r="AU78" s="208">
        <f t="shared" si="163"/>
        <v>17377.889788211447</v>
      </c>
      <c r="AV78" s="207">
        <f t="shared" si="163"/>
        <v>2132.2302686899807</v>
      </c>
      <c r="AW78" s="207">
        <f t="shared" si="163"/>
        <v>27027.820177495654</v>
      </c>
      <c r="AX78" s="207">
        <f t="shared" si="163"/>
        <v>-9649.9303892842054</v>
      </c>
      <c r="AY78" s="209">
        <f t="shared" si="164"/>
        <v>-7517.7001205942242</v>
      </c>
      <c r="BB78" s="206">
        <f t="shared" si="199"/>
        <v>16</v>
      </c>
      <c r="BC78" s="220" t="s">
        <v>4</v>
      </c>
      <c r="BD78" s="761">
        <f>'Arable Inputs'!$D$18</f>
        <v>7.45</v>
      </c>
      <c r="BE78" s="761">
        <f>'Arable Inputs'!$D$25</f>
        <v>193.7</v>
      </c>
      <c r="BF78" s="761">
        <f>'Arable Inputs'!$D$19</f>
        <v>3.9</v>
      </c>
      <c r="BG78" s="761">
        <f>'Arable Inputs'!$D$26</f>
        <v>73.449999999999989</v>
      </c>
      <c r="BH78" s="207">
        <f>BD78*BE78+BF78*BG78</f>
        <v>1729.52</v>
      </c>
      <c r="BI78" s="207">
        <f>'Arable NPV'!$E158</f>
        <v>175.95</v>
      </c>
      <c r="BJ78" s="207">
        <f t="shared" si="165"/>
        <v>1905.47</v>
      </c>
      <c r="BK78" s="207">
        <f>'Arable NPV'!$G158</f>
        <v>671.92799999999988</v>
      </c>
      <c r="BL78" s="207">
        <f>'Arable NPV'!$H158</f>
        <v>969.47373599999992</v>
      </c>
      <c r="BM78" s="207">
        <f>'Arable NPV'!$I158-0.5*'Arable NPV'!$I158</f>
        <v>820.7008679999999</v>
      </c>
      <c r="BN78" s="207">
        <f t="shared" si="166"/>
        <v>908.81913200000008</v>
      </c>
      <c r="BO78" s="207">
        <f t="shared" si="167"/>
        <v>1084.7691320000001</v>
      </c>
      <c r="BP78" s="208">
        <f>BH78/(1+$B$4)^(BB78-1)</f>
        <v>960.34106273266298</v>
      </c>
      <c r="BQ78" s="207">
        <f>BI78/(1+$B$4)^(BB78-1)</f>
        <v>97.698789252400701</v>
      </c>
      <c r="BR78" s="207">
        <f>BM78/(1+$B$4)^(BB78-1)</f>
        <v>455.70605934637291</v>
      </c>
      <c r="BS78" s="207">
        <f t="shared" si="171"/>
        <v>504.63500338629012</v>
      </c>
      <c r="BT78" s="209">
        <f>BO78/(1+$B$4)^(BB78-1)</f>
        <v>602.33379263869085</v>
      </c>
      <c r="BU78" s="208">
        <f t="shared" si="173"/>
        <v>17377.889788211447</v>
      </c>
      <c r="BV78" s="207">
        <f t="shared" si="173"/>
        <v>2132.2302686899807</v>
      </c>
      <c r="BW78" s="207">
        <f t="shared" si="173"/>
        <v>9009.2733924985496</v>
      </c>
      <c r="BX78" s="207">
        <f t="shared" si="174"/>
        <v>8368.6163957128992</v>
      </c>
      <c r="BY78" s="209">
        <f t="shared" si="175"/>
        <v>10500.846664402881</v>
      </c>
      <c r="CB78" s="206">
        <f t="shared" si="200"/>
        <v>16</v>
      </c>
      <c r="CC78" s="220" t="s">
        <v>4</v>
      </c>
      <c r="CD78" s="761">
        <f>'Arable Inputs'!$D$18</f>
        <v>7.45</v>
      </c>
      <c r="CE78" s="761">
        <f>'Arable Inputs'!$D$25</f>
        <v>193.7</v>
      </c>
      <c r="CF78" s="761">
        <f>'Arable Inputs'!$D$19</f>
        <v>3.9</v>
      </c>
      <c r="CG78" s="761">
        <f>'Arable Inputs'!$D$26</f>
        <v>73.449999999999989</v>
      </c>
      <c r="CH78" s="207">
        <f>CD78*CE78+CF78*CG78</f>
        <v>1729.52</v>
      </c>
      <c r="CI78" s="207">
        <f>'Arable NPV'!$E158</f>
        <v>175.95</v>
      </c>
      <c r="CJ78" s="207">
        <f t="shared" si="176"/>
        <v>1905.47</v>
      </c>
      <c r="CK78" s="207">
        <f>'Arable NPV'!$G158</f>
        <v>671.92799999999988</v>
      </c>
      <c r="CL78" s="207">
        <f>'Arable NPV'!$H158</f>
        <v>969.47373599999992</v>
      </c>
      <c r="CM78" s="207">
        <f>'Arable NPV'!$I158+'Arable NPV'!$I158</f>
        <v>3282.8034719999996</v>
      </c>
      <c r="CN78" s="207">
        <f t="shared" si="177"/>
        <v>-1553.2834719999996</v>
      </c>
      <c r="CO78" s="207">
        <f t="shared" si="178"/>
        <v>-1377.3334719999996</v>
      </c>
      <c r="CP78" s="208">
        <f>CH78/(1+$B$4)^(CB78-1)</f>
        <v>960.34106273266298</v>
      </c>
      <c r="CQ78" s="207">
        <f>CI78/(1+$B$4)^(CB78-1)</f>
        <v>97.698789252400701</v>
      </c>
      <c r="CR78" s="207">
        <f>CM78/(1+$B$4)^(CB78-1)</f>
        <v>1822.8242373854916</v>
      </c>
      <c r="CS78" s="207">
        <f t="shared" si="182"/>
        <v>-862.48317465282867</v>
      </c>
      <c r="CT78" s="209">
        <f>CO78/(1+$B$4)^(CB78-1)</f>
        <v>-764.78438540042794</v>
      </c>
      <c r="CU78" s="208">
        <f t="shared" si="184"/>
        <v>17377.889788211447</v>
      </c>
      <c r="CV78" s="207">
        <f t="shared" si="184"/>
        <v>2132.2302686899807</v>
      </c>
      <c r="CW78" s="207">
        <f t="shared" si="185"/>
        <v>36037.093569994198</v>
      </c>
      <c r="CX78" s="207">
        <f t="shared" si="186"/>
        <v>-18659.203781782751</v>
      </c>
      <c r="CY78" s="209">
        <f t="shared" si="187"/>
        <v>-16526.973513092773</v>
      </c>
      <c r="DB78" s="206">
        <f t="shared" si="201"/>
        <v>16</v>
      </c>
      <c r="DC78" s="220" t="s">
        <v>4</v>
      </c>
      <c r="DD78" s="761">
        <f>'Arable Inputs'!$D$18</f>
        <v>7.45</v>
      </c>
      <c r="DE78" s="761">
        <f>'Arable Inputs'!$D$25</f>
        <v>193.7</v>
      </c>
      <c r="DF78" s="761">
        <f>'Arable Inputs'!$D$19</f>
        <v>3.9</v>
      </c>
      <c r="DG78" s="761">
        <f>'Arable Inputs'!$D$26</f>
        <v>73.449999999999989</v>
      </c>
      <c r="DH78" s="207">
        <f>DD78*DE78+DF78*DG78</f>
        <v>1729.52</v>
      </c>
      <c r="DI78" s="207">
        <f>'Arable NPV'!$E158</f>
        <v>175.95</v>
      </c>
      <c r="DJ78" s="207">
        <f t="shared" si="188"/>
        <v>1905.47</v>
      </c>
      <c r="DK78" s="207">
        <f>'Arable NPV'!$G158</f>
        <v>671.92799999999988</v>
      </c>
      <c r="DL78" s="207">
        <f>'Arable NPV'!$H158</f>
        <v>969.47373599999992</v>
      </c>
      <c r="DM78" s="207">
        <f>'Arable NPV'!$I158-'Arable NPV'!$I158</f>
        <v>0</v>
      </c>
      <c r="DN78" s="207">
        <f t="shared" si="189"/>
        <v>1729.52</v>
      </c>
      <c r="DO78" s="207">
        <f t="shared" si="190"/>
        <v>1905.47</v>
      </c>
      <c r="DP78" s="208">
        <f>DH78/(1+$B$4)^(DB78-1)</f>
        <v>960.34106273266298</v>
      </c>
      <c r="DQ78" s="207">
        <f>DI78/(1+$B$4)^(DB78-1)</f>
        <v>97.698789252400701</v>
      </c>
      <c r="DR78" s="207">
        <f>DM78/(1+$B$4)^(DB78-1)</f>
        <v>0</v>
      </c>
      <c r="DS78" s="207">
        <f t="shared" si="194"/>
        <v>960.34106273266298</v>
      </c>
      <c r="DT78" s="209">
        <f>DO78/(1+$B$4)^(DB78-1)</f>
        <v>1058.0398519850637</v>
      </c>
      <c r="DU78" s="208">
        <f t="shared" si="196"/>
        <v>17377.889788211447</v>
      </c>
      <c r="DV78" s="207">
        <f t="shared" si="196"/>
        <v>2132.2302686899807</v>
      </c>
      <c r="DW78" s="207">
        <f t="shared" si="196"/>
        <v>0</v>
      </c>
      <c r="DX78" s="207">
        <f t="shared" si="196"/>
        <v>17377.889788211447</v>
      </c>
      <c r="DY78" s="209">
        <f t="shared" si="196"/>
        <v>19510.120056901433</v>
      </c>
    </row>
    <row r="84" spans="2:119" x14ac:dyDescent="0.3">
      <c r="B84" s="211" t="s">
        <v>94</v>
      </c>
      <c r="C84" s="763" t="s">
        <v>414</v>
      </c>
      <c r="D84" s="269" t="s">
        <v>405</v>
      </c>
      <c r="E84" s="194"/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Z84" s="211" t="s">
        <v>94</v>
      </c>
      <c r="AA84" s="211" t="s">
        <v>331</v>
      </c>
      <c r="AB84" s="769"/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X84" s="211" t="s">
        <v>94</v>
      </c>
      <c r="AY84" s="211" t="s">
        <v>332</v>
      </c>
      <c r="AZ84" s="231"/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V84" s="211" t="s">
        <v>94</v>
      </c>
      <c r="BW84" s="211" t="s">
        <v>333</v>
      </c>
      <c r="BX84" s="231"/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T84" s="211" t="s">
        <v>94</v>
      </c>
      <c r="CU84" s="211" t="s">
        <v>334</v>
      </c>
      <c r="CV84" s="231"/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</row>
    <row r="85" spans="2:119" x14ac:dyDescent="0.3">
      <c r="B85" s="203"/>
      <c r="C85" s="148"/>
      <c r="D85" s="148"/>
      <c r="E85" s="1086"/>
      <c r="F85" s="1086"/>
      <c r="G85" s="1086"/>
      <c r="H85" s="148"/>
      <c r="I85" s="931"/>
      <c r="J85" s="1086"/>
      <c r="K85" s="1086"/>
      <c r="L85" s="148"/>
      <c r="M85" s="148"/>
      <c r="N85" s="1087" t="s">
        <v>275</v>
      </c>
      <c r="O85" s="1088"/>
      <c r="P85" s="1088"/>
      <c r="Q85" s="1088"/>
      <c r="R85" s="1089"/>
      <c r="S85" s="1087" t="s">
        <v>276</v>
      </c>
      <c r="T85" s="1088"/>
      <c r="U85" s="1088"/>
      <c r="V85" s="1088"/>
      <c r="W85" s="1089"/>
      <c r="X85" s="987"/>
      <c r="Z85" s="203"/>
      <c r="AA85" s="148"/>
      <c r="AB85" s="148"/>
      <c r="AC85" s="1086"/>
      <c r="AD85" s="1086"/>
      <c r="AE85" s="1086"/>
      <c r="AF85" s="148"/>
      <c r="AG85" s="931"/>
      <c r="AH85" s="1086"/>
      <c r="AI85" s="1086"/>
      <c r="AJ85" s="148"/>
      <c r="AK85" s="148"/>
      <c r="AL85" s="1087" t="s">
        <v>275</v>
      </c>
      <c r="AM85" s="1088"/>
      <c r="AN85" s="1088"/>
      <c r="AO85" s="1088"/>
      <c r="AP85" s="1089"/>
      <c r="AQ85" s="1087" t="s">
        <v>276</v>
      </c>
      <c r="AR85" s="1088"/>
      <c r="AS85" s="1088"/>
      <c r="AT85" s="1088"/>
      <c r="AU85" s="1089"/>
      <c r="AV85" s="987"/>
      <c r="AX85" s="203"/>
      <c r="AY85" s="148"/>
      <c r="AZ85" s="148"/>
      <c r="BA85" s="1086"/>
      <c r="BB85" s="1086"/>
      <c r="BC85" s="1086"/>
      <c r="BD85" s="148"/>
      <c r="BE85" s="931"/>
      <c r="BF85" s="1086"/>
      <c r="BG85" s="1086"/>
      <c r="BH85" s="148"/>
      <c r="BI85" s="148"/>
      <c r="BJ85" s="1087" t="s">
        <v>275</v>
      </c>
      <c r="BK85" s="1088"/>
      <c r="BL85" s="1088"/>
      <c r="BM85" s="1088"/>
      <c r="BN85" s="1089"/>
      <c r="BO85" s="1087" t="s">
        <v>276</v>
      </c>
      <c r="BP85" s="1088"/>
      <c r="BQ85" s="1088"/>
      <c r="BR85" s="1088"/>
      <c r="BS85" s="1089"/>
      <c r="BT85" s="987"/>
      <c r="BV85" s="203"/>
      <c r="BW85" s="148"/>
      <c r="BX85" s="148"/>
      <c r="BY85" s="1086"/>
      <c r="BZ85" s="1086"/>
      <c r="CA85" s="1086"/>
      <c r="CB85" s="148"/>
      <c r="CC85" s="931"/>
      <c r="CD85" s="1086"/>
      <c r="CE85" s="1086"/>
      <c r="CF85" s="148"/>
      <c r="CG85" s="148"/>
      <c r="CH85" s="1087" t="s">
        <v>275</v>
      </c>
      <c r="CI85" s="1088"/>
      <c r="CJ85" s="1088"/>
      <c r="CK85" s="1088"/>
      <c r="CL85" s="1089"/>
      <c r="CM85" s="1087" t="s">
        <v>276</v>
      </c>
      <c r="CN85" s="1088"/>
      <c r="CO85" s="1088"/>
      <c r="CP85" s="1088"/>
      <c r="CQ85" s="1089"/>
      <c r="CR85" s="987"/>
      <c r="CT85" s="203"/>
      <c r="CU85" s="148"/>
      <c r="CV85" s="148"/>
      <c r="CW85" s="1086"/>
      <c r="CX85" s="1086"/>
      <c r="CY85" s="1086"/>
      <c r="CZ85" s="148"/>
      <c r="DA85" s="931"/>
      <c r="DB85" s="1086"/>
      <c r="DC85" s="1086"/>
      <c r="DD85" s="148"/>
      <c r="DE85" s="148"/>
      <c r="DF85" s="1087" t="s">
        <v>275</v>
      </c>
      <c r="DG85" s="1088"/>
      <c r="DH85" s="1088"/>
      <c r="DI85" s="1088"/>
      <c r="DJ85" s="1089"/>
      <c r="DK85" s="1087" t="s">
        <v>276</v>
      </c>
      <c r="DL85" s="1088"/>
      <c r="DM85" s="1088"/>
      <c r="DN85" s="1088"/>
      <c r="DO85" s="1089"/>
    </row>
    <row r="86" spans="2:119" ht="51" x14ac:dyDescent="0.3">
      <c r="B86" s="204" t="s">
        <v>277</v>
      </c>
      <c r="C86" s="205" t="s">
        <v>303</v>
      </c>
      <c r="D86" s="205" t="s">
        <v>304</v>
      </c>
      <c r="E86" s="171" t="s">
        <v>675</v>
      </c>
      <c r="F86" s="171" t="s">
        <v>666</v>
      </c>
      <c r="G86" s="171" t="s">
        <v>676</v>
      </c>
      <c r="H86" s="205" t="s">
        <v>301</v>
      </c>
      <c r="I86" s="935" t="str">
        <f>'Energy NPV'!U11</f>
        <v>Total Recurring Costs</v>
      </c>
      <c r="J86" s="205" t="s">
        <v>305</v>
      </c>
      <c r="K86" s="171" t="s">
        <v>283</v>
      </c>
      <c r="L86" s="171" t="s">
        <v>677</v>
      </c>
      <c r="M86" s="171" t="s">
        <v>678</v>
      </c>
      <c r="N86" s="195" t="s">
        <v>286</v>
      </c>
      <c r="O86" s="171" t="s">
        <v>679</v>
      </c>
      <c r="P86" s="171" t="s">
        <v>288</v>
      </c>
      <c r="Q86" s="171" t="s">
        <v>680</v>
      </c>
      <c r="R86" s="198" t="s">
        <v>290</v>
      </c>
      <c r="S86" s="195" t="s">
        <v>291</v>
      </c>
      <c r="T86" s="171" t="s">
        <v>681</v>
      </c>
      <c r="U86" s="171" t="s">
        <v>293</v>
      </c>
      <c r="V86" s="171" t="s">
        <v>682</v>
      </c>
      <c r="W86" s="198" t="s">
        <v>295</v>
      </c>
      <c r="X86" s="171"/>
      <c r="Z86" s="204" t="s">
        <v>277</v>
      </c>
      <c r="AA86" s="205" t="s">
        <v>303</v>
      </c>
      <c r="AB86" s="205" t="s">
        <v>304</v>
      </c>
      <c r="AC86" s="171" t="s">
        <v>675</v>
      </c>
      <c r="AD86" s="171" t="s">
        <v>666</v>
      </c>
      <c r="AE86" s="171" t="s">
        <v>676</v>
      </c>
      <c r="AF86" s="205" t="s">
        <v>301</v>
      </c>
      <c r="AG86" s="935" t="str">
        <f>'Energy NPV'!U11</f>
        <v>Total Recurring Costs</v>
      </c>
      <c r="AH86" s="205" t="s">
        <v>305</v>
      </c>
      <c r="AI86" s="171" t="s">
        <v>283</v>
      </c>
      <c r="AJ86" s="171" t="s">
        <v>677</v>
      </c>
      <c r="AK86" s="171" t="s">
        <v>678</v>
      </c>
      <c r="AL86" s="195" t="s">
        <v>286</v>
      </c>
      <c r="AM86" s="171" t="s">
        <v>679</v>
      </c>
      <c r="AN86" s="171" t="s">
        <v>288</v>
      </c>
      <c r="AO86" s="171" t="s">
        <v>680</v>
      </c>
      <c r="AP86" s="198" t="s">
        <v>290</v>
      </c>
      <c r="AQ86" s="195" t="s">
        <v>291</v>
      </c>
      <c r="AR86" s="171" t="s">
        <v>681</v>
      </c>
      <c r="AS86" s="171" t="s">
        <v>293</v>
      </c>
      <c r="AT86" s="171" t="s">
        <v>682</v>
      </c>
      <c r="AU86" s="198" t="s">
        <v>295</v>
      </c>
      <c r="AV86" s="171"/>
      <c r="AX86" s="204" t="s">
        <v>277</v>
      </c>
      <c r="AY86" s="205" t="s">
        <v>303</v>
      </c>
      <c r="AZ86" s="205" t="s">
        <v>304</v>
      </c>
      <c r="BA86" s="171" t="s">
        <v>675</v>
      </c>
      <c r="BB86" s="171" t="s">
        <v>666</v>
      </c>
      <c r="BC86" s="171" t="s">
        <v>676</v>
      </c>
      <c r="BD86" s="205" t="s">
        <v>301</v>
      </c>
      <c r="BE86" s="935" t="str">
        <f>'Energy NPV'!U11</f>
        <v>Total Recurring Costs</v>
      </c>
      <c r="BF86" s="205" t="s">
        <v>305</v>
      </c>
      <c r="BG86" s="171" t="s">
        <v>283</v>
      </c>
      <c r="BH86" s="171" t="s">
        <v>677</v>
      </c>
      <c r="BI86" s="171" t="s">
        <v>678</v>
      </c>
      <c r="BJ86" s="195" t="s">
        <v>286</v>
      </c>
      <c r="BK86" s="171" t="s">
        <v>679</v>
      </c>
      <c r="BL86" s="171" t="s">
        <v>288</v>
      </c>
      <c r="BM86" s="171" t="s">
        <v>680</v>
      </c>
      <c r="BN86" s="198" t="s">
        <v>290</v>
      </c>
      <c r="BO86" s="195" t="s">
        <v>291</v>
      </c>
      <c r="BP86" s="171" t="s">
        <v>681</v>
      </c>
      <c r="BQ86" s="171" t="s">
        <v>293</v>
      </c>
      <c r="BR86" s="171" t="s">
        <v>682</v>
      </c>
      <c r="BS86" s="198" t="s">
        <v>295</v>
      </c>
      <c r="BT86" s="171"/>
      <c r="BV86" s="204" t="s">
        <v>277</v>
      </c>
      <c r="BW86" s="205" t="s">
        <v>303</v>
      </c>
      <c r="BX86" s="205" t="s">
        <v>304</v>
      </c>
      <c r="BY86" s="171" t="s">
        <v>675</v>
      </c>
      <c r="BZ86" s="171" t="s">
        <v>666</v>
      </c>
      <c r="CA86" s="171" t="s">
        <v>676</v>
      </c>
      <c r="CB86" s="205" t="s">
        <v>301</v>
      </c>
      <c r="CC86" s="935" t="str">
        <f>'Energy NPV'!U11</f>
        <v>Total Recurring Costs</v>
      </c>
      <c r="CD86" s="205" t="s">
        <v>305</v>
      </c>
      <c r="CE86" s="171" t="s">
        <v>283</v>
      </c>
      <c r="CF86" s="171" t="s">
        <v>677</v>
      </c>
      <c r="CG86" s="171" t="s">
        <v>678</v>
      </c>
      <c r="CH86" s="195" t="s">
        <v>286</v>
      </c>
      <c r="CI86" s="171" t="s">
        <v>679</v>
      </c>
      <c r="CJ86" s="171" t="s">
        <v>288</v>
      </c>
      <c r="CK86" s="171" t="s">
        <v>680</v>
      </c>
      <c r="CL86" s="198" t="s">
        <v>290</v>
      </c>
      <c r="CM86" s="195" t="s">
        <v>291</v>
      </c>
      <c r="CN86" s="171" t="s">
        <v>681</v>
      </c>
      <c r="CO86" s="171" t="s">
        <v>293</v>
      </c>
      <c r="CP86" s="171" t="s">
        <v>682</v>
      </c>
      <c r="CQ86" s="198" t="s">
        <v>295</v>
      </c>
      <c r="CR86" s="171"/>
      <c r="CT86" s="204" t="s">
        <v>277</v>
      </c>
      <c r="CU86" s="205" t="s">
        <v>303</v>
      </c>
      <c r="CV86" s="205" t="s">
        <v>304</v>
      </c>
      <c r="CW86" s="171" t="s">
        <v>675</v>
      </c>
      <c r="CX86" s="171" t="s">
        <v>666</v>
      </c>
      <c r="CY86" s="171" t="s">
        <v>676</v>
      </c>
      <c r="CZ86" s="205" t="s">
        <v>301</v>
      </c>
      <c r="DA86" s="935" t="str">
        <f>'Energy NPV'!U11</f>
        <v>Total Recurring Costs</v>
      </c>
      <c r="DB86" s="205" t="s">
        <v>305</v>
      </c>
      <c r="DC86" s="171" t="s">
        <v>283</v>
      </c>
      <c r="DD86" s="171" t="s">
        <v>677</v>
      </c>
      <c r="DE86" s="171" t="s">
        <v>678</v>
      </c>
      <c r="DF86" s="195" t="s">
        <v>286</v>
      </c>
      <c r="DG86" s="171" t="s">
        <v>679</v>
      </c>
      <c r="DH86" s="171" t="s">
        <v>288</v>
      </c>
      <c r="DI86" s="171" t="s">
        <v>680</v>
      </c>
      <c r="DJ86" s="198" t="s">
        <v>290</v>
      </c>
      <c r="DK86" s="195" t="s">
        <v>291</v>
      </c>
      <c r="DL86" s="171" t="s">
        <v>681</v>
      </c>
      <c r="DM86" s="171" t="s">
        <v>293</v>
      </c>
      <c r="DN86" s="171" t="s">
        <v>682</v>
      </c>
      <c r="DO86" s="198" t="s">
        <v>295</v>
      </c>
    </row>
    <row r="87" spans="2:119" x14ac:dyDescent="0.3">
      <c r="B87" s="173"/>
      <c r="C87" s="226" t="s">
        <v>341</v>
      </c>
      <c r="D87" s="226" t="s">
        <v>601</v>
      </c>
      <c r="E87" s="201" t="s">
        <v>599</v>
      </c>
      <c r="F87" s="201" t="s">
        <v>599</v>
      </c>
      <c r="G87" s="201" t="s">
        <v>599</v>
      </c>
      <c r="H87" s="201" t="s">
        <v>599</v>
      </c>
      <c r="I87" s="969" t="str">
        <f>'Energy NPV'!U12</f>
        <v>(€ ha-1)</v>
      </c>
      <c r="J87" s="201" t="s">
        <v>599</v>
      </c>
      <c r="K87" s="201" t="s">
        <v>599</v>
      </c>
      <c r="L87" s="201" t="s">
        <v>599</v>
      </c>
      <c r="M87" s="202" t="s">
        <v>599</v>
      </c>
      <c r="N87" s="201" t="s">
        <v>599</v>
      </c>
      <c r="O87" s="201" t="s">
        <v>599</v>
      </c>
      <c r="P87" s="201" t="s">
        <v>599</v>
      </c>
      <c r="Q87" s="201" t="s">
        <v>599</v>
      </c>
      <c r="R87" s="202" t="s">
        <v>599</v>
      </c>
      <c r="S87" s="201" t="s">
        <v>599</v>
      </c>
      <c r="T87" s="201" t="s">
        <v>599</v>
      </c>
      <c r="U87" s="201" t="s">
        <v>599</v>
      </c>
      <c r="V87" s="201" t="s">
        <v>599</v>
      </c>
      <c r="W87" s="202" t="s">
        <v>599</v>
      </c>
      <c r="X87" s="988"/>
      <c r="Z87" s="173"/>
      <c r="AA87" s="226" t="s">
        <v>341</v>
      </c>
      <c r="AB87" s="226" t="s">
        <v>601</v>
      </c>
      <c r="AC87" s="201" t="s">
        <v>599</v>
      </c>
      <c r="AD87" s="201" t="s">
        <v>599</v>
      </c>
      <c r="AE87" s="201" t="s">
        <v>599</v>
      </c>
      <c r="AF87" s="201" t="s">
        <v>599</v>
      </c>
      <c r="AG87" s="969" t="str">
        <f>'Energy NPV'!U12</f>
        <v>(€ ha-1)</v>
      </c>
      <c r="AH87" s="201" t="s">
        <v>599</v>
      </c>
      <c r="AI87" s="201" t="s">
        <v>599</v>
      </c>
      <c r="AJ87" s="201" t="s">
        <v>599</v>
      </c>
      <c r="AK87" s="202" t="s">
        <v>599</v>
      </c>
      <c r="AL87" s="201" t="s">
        <v>599</v>
      </c>
      <c r="AM87" s="201" t="s">
        <v>599</v>
      </c>
      <c r="AN87" s="201" t="s">
        <v>599</v>
      </c>
      <c r="AO87" s="201" t="s">
        <v>599</v>
      </c>
      <c r="AP87" s="202" t="s">
        <v>599</v>
      </c>
      <c r="AQ87" s="201" t="s">
        <v>599</v>
      </c>
      <c r="AR87" s="201" t="s">
        <v>599</v>
      </c>
      <c r="AS87" s="201" t="s">
        <v>599</v>
      </c>
      <c r="AT87" s="201" t="s">
        <v>599</v>
      </c>
      <c r="AU87" s="202" t="s">
        <v>599</v>
      </c>
      <c r="AV87" s="988"/>
      <c r="AX87" s="173"/>
      <c r="AY87" s="226" t="s">
        <v>341</v>
      </c>
      <c r="AZ87" s="226" t="s">
        <v>601</v>
      </c>
      <c r="BA87" s="201" t="s">
        <v>599</v>
      </c>
      <c r="BB87" s="201" t="s">
        <v>599</v>
      </c>
      <c r="BC87" s="201" t="s">
        <v>599</v>
      </c>
      <c r="BD87" s="201" t="s">
        <v>599</v>
      </c>
      <c r="BE87" s="969" t="str">
        <f>'Energy NPV'!U12</f>
        <v>(€ ha-1)</v>
      </c>
      <c r="BF87" s="201" t="s">
        <v>599</v>
      </c>
      <c r="BG87" s="201" t="s">
        <v>599</v>
      </c>
      <c r="BH87" s="201" t="s">
        <v>599</v>
      </c>
      <c r="BI87" s="202" t="s">
        <v>599</v>
      </c>
      <c r="BJ87" s="201" t="s">
        <v>599</v>
      </c>
      <c r="BK87" s="201" t="s">
        <v>599</v>
      </c>
      <c r="BL87" s="201" t="s">
        <v>599</v>
      </c>
      <c r="BM87" s="201" t="s">
        <v>599</v>
      </c>
      <c r="BN87" s="202" t="s">
        <v>599</v>
      </c>
      <c r="BO87" s="201" t="s">
        <v>599</v>
      </c>
      <c r="BP87" s="201" t="s">
        <v>599</v>
      </c>
      <c r="BQ87" s="201" t="s">
        <v>599</v>
      </c>
      <c r="BR87" s="201" t="s">
        <v>599</v>
      </c>
      <c r="BS87" s="202" t="s">
        <v>599</v>
      </c>
      <c r="BT87" s="988"/>
      <c r="BV87" s="173"/>
      <c r="BW87" s="226" t="s">
        <v>341</v>
      </c>
      <c r="BX87" s="226" t="s">
        <v>601</v>
      </c>
      <c r="BY87" s="201" t="s">
        <v>599</v>
      </c>
      <c r="BZ87" s="201" t="s">
        <v>599</v>
      </c>
      <c r="CA87" s="201" t="s">
        <v>599</v>
      </c>
      <c r="CB87" s="201" t="s">
        <v>599</v>
      </c>
      <c r="CC87" s="969" t="str">
        <f>'Energy NPV'!U12</f>
        <v>(€ ha-1)</v>
      </c>
      <c r="CD87" s="201" t="s">
        <v>599</v>
      </c>
      <c r="CE87" s="201" t="s">
        <v>599</v>
      </c>
      <c r="CF87" s="201" t="s">
        <v>599</v>
      </c>
      <c r="CG87" s="202" t="s">
        <v>599</v>
      </c>
      <c r="CH87" s="201" t="s">
        <v>599</v>
      </c>
      <c r="CI87" s="201" t="s">
        <v>599</v>
      </c>
      <c r="CJ87" s="201" t="s">
        <v>599</v>
      </c>
      <c r="CK87" s="201" t="s">
        <v>599</v>
      </c>
      <c r="CL87" s="202" t="s">
        <v>599</v>
      </c>
      <c r="CM87" s="201" t="s">
        <v>599</v>
      </c>
      <c r="CN87" s="201" t="s">
        <v>599</v>
      </c>
      <c r="CO87" s="201" t="s">
        <v>599</v>
      </c>
      <c r="CP87" s="201" t="s">
        <v>599</v>
      </c>
      <c r="CQ87" s="202" t="s">
        <v>599</v>
      </c>
      <c r="CR87" s="988"/>
      <c r="CT87" s="173"/>
      <c r="CU87" s="226" t="s">
        <v>341</v>
      </c>
      <c r="CV87" s="226" t="s">
        <v>601</v>
      </c>
      <c r="CW87" s="201" t="s">
        <v>599</v>
      </c>
      <c r="CX87" s="201" t="s">
        <v>599</v>
      </c>
      <c r="CY87" s="201" t="s">
        <v>599</v>
      </c>
      <c r="CZ87" s="201" t="s">
        <v>599</v>
      </c>
      <c r="DA87" s="969" t="str">
        <f>'Energy NPV'!U12</f>
        <v>(€ ha-1)</v>
      </c>
      <c r="DB87" s="201" t="s">
        <v>599</v>
      </c>
      <c r="DC87" s="201" t="s">
        <v>599</v>
      </c>
      <c r="DD87" s="201" t="s">
        <v>599</v>
      </c>
      <c r="DE87" s="202" t="s">
        <v>599</v>
      </c>
      <c r="DF87" s="201" t="s">
        <v>599</v>
      </c>
      <c r="DG87" s="201" t="s">
        <v>599</v>
      </c>
      <c r="DH87" s="201" t="s">
        <v>599</v>
      </c>
      <c r="DI87" s="201" t="s">
        <v>599</v>
      </c>
      <c r="DJ87" s="202" t="s">
        <v>599</v>
      </c>
      <c r="DK87" s="201" t="s">
        <v>599</v>
      </c>
      <c r="DL87" s="201" t="s">
        <v>599</v>
      </c>
      <c r="DM87" s="201" t="s">
        <v>599</v>
      </c>
      <c r="DN87" s="201" t="s">
        <v>599</v>
      </c>
      <c r="DO87" s="202" t="s">
        <v>599</v>
      </c>
    </row>
    <row r="88" spans="2:119" x14ac:dyDescent="0.3">
      <c r="B88" s="204">
        <v>1</v>
      </c>
      <c r="C88" s="759">
        <f>'Energy NPV'!$D13</f>
        <v>0</v>
      </c>
      <c r="D88" s="197">
        <f>'Energy margins'!$E$12</f>
        <v>72</v>
      </c>
      <c r="E88" s="197">
        <f>C88*D88</f>
        <v>0</v>
      </c>
      <c r="F88" s="197">
        <f>'Margins summary'!$Q$14</f>
        <v>175.95</v>
      </c>
      <c r="G88" s="197">
        <f>E88+F88</f>
        <v>175.95</v>
      </c>
      <c r="H88" s="197">
        <f>'Margins summary'!$P$20</f>
        <v>2498.2967840000001</v>
      </c>
      <c r="I88" s="918">
        <f>'Energy NPV'!U13</f>
        <v>0</v>
      </c>
      <c r="J88" s="197"/>
      <c r="K88" s="197">
        <f>H88+I88+J88</f>
        <v>2498.2967840000001</v>
      </c>
      <c r="L88" s="197">
        <f t="shared" ref="L88:L103" si="202">E88-K88</f>
        <v>-2498.2967840000001</v>
      </c>
      <c r="M88" s="197">
        <f t="shared" ref="M88:M103" si="203">G88-K88</f>
        <v>-2322.3467840000003</v>
      </c>
      <c r="N88" s="1018">
        <f>E88/((1+$B$4)^(B88-1))</f>
        <v>0</v>
      </c>
      <c r="O88" s="213">
        <f>F88/((1+$B$4)^(B88-1))</f>
        <v>175.95</v>
      </c>
      <c r="P88" s="213">
        <f>K88/((1+$B$4)^(B88-1))</f>
        <v>2498.2967840000001</v>
      </c>
      <c r="Q88" s="213">
        <f>L88/((1+$B$4)^(B88-1))</f>
        <v>-2498.2967840000001</v>
      </c>
      <c r="R88" s="929">
        <f>M88/((1+$B$4)^(B88-1))</f>
        <v>-2322.3467840000003</v>
      </c>
      <c r="S88" s="196">
        <f>N88</f>
        <v>0</v>
      </c>
      <c r="T88" s="197">
        <f>O88</f>
        <v>175.95</v>
      </c>
      <c r="U88" s="197">
        <f>P88</f>
        <v>2498.2967840000001</v>
      </c>
      <c r="V88" s="197">
        <f>Q88</f>
        <v>-2498.2967840000001</v>
      </c>
      <c r="W88" s="199">
        <f>R88</f>
        <v>-2322.3467840000003</v>
      </c>
      <c r="X88" s="197"/>
      <c r="Z88" s="204">
        <v>1</v>
      </c>
      <c r="AA88" s="759">
        <f>'Energy NPV'!$D13</f>
        <v>0</v>
      </c>
      <c r="AB88" s="197">
        <f>'Energy margins'!$E$12</f>
        <v>72</v>
      </c>
      <c r="AC88" s="197">
        <f>AA88*AB88</f>
        <v>0</v>
      </c>
      <c r="AD88" s="197">
        <f>'Margins summary'!$Q$14</f>
        <v>175.95</v>
      </c>
      <c r="AE88" s="197">
        <f>AC88+AD88</f>
        <v>175.95</v>
      </c>
      <c r="AF88" s="197">
        <f>'Margins summary'!$P$20</f>
        <v>2498.2967840000001</v>
      </c>
      <c r="AG88" s="918">
        <f>'Energy NPV'!U13</f>
        <v>0</v>
      </c>
      <c r="AH88" s="197"/>
      <c r="AI88" s="197">
        <f>(AF88+AG88+AH88)+0.5*(AF88+AG88+AH88)</f>
        <v>3747.4451760000002</v>
      </c>
      <c r="AJ88" s="197">
        <f t="shared" ref="AJ88:AJ103" si="204">AC88-AI88</f>
        <v>-3747.4451760000002</v>
      </c>
      <c r="AK88" s="197">
        <f t="shared" ref="AK88:AK103" si="205">AE88-AI88</f>
        <v>-3571.4951760000004</v>
      </c>
      <c r="AL88" s="1018">
        <f>AC88/((1+$B$4)^(Z88-1))</f>
        <v>0</v>
      </c>
      <c r="AM88" s="213">
        <f>AD88/((1+$B$4)^(Z88-1))</f>
        <v>175.95</v>
      </c>
      <c r="AN88" s="213">
        <f>AI88/((1+$B$4)^(Z88-1))</f>
        <v>3747.4451760000002</v>
      </c>
      <c r="AO88" s="213">
        <f>AJ88/((1+$B$4)^(Z88-1))</f>
        <v>-3747.4451760000002</v>
      </c>
      <c r="AP88" s="929">
        <f>AK88/((1+$B$4)^(Z88-1))</f>
        <v>-3571.4951760000004</v>
      </c>
      <c r="AQ88" s="196">
        <f>AL88</f>
        <v>0</v>
      </c>
      <c r="AR88" s="197">
        <f>AM88</f>
        <v>175.95</v>
      </c>
      <c r="AS88" s="197">
        <f>AN88</f>
        <v>3747.4451760000002</v>
      </c>
      <c r="AT88" s="197">
        <f>AO88</f>
        <v>-3747.4451760000002</v>
      </c>
      <c r="AU88" s="199">
        <f>AP88</f>
        <v>-3571.4951760000004</v>
      </c>
      <c r="AV88" s="197"/>
      <c r="AX88" s="204">
        <v>1</v>
      </c>
      <c r="AY88" s="759">
        <f>'Energy NPV'!$D13</f>
        <v>0</v>
      </c>
      <c r="AZ88" s="197">
        <f>'Energy margins'!$E$12</f>
        <v>72</v>
      </c>
      <c r="BA88" s="197">
        <f>AY88*AZ88</f>
        <v>0</v>
      </c>
      <c r="BB88" s="197">
        <f>'Margins summary'!$Q$14</f>
        <v>175.95</v>
      </c>
      <c r="BC88" s="197">
        <f>BA88+BB88</f>
        <v>175.95</v>
      </c>
      <c r="BD88" s="197">
        <f>'Margins summary'!$P$20</f>
        <v>2498.2967840000001</v>
      </c>
      <c r="BE88" s="918">
        <f>'Energy NPV'!U13</f>
        <v>0</v>
      </c>
      <c r="BF88" s="197"/>
      <c r="BG88" s="197">
        <f>(BD88+BE88+BF88)-0.5*(BD88+BE88+BF88)</f>
        <v>1249.1483920000001</v>
      </c>
      <c r="BH88" s="197">
        <f t="shared" ref="BH88:BH103" si="206">BA88-BG88</f>
        <v>-1249.1483920000001</v>
      </c>
      <c r="BI88" s="197">
        <f t="shared" ref="BI88:BI103" si="207">BC88-BG88</f>
        <v>-1073.198392</v>
      </c>
      <c r="BJ88" s="1018">
        <f>BA88/((1+$B$4)^(AX88-1))</f>
        <v>0</v>
      </c>
      <c r="BK88" s="213">
        <f>BB88/((1+$B$4)^(AX88-1))</f>
        <v>175.95</v>
      </c>
      <c r="BL88" s="213">
        <f>BG88/((1+$B$4)^(AX88-1))</f>
        <v>1249.1483920000001</v>
      </c>
      <c r="BM88" s="213">
        <f>BH88/((1+$B$4)^(AX88-1))</f>
        <v>-1249.1483920000001</v>
      </c>
      <c r="BN88" s="929">
        <f>BI88/((1+$B$4)^(AX88-1))</f>
        <v>-1073.198392</v>
      </c>
      <c r="BO88" s="196">
        <f>BJ88</f>
        <v>0</v>
      </c>
      <c r="BP88" s="197">
        <f>BK88</f>
        <v>175.95</v>
      </c>
      <c r="BQ88" s="197">
        <f>BL88</f>
        <v>1249.1483920000001</v>
      </c>
      <c r="BR88" s="197">
        <f>BM88</f>
        <v>-1249.1483920000001</v>
      </c>
      <c r="BS88" s="199">
        <f>BN88</f>
        <v>-1073.198392</v>
      </c>
      <c r="BT88" s="197"/>
      <c r="BV88" s="204">
        <v>1</v>
      </c>
      <c r="BW88" s="759">
        <f>'Energy NPV'!$D13</f>
        <v>0</v>
      </c>
      <c r="BX88" s="197">
        <f>'Energy margins'!$E$12</f>
        <v>72</v>
      </c>
      <c r="BY88" s="197">
        <f>BW88*BX88</f>
        <v>0</v>
      </c>
      <c r="BZ88" s="197">
        <f>'Margins summary'!$Q$14</f>
        <v>175.95</v>
      </c>
      <c r="CA88" s="197">
        <f>BY88+BZ88</f>
        <v>175.95</v>
      </c>
      <c r="CB88" s="197">
        <f>'Margins summary'!$P$20</f>
        <v>2498.2967840000001</v>
      </c>
      <c r="CC88" s="918">
        <f>'Energy NPV'!U13</f>
        <v>0</v>
      </c>
      <c r="CD88" s="197"/>
      <c r="CE88" s="197">
        <f>CB88+CC88+CD88+CB88+CC88+CD88</f>
        <v>4996.5935680000002</v>
      </c>
      <c r="CF88" s="197">
        <f t="shared" ref="CF88:CF103" si="208">BY88-CE88</f>
        <v>-4996.5935680000002</v>
      </c>
      <c r="CG88" s="197">
        <f t="shared" ref="CG88:CG103" si="209">CA88-CE88</f>
        <v>-4820.6435680000004</v>
      </c>
      <c r="CH88" s="1018">
        <f>BY88/((1+$B$4)^(BV88-1))</f>
        <v>0</v>
      </c>
      <c r="CI88" s="213">
        <f>BZ88/((1+$B$4)^(BV88-1))</f>
        <v>175.95</v>
      </c>
      <c r="CJ88" s="213">
        <f>CE88/((1+$B$4)^(BV88-1))</f>
        <v>4996.5935680000002</v>
      </c>
      <c r="CK88" s="213">
        <f>CF88/((1+$B$4)^(BV88-1))</f>
        <v>-4996.5935680000002</v>
      </c>
      <c r="CL88" s="929">
        <f>CG88/((1+$B$4)^(BV88-1))</f>
        <v>-4820.6435680000004</v>
      </c>
      <c r="CM88" s="196">
        <f>CH88</f>
        <v>0</v>
      </c>
      <c r="CN88" s="197">
        <f>CI88</f>
        <v>175.95</v>
      </c>
      <c r="CO88" s="197">
        <f>CJ88</f>
        <v>4996.5935680000002</v>
      </c>
      <c r="CP88" s="197">
        <f>CK88</f>
        <v>-4996.5935680000002</v>
      </c>
      <c r="CQ88" s="199">
        <f>CL88</f>
        <v>-4820.6435680000004</v>
      </c>
      <c r="CR88" s="197"/>
      <c r="CT88" s="204">
        <v>1</v>
      </c>
      <c r="CU88" s="759">
        <f>'Energy NPV'!$D13</f>
        <v>0</v>
      </c>
      <c r="CV88" s="197">
        <f>'Energy margins'!$E$12</f>
        <v>72</v>
      </c>
      <c r="CW88" s="197">
        <f>CU88*CV88</f>
        <v>0</v>
      </c>
      <c r="CX88" s="197">
        <f>'Margins summary'!$Q$14</f>
        <v>175.95</v>
      </c>
      <c r="CY88" s="197">
        <f>CW88+CX88</f>
        <v>175.95</v>
      </c>
      <c r="CZ88" s="197">
        <f>'Margins summary'!$P$20</f>
        <v>2498.2967840000001</v>
      </c>
      <c r="DA88" s="918">
        <f>'Energy NPV'!U13</f>
        <v>0</v>
      </c>
      <c r="DB88" s="197"/>
      <c r="DC88" s="197">
        <f>CZ88+DA88+DB88-(CZ88+DA88+DB88)</f>
        <v>0</v>
      </c>
      <c r="DD88" s="197">
        <f t="shared" ref="DD88:DD103" si="210">CW88-DC88</f>
        <v>0</v>
      </c>
      <c r="DE88" s="197">
        <f t="shared" ref="DE88:DE103" si="211">CY88-DC88</f>
        <v>175.95</v>
      </c>
      <c r="DF88" s="1018">
        <f>CW88/((1+$B$4)^(CT88-1))</f>
        <v>0</v>
      </c>
      <c r="DG88" s="213">
        <f>CX88/((1+$B$4)^(CT88-1))</f>
        <v>175.95</v>
      </c>
      <c r="DH88" s="213">
        <f>DC88/((1+$B$4)^(CT88-1))</f>
        <v>0</v>
      </c>
      <c r="DI88" s="213">
        <f>DD88/((1+$B$4)^(CT88-1))</f>
        <v>0</v>
      </c>
      <c r="DJ88" s="929">
        <f>DE88/((1+$B$4)^(CT88-1))</f>
        <v>175.95</v>
      </c>
      <c r="DK88" s="196">
        <f>DF88</f>
        <v>0</v>
      </c>
      <c r="DL88" s="197">
        <f>DG88</f>
        <v>175.95</v>
      </c>
      <c r="DM88" s="197">
        <f>DH88</f>
        <v>0</v>
      </c>
      <c r="DN88" s="197">
        <f>DI88</f>
        <v>0</v>
      </c>
      <c r="DO88" s="199">
        <f>DJ88</f>
        <v>175.95</v>
      </c>
    </row>
    <row r="89" spans="2:119" x14ac:dyDescent="0.3">
      <c r="B89" s="204">
        <v>2</v>
      </c>
      <c r="C89" s="759">
        <f>'Energy NPV'!$D14</f>
        <v>0</v>
      </c>
      <c r="D89" s="197">
        <f>'Energy margins'!$E$12</f>
        <v>72</v>
      </c>
      <c r="E89" s="197">
        <f>C89*D89</f>
        <v>0</v>
      </c>
      <c r="F89" s="197">
        <f>'Margins summary'!$Q$14</f>
        <v>175.95</v>
      </c>
      <c r="G89" s="197">
        <f t="shared" ref="G89:G103" si="212">E89+F89</f>
        <v>175.95</v>
      </c>
      <c r="H89" s="197"/>
      <c r="I89" s="918">
        <f>'Energy NPV'!U14</f>
        <v>158.5616</v>
      </c>
      <c r="J89" s="197"/>
      <c r="K89" s="197">
        <f t="shared" ref="K89:K103" si="213">H89+I89+J89</f>
        <v>158.5616</v>
      </c>
      <c r="L89" s="197">
        <f t="shared" si="202"/>
        <v>-158.5616</v>
      </c>
      <c r="M89" s="197">
        <f t="shared" si="203"/>
        <v>17.38839999999999</v>
      </c>
      <c r="N89" s="196">
        <f t="shared" ref="N89:N103" si="214">E89/((1+$B$4)^(B89-1))</f>
        <v>0</v>
      </c>
      <c r="O89" s="197">
        <f t="shared" ref="O89:O103" si="215">F89/((1+$B$4)^(B89-1))</f>
        <v>169.18269230769229</v>
      </c>
      <c r="P89" s="197">
        <f t="shared" ref="P89:P103" si="216">K89/((1+$B$4)^(B89-1))</f>
        <v>152.46307692307693</v>
      </c>
      <c r="Q89" s="197">
        <f t="shared" ref="Q89:Q103" si="217">L89/((1+$B$4)^(B89-1))</f>
        <v>-152.46307692307693</v>
      </c>
      <c r="R89" s="199">
        <f t="shared" ref="R89:R103" si="218">M89/((1+$B$4)^(B89-1))</f>
        <v>16.719615384615373</v>
      </c>
      <c r="S89" s="196">
        <f>S88+N89</f>
        <v>0</v>
      </c>
      <c r="T89" s="197">
        <f t="shared" ref="T89:W103" si="219">T88+O89</f>
        <v>345.13269230769231</v>
      </c>
      <c r="U89" s="197">
        <f t="shared" si="219"/>
        <v>2650.7598609230772</v>
      </c>
      <c r="V89" s="197">
        <f t="shared" si="219"/>
        <v>-2650.7598609230772</v>
      </c>
      <c r="W89" s="199">
        <f t="shared" si="219"/>
        <v>-2305.627168615385</v>
      </c>
      <c r="X89" s="197"/>
      <c r="Z89" s="204">
        <v>2</v>
      </c>
      <c r="AA89" s="759">
        <f>'Energy NPV'!$D14</f>
        <v>0</v>
      </c>
      <c r="AB89" s="197">
        <f>'Energy margins'!$E$12</f>
        <v>72</v>
      </c>
      <c r="AC89" s="197">
        <f>AA89*AB89</f>
        <v>0</v>
      </c>
      <c r="AD89" s="197">
        <f>'Margins summary'!$Q$14</f>
        <v>175.95</v>
      </c>
      <c r="AE89" s="197">
        <f t="shared" ref="AE89:AE103" si="220">AC89+AD89</f>
        <v>175.95</v>
      </c>
      <c r="AF89" s="197"/>
      <c r="AG89" s="918">
        <f>'Energy NPV'!U14</f>
        <v>158.5616</v>
      </c>
      <c r="AH89" s="197"/>
      <c r="AI89" s="197">
        <f>(AF89+AG89+AH89)+0.5*(AF89+AG89+AH89)</f>
        <v>237.8424</v>
      </c>
      <c r="AJ89" s="197">
        <f t="shared" si="204"/>
        <v>-237.8424</v>
      </c>
      <c r="AK89" s="197">
        <f t="shared" si="205"/>
        <v>-61.892400000000009</v>
      </c>
      <c r="AL89" s="196">
        <f t="shared" ref="AL89:AL103" si="221">AC89/((1+$B$4)^(Z89-1))</f>
        <v>0</v>
      </c>
      <c r="AM89" s="197">
        <f t="shared" ref="AM89:AM103" si="222">AD89/((1+$B$4)^(Z89-1))</f>
        <v>169.18269230769229</v>
      </c>
      <c r="AN89" s="197">
        <f t="shared" ref="AN89:AN103" si="223">AI89/((1+$B$4)^(Z89-1))</f>
        <v>228.69461538461536</v>
      </c>
      <c r="AO89" s="197">
        <f t="shared" ref="AO89:AO103" si="224">AJ89/((1+$B$4)^(Z89-1))</f>
        <v>-228.69461538461536</v>
      </c>
      <c r="AP89" s="199">
        <f t="shared" ref="AP89:AP103" si="225">AK89/((1+$B$4)^(Z89-1))</f>
        <v>-59.511923076923082</v>
      </c>
      <c r="AQ89" s="196">
        <f>AQ88+AL89</f>
        <v>0</v>
      </c>
      <c r="AR89" s="197">
        <f t="shared" ref="AR89:AU103" si="226">AR88+AM89</f>
        <v>345.13269230769231</v>
      </c>
      <c r="AS89" s="197">
        <f t="shared" si="226"/>
        <v>3976.1397913846154</v>
      </c>
      <c r="AT89" s="197">
        <f t="shared" si="226"/>
        <v>-3976.1397913846154</v>
      </c>
      <c r="AU89" s="199">
        <f t="shared" si="226"/>
        <v>-3631.0070990769236</v>
      </c>
      <c r="AV89" s="197"/>
      <c r="AX89" s="204">
        <v>2</v>
      </c>
      <c r="AY89" s="759">
        <f>'Energy NPV'!$D14</f>
        <v>0</v>
      </c>
      <c r="AZ89" s="197">
        <f>'Energy margins'!$E$12</f>
        <v>72</v>
      </c>
      <c r="BA89" s="197">
        <f>AY89*AZ89</f>
        <v>0</v>
      </c>
      <c r="BB89" s="197">
        <f>'Margins summary'!$Q$14</f>
        <v>175.95</v>
      </c>
      <c r="BC89" s="197">
        <f t="shared" ref="BC89:BC103" si="227">BA89+BB89</f>
        <v>175.95</v>
      </c>
      <c r="BD89" s="197"/>
      <c r="BE89" s="918">
        <f>'Energy NPV'!U14</f>
        <v>158.5616</v>
      </c>
      <c r="BF89" s="197"/>
      <c r="BG89" s="197">
        <f t="shared" ref="BG89:BG103" si="228">(BD89+BE89+BF89)-0.5*(BD89+BE89+BF89)</f>
        <v>79.280799999999999</v>
      </c>
      <c r="BH89" s="197">
        <f t="shared" si="206"/>
        <v>-79.280799999999999</v>
      </c>
      <c r="BI89" s="197">
        <f t="shared" si="207"/>
        <v>96.669199999999989</v>
      </c>
      <c r="BJ89" s="196">
        <f t="shared" ref="BJ89:BJ103" si="229">BA89/((1+$B$4)^(AX89-1))</f>
        <v>0</v>
      </c>
      <c r="BK89" s="197">
        <f t="shared" ref="BK89:BK103" si="230">BB89/((1+$B$4)^(AX89-1))</f>
        <v>169.18269230769229</v>
      </c>
      <c r="BL89" s="197">
        <f t="shared" ref="BL89:BL103" si="231">BG89/((1+$B$4)^(AX89-1))</f>
        <v>76.231538461538463</v>
      </c>
      <c r="BM89" s="197">
        <f t="shared" ref="BM89:BM103" si="232">BH89/((1+$B$4)^(AX89-1))</f>
        <v>-76.231538461538463</v>
      </c>
      <c r="BN89" s="199">
        <f t="shared" ref="BN89:BN103" si="233">BI89/((1+$B$4)^(AX89-1))</f>
        <v>92.951153846153829</v>
      </c>
      <c r="BO89" s="196">
        <f>BO88+BJ89</f>
        <v>0</v>
      </c>
      <c r="BP89" s="197">
        <f t="shared" ref="BP89:BS103" si="234">BP88+BK89</f>
        <v>345.13269230769231</v>
      </c>
      <c r="BQ89" s="197">
        <f t="shared" si="234"/>
        <v>1325.3799304615386</v>
      </c>
      <c r="BR89" s="197">
        <f t="shared" si="234"/>
        <v>-1325.3799304615386</v>
      </c>
      <c r="BS89" s="199">
        <f t="shared" si="234"/>
        <v>-980.24723815384618</v>
      </c>
      <c r="BT89" s="197"/>
      <c r="BV89" s="204">
        <v>2</v>
      </c>
      <c r="BW89" s="759">
        <f>'Energy NPV'!$D14</f>
        <v>0</v>
      </c>
      <c r="BX89" s="197">
        <f>'Energy margins'!$E$12</f>
        <v>72</v>
      </c>
      <c r="BY89" s="197">
        <f>BW89*BX89</f>
        <v>0</v>
      </c>
      <c r="BZ89" s="197">
        <f>'Margins summary'!$Q$14</f>
        <v>175.95</v>
      </c>
      <c r="CA89" s="197">
        <f t="shared" ref="CA89:CA103" si="235">BY89+BZ89</f>
        <v>175.95</v>
      </c>
      <c r="CB89" s="197"/>
      <c r="CC89" s="918">
        <f>'Energy NPV'!U14</f>
        <v>158.5616</v>
      </c>
      <c r="CD89" s="197"/>
      <c r="CE89" s="197">
        <f t="shared" ref="CE89:CE103" si="236">CB89+CC89+CD89+CB89+CC89+CD89</f>
        <v>317.1232</v>
      </c>
      <c r="CF89" s="197">
        <f t="shared" si="208"/>
        <v>-317.1232</v>
      </c>
      <c r="CG89" s="197">
        <f t="shared" si="209"/>
        <v>-141.17320000000001</v>
      </c>
      <c r="CH89" s="196">
        <f t="shared" ref="CH89:CH103" si="237">BY89/((1+$B$4)^(BV89-1))</f>
        <v>0</v>
      </c>
      <c r="CI89" s="197">
        <f t="shared" ref="CI89:CI103" si="238">BZ89/((1+$B$4)^(BV89-1))</f>
        <v>169.18269230769229</v>
      </c>
      <c r="CJ89" s="197">
        <f t="shared" ref="CJ89:CJ103" si="239">CE89/((1+$B$4)^(BV89-1))</f>
        <v>304.92615384615385</v>
      </c>
      <c r="CK89" s="197">
        <f t="shared" ref="CK89:CK103" si="240">CF89/((1+$B$4)^(BV89-1))</f>
        <v>-304.92615384615385</v>
      </c>
      <c r="CL89" s="199">
        <f t="shared" ref="CL89:CL103" si="241">CG89/((1+$B$4)^(BV89-1))</f>
        <v>-135.74346153846153</v>
      </c>
      <c r="CM89" s="196">
        <f>CM88+CH89</f>
        <v>0</v>
      </c>
      <c r="CN89" s="197">
        <f t="shared" ref="CN89:CQ103" si="242">CN88+CI89</f>
        <v>345.13269230769231</v>
      </c>
      <c r="CO89" s="197">
        <f t="shared" si="242"/>
        <v>5301.5197218461544</v>
      </c>
      <c r="CP89" s="197">
        <f t="shared" si="242"/>
        <v>-5301.5197218461544</v>
      </c>
      <c r="CQ89" s="199">
        <f t="shared" si="242"/>
        <v>-4956.3870295384622</v>
      </c>
      <c r="CR89" s="197"/>
      <c r="CT89" s="204">
        <v>2</v>
      </c>
      <c r="CU89" s="759">
        <f>'Energy NPV'!$D14</f>
        <v>0</v>
      </c>
      <c r="CV89" s="197">
        <f>'Energy margins'!$E$12</f>
        <v>72</v>
      </c>
      <c r="CW89" s="197">
        <f>CU89*CV89</f>
        <v>0</v>
      </c>
      <c r="CX89" s="197">
        <f>'Margins summary'!$Q$14</f>
        <v>175.95</v>
      </c>
      <c r="CY89" s="197">
        <f t="shared" ref="CY89:CY103" si="243">CW89+CX89</f>
        <v>175.95</v>
      </c>
      <c r="CZ89" s="197"/>
      <c r="DA89" s="918">
        <f>'Energy NPV'!U14</f>
        <v>158.5616</v>
      </c>
      <c r="DB89" s="197"/>
      <c r="DC89" s="197">
        <f t="shared" ref="DC89:DC103" si="244">CZ89+DA89+DB89-(CZ89+DA89+DB89)</f>
        <v>0</v>
      </c>
      <c r="DD89" s="197">
        <f t="shared" si="210"/>
        <v>0</v>
      </c>
      <c r="DE89" s="197">
        <f t="shared" si="211"/>
        <v>175.95</v>
      </c>
      <c r="DF89" s="196">
        <f t="shared" ref="DF89:DF103" si="245">CW89/((1+$B$4)^(CT89-1))</f>
        <v>0</v>
      </c>
      <c r="DG89" s="197">
        <f t="shared" ref="DG89:DG103" si="246">CX89/((1+$B$4)^(CT89-1))</f>
        <v>169.18269230769229</v>
      </c>
      <c r="DH89" s="197">
        <f t="shared" ref="DH89:DH103" si="247">DC89/((1+$B$4)^(CT89-1))</f>
        <v>0</v>
      </c>
      <c r="DI89" s="197">
        <f t="shared" ref="DI89:DI103" si="248">DD89/((1+$B$4)^(CT89-1))</f>
        <v>0</v>
      </c>
      <c r="DJ89" s="199">
        <f t="shared" ref="DJ89:DJ102" si="249">DE89/((1+$B$4)^(CT89-1))</f>
        <v>169.18269230769229</v>
      </c>
      <c r="DK89" s="196">
        <f>DK88+DF89</f>
        <v>0</v>
      </c>
      <c r="DL89" s="197">
        <f t="shared" ref="DL89:DO103" si="250">DL88+DG89</f>
        <v>345.13269230769231</v>
      </c>
      <c r="DM89" s="197">
        <f t="shared" si="250"/>
        <v>0</v>
      </c>
      <c r="DN89" s="197">
        <f t="shared" si="250"/>
        <v>0</v>
      </c>
      <c r="DO89" s="199">
        <f t="shared" si="250"/>
        <v>345.13269230769231</v>
      </c>
    </row>
    <row r="90" spans="2:119" x14ac:dyDescent="0.3">
      <c r="B90" s="204">
        <f t="shared" ref="B90:B103" si="251">B89+1</f>
        <v>3</v>
      </c>
      <c r="C90" s="759">
        <f>'Energy NPV'!$D15</f>
        <v>0</v>
      </c>
      <c r="D90" s="197">
        <f>'Energy margins'!$E$12</f>
        <v>72</v>
      </c>
      <c r="E90" s="197">
        <f t="shared" ref="E90:E103" si="252">C90*D90</f>
        <v>0</v>
      </c>
      <c r="F90" s="197">
        <f>'Margins summary'!$Q$14</f>
        <v>175.95</v>
      </c>
      <c r="G90" s="197">
        <f t="shared" si="212"/>
        <v>175.95</v>
      </c>
      <c r="H90" s="197"/>
      <c r="I90" s="918">
        <f>'Energy NPV'!U15</f>
        <v>158.5616</v>
      </c>
      <c r="J90" s="197"/>
      <c r="K90" s="197">
        <f t="shared" si="213"/>
        <v>158.5616</v>
      </c>
      <c r="L90" s="197">
        <f t="shared" si="202"/>
        <v>-158.5616</v>
      </c>
      <c r="M90" s="197">
        <f t="shared" si="203"/>
        <v>17.38839999999999</v>
      </c>
      <c r="N90" s="196">
        <f t="shared" si="214"/>
        <v>0</v>
      </c>
      <c r="O90" s="197">
        <f t="shared" si="215"/>
        <v>162.67566568047334</v>
      </c>
      <c r="P90" s="197">
        <f t="shared" si="216"/>
        <v>146.59911242603548</v>
      </c>
      <c r="Q90" s="197">
        <f t="shared" si="217"/>
        <v>-146.59911242603548</v>
      </c>
      <c r="R90" s="199">
        <f t="shared" si="218"/>
        <v>16.076553254437858</v>
      </c>
      <c r="S90" s="196">
        <f t="shared" ref="S90:S103" si="253">S89+N90</f>
        <v>0</v>
      </c>
      <c r="T90" s="197">
        <f t="shared" si="219"/>
        <v>507.80835798816565</v>
      </c>
      <c r="U90" s="197">
        <f t="shared" si="219"/>
        <v>2797.3589733491126</v>
      </c>
      <c r="V90" s="197">
        <f t="shared" si="219"/>
        <v>-2797.3589733491126</v>
      </c>
      <c r="W90" s="199">
        <f t="shared" si="219"/>
        <v>-2289.5506153609472</v>
      </c>
      <c r="X90" s="197"/>
      <c r="Z90" s="204">
        <f t="shared" ref="Z90:Z103" si="254">Z89+1</f>
        <v>3</v>
      </c>
      <c r="AA90" s="759">
        <f>'Energy NPV'!$D15</f>
        <v>0</v>
      </c>
      <c r="AB90" s="197">
        <f>'Energy margins'!$E$12</f>
        <v>72</v>
      </c>
      <c r="AC90" s="197">
        <f t="shared" ref="AC90:AC103" si="255">AA90*AB90</f>
        <v>0</v>
      </c>
      <c r="AD90" s="197">
        <f>'Margins summary'!$Q$14</f>
        <v>175.95</v>
      </c>
      <c r="AE90" s="197">
        <f t="shared" si="220"/>
        <v>175.95</v>
      </c>
      <c r="AF90" s="197"/>
      <c r="AG90" s="918">
        <f>'Energy NPV'!U15</f>
        <v>158.5616</v>
      </c>
      <c r="AH90" s="197"/>
      <c r="AI90" s="197">
        <f t="shared" ref="AI90:AI102" si="256">(AF90+AG90+AH90)+0.5*(AF90+AG90+AH90)</f>
        <v>237.8424</v>
      </c>
      <c r="AJ90" s="197">
        <f t="shared" si="204"/>
        <v>-237.8424</v>
      </c>
      <c r="AK90" s="197">
        <f t="shared" si="205"/>
        <v>-61.892400000000009</v>
      </c>
      <c r="AL90" s="196">
        <f t="shared" si="221"/>
        <v>0</v>
      </c>
      <c r="AM90" s="197">
        <f t="shared" si="222"/>
        <v>162.67566568047334</v>
      </c>
      <c r="AN90" s="197">
        <f t="shared" si="223"/>
        <v>219.89866863905323</v>
      </c>
      <c r="AO90" s="197">
        <f t="shared" si="224"/>
        <v>-219.89866863905323</v>
      </c>
      <c r="AP90" s="199">
        <f t="shared" si="225"/>
        <v>-57.223002958579883</v>
      </c>
      <c r="AQ90" s="196">
        <f t="shared" ref="AQ90:AQ102" si="257">AQ89+AL90</f>
        <v>0</v>
      </c>
      <c r="AR90" s="197">
        <f t="shared" si="226"/>
        <v>507.80835798816565</v>
      </c>
      <c r="AS90" s="197">
        <f t="shared" si="226"/>
        <v>4196.0384600236684</v>
      </c>
      <c r="AT90" s="197">
        <f t="shared" si="226"/>
        <v>-4196.0384600236684</v>
      </c>
      <c r="AU90" s="199">
        <f t="shared" si="226"/>
        <v>-3688.2301020355035</v>
      </c>
      <c r="AV90" s="197"/>
      <c r="AX90" s="204">
        <f t="shared" ref="AX90:AX103" si="258">AX89+1</f>
        <v>3</v>
      </c>
      <c r="AY90" s="759">
        <f>'Energy NPV'!$D15</f>
        <v>0</v>
      </c>
      <c r="AZ90" s="197">
        <f>'Energy margins'!$E$12</f>
        <v>72</v>
      </c>
      <c r="BA90" s="197">
        <f t="shared" ref="BA90:BA103" si="259">AY90*AZ90</f>
        <v>0</v>
      </c>
      <c r="BB90" s="197">
        <f>'Margins summary'!$Q$14</f>
        <v>175.95</v>
      </c>
      <c r="BC90" s="197">
        <f t="shared" si="227"/>
        <v>175.95</v>
      </c>
      <c r="BD90" s="197"/>
      <c r="BE90" s="918">
        <f>'Energy NPV'!U15</f>
        <v>158.5616</v>
      </c>
      <c r="BF90" s="197"/>
      <c r="BG90" s="197">
        <f t="shared" si="228"/>
        <v>79.280799999999999</v>
      </c>
      <c r="BH90" s="197">
        <f t="shared" si="206"/>
        <v>-79.280799999999999</v>
      </c>
      <c r="BI90" s="197">
        <f t="shared" si="207"/>
        <v>96.669199999999989</v>
      </c>
      <c r="BJ90" s="196">
        <f t="shared" si="229"/>
        <v>0</v>
      </c>
      <c r="BK90" s="197">
        <f t="shared" si="230"/>
        <v>162.67566568047334</v>
      </c>
      <c r="BL90" s="197">
        <f t="shared" si="231"/>
        <v>73.299556213017738</v>
      </c>
      <c r="BM90" s="197">
        <f t="shared" si="232"/>
        <v>-73.299556213017738</v>
      </c>
      <c r="BN90" s="199">
        <f t="shared" si="233"/>
        <v>89.376109467455606</v>
      </c>
      <c r="BO90" s="196">
        <f t="shared" ref="BO90:BO103" si="260">BO89+BJ90</f>
        <v>0</v>
      </c>
      <c r="BP90" s="197">
        <f t="shared" si="234"/>
        <v>507.80835798816565</v>
      </c>
      <c r="BQ90" s="197">
        <f t="shared" si="234"/>
        <v>1398.6794866745563</v>
      </c>
      <c r="BR90" s="197">
        <f t="shared" si="234"/>
        <v>-1398.6794866745563</v>
      </c>
      <c r="BS90" s="199">
        <f t="shared" si="234"/>
        <v>-890.87112868639053</v>
      </c>
      <c r="BT90" s="197"/>
      <c r="BV90" s="204">
        <f t="shared" ref="BV90:BV103" si="261">BV89+1</f>
        <v>3</v>
      </c>
      <c r="BW90" s="759">
        <f>'Energy NPV'!$D15</f>
        <v>0</v>
      </c>
      <c r="BX90" s="197">
        <f>'Energy margins'!$E$12</f>
        <v>72</v>
      </c>
      <c r="BY90" s="197">
        <f t="shared" ref="BY90:BY103" si="262">BW90*BX90</f>
        <v>0</v>
      </c>
      <c r="BZ90" s="197">
        <f>'Margins summary'!$Q$14</f>
        <v>175.95</v>
      </c>
      <c r="CA90" s="197">
        <f t="shared" si="235"/>
        <v>175.95</v>
      </c>
      <c r="CB90" s="197"/>
      <c r="CC90" s="918">
        <f>'Energy NPV'!U15</f>
        <v>158.5616</v>
      </c>
      <c r="CD90" s="197"/>
      <c r="CE90" s="197">
        <f t="shared" si="236"/>
        <v>317.1232</v>
      </c>
      <c r="CF90" s="197">
        <f t="shared" si="208"/>
        <v>-317.1232</v>
      </c>
      <c r="CG90" s="197">
        <f t="shared" si="209"/>
        <v>-141.17320000000001</v>
      </c>
      <c r="CH90" s="196">
        <f t="shared" si="237"/>
        <v>0</v>
      </c>
      <c r="CI90" s="197">
        <f t="shared" si="238"/>
        <v>162.67566568047334</v>
      </c>
      <c r="CJ90" s="197">
        <f t="shared" si="239"/>
        <v>293.19822485207095</v>
      </c>
      <c r="CK90" s="197">
        <f t="shared" si="240"/>
        <v>-293.19822485207095</v>
      </c>
      <c r="CL90" s="199">
        <f t="shared" si="241"/>
        <v>-130.52255917159763</v>
      </c>
      <c r="CM90" s="196">
        <f t="shared" ref="CM90:CM103" si="263">CM89+CH90</f>
        <v>0</v>
      </c>
      <c r="CN90" s="197">
        <f t="shared" si="242"/>
        <v>507.80835798816565</v>
      </c>
      <c r="CO90" s="197">
        <f t="shared" si="242"/>
        <v>5594.7179466982252</v>
      </c>
      <c r="CP90" s="197">
        <f t="shared" si="242"/>
        <v>-5594.7179466982252</v>
      </c>
      <c r="CQ90" s="199">
        <f t="shared" si="242"/>
        <v>-5086.9095887100602</v>
      </c>
      <c r="CR90" s="197"/>
      <c r="CT90" s="204">
        <f t="shared" ref="CT90:CT103" si="264">CT89+1</f>
        <v>3</v>
      </c>
      <c r="CU90" s="759">
        <f>'Energy NPV'!$D15</f>
        <v>0</v>
      </c>
      <c r="CV90" s="197">
        <f>'Energy margins'!$E$12</f>
        <v>72</v>
      </c>
      <c r="CW90" s="197">
        <f t="shared" ref="CW90:CW103" si="265">CU90*CV90</f>
        <v>0</v>
      </c>
      <c r="CX90" s="197">
        <f>'Margins summary'!$Q$14</f>
        <v>175.95</v>
      </c>
      <c r="CY90" s="197">
        <f t="shared" si="243"/>
        <v>175.95</v>
      </c>
      <c r="CZ90" s="197"/>
      <c r="DA90" s="918">
        <f>'Energy NPV'!U15</f>
        <v>158.5616</v>
      </c>
      <c r="DB90" s="197"/>
      <c r="DC90" s="197">
        <f t="shared" si="244"/>
        <v>0</v>
      </c>
      <c r="DD90" s="197">
        <f t="shared" si="210"/>
        <v>0</v>
      </c>
      <c r="DE90" s="197">
        <f t="shared" si="211"/>
        <v>175.95</v>
      </c>
      <c r="DF90" s="196">
        <f t="shared" si="245"/>
        <v>0</v>
      </c>
      <c r="DG90" s="197">
        <f t="shared" si="246"/>
        <v>162.67566568047334</v>
      </c>
      <c r="DH90" s="197">
        <f t="shared" si="247"/>
        <v>0</v>
      </c>
      <c r="DI90" s="197">
        <f t="shared" si="248"/>
        <v>0</v>
      </c>
      <c r="DJ90" s="199">
        <f t="shared" si="249"/>
        <v>162.67566568047334</v>
      </c>
      <c r="DK90" s="196">
        <f t="shared" ref="DK90:DK103" si="266">DK89+DF90</f>
        <v>0</v>
      </c>
      <c r="DL90" s="197">
        <f t="shared" si="250"/>
        <v>507.80835798816565</v>
      </c>
      <c r="DM90" s="197">
        <f t="shared" si="250"/>
        <v>0</v>
      </c>
      <c r="DN90" s="197">
        <f t="shared" si="250"/>
        <v>0</v>
      </c>
      <c r="DO90" s="199">
        <f t="shared" si="250"/>
        <v>507.80835798816565</v>
      </c>
    </row>
    <row r="91" spans="2:119" x14ac:dyDescent="0.3">
      <c r="B91" s="204">
        <f t="shared" si="251"/>
        <v>4</v>
      </c>
      <c r="C91" s="759">
        <f>'Energy NPV'!$D16</f>
        <v>30</v>
      </c>
      <c r="D91" s="197">
        <f>'Energy margins'!$E$12</f>
        <v>72</v>
      </c>
      <c r="E91" s="197">
        <f t="shared" si="252"/>
        <v>2160</v>
      </c>
      <c r="F91" s="197">
        <f>'Margins summary'!$Q$14</f>
        <v>175.95</v>
      </c>
      <c r="G91" s="197">
        <f t="shared" si="212"/>
        <v>2335.9499999999998</v>
      </c>
      <c r="H91" s="197"/>
      <c r="I91" s="918">
        <f>'Energy NPV'!U16</f>
        <v>704.85838399999989</v>
      </c>
      <c r="J91" s="197"/>
      <c r="K91" s="197">
        <f t="shared" si="213"/>
        <v>704.85838399999989</v>
      </c>
      <c r="L91" s="197">
        <f t="shared" si="202"/>
        <v>1455.1416160000001</v>
      </c>
      <c r="M91" s="197">
        <f t="shared" si="203"/>
        <v>1631.0916159999999</v>
      </c>
      <c r="N91" s="196">
        <f t="shared" si="214"/>
        <v>1920.2321347291761</v>
      </c>
      <c r="O91" s="197">
        <f t="shared" si="215"/>
        <v>156.41890930814745</v>
      </c>
      <c r="P91" s="197">
        <f t="shared" si="216"/>
        <v>626.61653675466528</v>
      </c>
      <c r="Q91" s="197">
        <f t="shared" si="217"/>
        <v>1293.6155979745106</v>
      </c>
      <c r="R91" s="199">
        <f t="shared" si="218"/>
        <v>1450.0345072826581</v>
      </c>
      <c r="S91" s="196">
        <f t="shared" si="253"/>
        <v>1920.2321347291761</v>
      </c>
      <c r="T91" s="197">
        <f t="shared" si="219"/>
        <v>664.22726729631313</v>
      </c>
      <c r="U91" s="197">
        <f t="shared" si="219"/>
        <v>3423.9755101037781</v>
      </c>
      <c r="V91" s="197">
        <f t="shared" si="219"/>
        <v>-1503.743375374602</v>
      </c>
      <c r="W91" s="199">
        <f t="shared" si="219"/>
        <v>-839.51610807828911</v>
      </c>
      <c r="X91" s="197"/>
      <c r="Z91" s="204">
        <f t="shared" si="254"/>
        <v>4</v>
      </c>
      <c r="AA91" s="759">
        <f>'Energy NPV'!$D16</f>
        <v>30</v>
      </c>
      <c r="AB91" s="197">
        <f>'Energy margins'!$E$12</f>
        <v>72</v>
      </c>
      <c r="AC91" s="197">
        <f t="shared" si="255"/>
        <v>2160</v>
      </c>
      <c r="AD91" s="197">
        <f>'Margins summary'!$Q$14</f>
        <v>175.95</v>
      </c>
      <c r="AE91" s="197">
        <f t="shared" si="220"/>
        <v>2335.9499999999998</v>
      </c>
      <c r="AF91" s="197"/>
      <c r="AG91" s="918">
        <f>'Energy NPV'!U16</f>
        <v>704.85838399999989</v>
      </c>
      <c r="AH91" s="197"/>
      <c r="AI91" s="197">
        <f t="shared" si="256"/>
        <v>1057.2875759999997</v>
      </c>
      <c r="AJ91" s="197">
        <f t="shared" si="204"/>
        <v>1102.7124240000003</v>
      </c>
      <c r="AK91" s="197">
        <f t="shared" si="205"/>
        <v>1278.6624240000001</v>
      </c>
      <c r="AL91" s="196">
        <f t="shared" si="221"/>
        <v>1920.2321347291761</v>
      </c>
      <c r="AM91" s="197">
        <f t="shared" si="222"/>
        <v>156.41890930814745</v>
      </c>
      <c r="AN91" s="197">
        <f t="shared" si="223"/>
        <v>939.9248051319978</v>
      </c>
      <c r="AO91" s="197">
        <f t="shared" si="224"/>
        <v>980.30732959717818</v>
      </c>
      <c r="AP91" s="199">
        <f t="shared" si="225"/>
        <v>1136.7262389053255</v>
      </c>
      <c r="AQ91" s="196">
        <f t="shared" si="257"/>
        <v>1920.2321347291761</v>
      </c>
      <c r="AR91" s="197">
        <f t="shared" si="226"/>
        <v>664.22726729631313</v>
      </c>
      <c r="AS91" s="197">
        <f t="shared" si="226"/>
        <v>5135.9632651556658</v>
      </c>
      <c r="AT91" s="197">
        <f t="shared" si="226"/>
        <v>-3215.7311304264904</v>
      </c>
      <c r="AU91" s="199">
        <f t="shared" si="226"/>
        <v>-2551.5038631301777</v>
      </c>
      <c r="AV91" s="197"/>
      <c r="AX91" s="204">
        <f t="shared" si="258"/>
        <v>4</v>
      </c>
      <c r="AY91" s="759">
        <f>'Energy NPV'!$D16</f>
        <v>30</v>
      </c>
      <c r="AZ91" s="197">
        <f>'Energy margins'!$E$12</f>
        <v>72</v>
      </c>
      <c r="BA91" s="197">
        <f t="shared" si="259"/>
        <v>2160</v>
      </c>
      <c r="BB91" s="197">
        <f>'Margins summary'!$Q$14</f>
        <v>175.95</v>
      </c>
      <c r="BC91" s="197">
        <f t="shared" si="227"/>
        <v>2335.9499999999998</v>
      </c>
      <c r="BD91" s="197"/>
      <c r="BE91" s="918">
        <f>'Energy NPV'!U16</f>
        <v>704.85838399999989</v>
      </c>
      <c r="BF91" s="197"/>
      <c r="BG91" s="197">
        <f t="shared" si="228"/>
        <v>352.42919199999994</v>
      </c>
      <c r="BH91" s="197">
        <f t="shared" si="206"/>
        <v>1807.5708079999999</v>
      </c>
      <c r="BI91" s="197">
        <f t="shared" si="207"/>
        <v>1983.5208079999998</v>
      </c>
      <c r="BJ91" s="196">
        <f t="shared" si="229"/>
        <v>1920.2321347291761</v>
      </c>
      <c r="BK91" s="197">
        <f t="shared" si="230"/>
        <v>156.41890930814745</v>
      </c>
      <c r="BL91" s="197">
        <f t="shared" si="231"/>
        <v>313.30826837733264</v>
      </c>
      <c r="BM91" s="197">
        <f t="shared" si="232"/>
        <v>1606.9238663518433</v>
      </c>
      <c r="BN91" s="199">
        <f t="shared" si="233"/>
        <v>1763.3427756599906</v>
      </c>
      <c r="BO91" s="196">
        <f t="shared" si="260"/>
        <v>1920.2321347291761</v>
      </c>
      <c r="BP91" s="197">
        <f t="shared" si="234"/>
        <v>664.22726729631313</v>
      </c>
      <c r="BQ91" s="197">
        <f t="shared" si="234"/>
        <v>1711.9877550518891</v>
      </c>
      <c r="BR91" s="197">
        <f t="shared" si="234"/>
        <v>208.24437967728704</v>
      </c>
      <c r="BS91" s="199">
        <f t="shared" si="234"/>
        <v>872.47164697360006</v>
      </c>
      <c r="BT91" s="197"/>
      <c r="BV91" s="204">
        <f t="shared" si="261"/>
        <v>4</v>
      </c>
      <c r="BW91" s="759">
        <f>'Energy NPV'!$D16</f>
        <v>30</v>
      </c>
      <c r="BX91" s="197">
        <f>'Energy margins'!$E$12</f>
        <v>72</v>
      </c>
      <c r="BY91" s="197">
        <f t="shared" si="262"/>
        <v>2160</v>
      </c>
      <c r="BZ91" s="197">
        <f>'Margins summary'!$Q$14</f>
        <v>175.95</v>
      </c>
      <c r="CA91" s="197">
        <f t="shared" si="235"/>
        <v>2335.9499999999998</v>
      </c>
      <c r="CB91" s="197"/>
      <c r="CC91" s="918">
        <f>'Energy NPV'!U16</f>
        <v>704.85838399999989</v>
      </c>
      <c r="CD91" s="197"/>
      <c r="CE91" s="197">
        <f t="shared" si="236"/>
        <v>1409.7167679999998</v>
      </c>
      <c r="CF91" s="197">
        <f t="shared" si="208"/>
        <v>750.28323200000023</v>
      </c>
      <c r="CG91" s="197">
        <f t="shared" si="209"/>
        <v>926.23323200000004</v>
      </c>
      <c r="CH91" s="196">
        <f t="shared" si="237"/>
        <v>1920.2321347291761</v>
      </c>
      <c r="CI91" s="197">
        <f t="shared" si="238"/>
        <v>156.41890930814745</v>
      </c>
      <c r="CJ91" s="197">
        <f t="shared" si="239"/>
        <v>1253.2330735093306</v>
      </c>
      <c r="CK91" s="197">
        <f t="shared" si="240"/>
        <v>666.99906121984543</v>
      </c>
      <c r="CL91" s="199">
        <f t="shared" si="241"/>
        <v>823.41797052799268</v>
      </c>
      <c r="CM91" s="196">
        <f t="shared" si="263"/>
        <v>1920.2321347291761</v>
      </c>
      <c r="CN91" s="197">
        <f t="shared" si="242"/>
        <v>664.22726729631313</v>
      </c>
      <c r="CO91" s="197">
        <f t="shared" si="242"/>
        <v>6847.9510202075562</v>
      </c>
      <c r="CP91" s="197">
        <f t="shared" si="242"/>
        <v>-4927.7188854783799</v>
      </c>
      <c r="CQ91" s="199">
        <f t="shared" si="242"/>
        <v>-4263.4916181820672</v>
      </c>
      <c r="CR91" s="197"/>
      <c r="CT91" s="204">
        <f t="shared" si="264"/>
        <v>4</v>
      </c>
      <c r="CU91" s="759">
        <f>'Energy NPV'!$D16</f>
        <v>30</v>
      </c>
      <c r="CV91" s="197">
        <f>'Energy margins'!$E$12</f>
        <v>72</v>
      </c>
      <c r="CW91" s="197">
        <f t="shared" si="265"/>
        <v>2160</v>
      </c>
      <c r="CX91" s="197">
        <f>'Margins summary'!$Q$14</f>
        <v>175.95</v>
      </c>
      <c r="CY91" s="197">
        <f t="shared" si="243"/>
        <v>2335.9499999999998</v>
      </c>
      <c r="CZ91" s="197"/>
      <c r="DA91" s="918">
        <f>'Energy NPV'!U16</f>
        <v>704.85838399999989</v>
      </c>
      <c r="DB91" s="197"/>
      <c r="DC91" s="197">
        <f t="shared" si="244"/>
        <v>0</v>
      </c>
      <c r="DD91" s="197">
        <f t="shared" si="210"/>
        <v>2160</v>
      </c>
      <c r="DE91" s="197">
        <f t="shared" si="211"/>
        <v>2335.9499999999998</v>
      </c>
      <c r="DF91" s="196">
        <f t="shared" si="245"/>
        <v>1920.2321347291761</v>
      </c>
      <c r="DG91" s="197">
        <f t="shared" si="246"/>
        <v>156.41890930814745</v>
      </c>
      <c r="DH91" s="197">
        <f t="shared" si="247"/>
        <v>0</v>
      </c>
      <c r="DI91" s="197">
        <f t="shared" si="248"/>
        <v>1920.2321347291761</v>
      </c>
      <c r="DJ91" s="199">
        <f t="shared" si="249"/>
        <v>2076.6510440373231</v>
      </c>
      <c r="DK91" s="196">
        <f t="shared" si="266"/>
        <v>1920.2321347291761</v>
      </c>
      <c r="DL91" s="197">
        <f t="shared" si="250"/>
        <v>664.22726729631313</v>
      </c>
      <c r="DM91" s="197">
        <f t="shared" si="250"/>
        <v>0</v>
      </c>
      <c r="DN91" s="197">
        <f t="shared" si="250"/>
        <v>1920.2321347291761</v>
      </c>
      <c r="DO91" s="199">
        <f t="shared" si="250"/>
        <v>2584.459402025489</v>
      </c>
    </row>
    <row r="92" spans="2:119" x14ac:dyDescent="0.3">
      <c r="B92" s="204">
        <f t="shared" si="251"/>
        <v>5</v>
      </c>
      <c r="C92" s="759">
        <f>'Energy NPV'!$D17</f>
        <v>0</v>
      </c>
      <c r="D92" s="197">
        <f>'Energy margins'!$E$12</f>
        <v>72</v>
      </c>
      <c r="E92" s="197">
        <f t="shared" si="252"/>
        <v>0</v>
      </c>
      <c r="F92" s="197">
        <f>'Margins summary'!$Q$14</f>
        <v>175.95</v>
      </c>
      <c r="G92" s="197">
        <f t="shared" si="212"/>
        <v>175.95</v>
      </c>
      <c r="H92" s="197"/>
      <c r="I92" s="918">
        <f>'Energy NPV'!U17</f>
        <v>45.561599999999999</v>
      </c>
      <c r="J92" s="197"/>
      <c r="K92" s="197">
        <f t="shared" si="213"/>
        <v>45.561599999999999</v>
      </c>
      <c r="L92" s="197">
        <f t="shared" si="202"/>
        <v>-45.561599999999999</v>
      </c>
      <c r="M92" s="197">
        <f t="shared" si="203"/>
        <v>130.38839999999999</v>
      </c>
      <c r="N92" s="196">
        <f t="shared" si="214"/>
        <v>0</v>
      </c>
      <c r="O92" s="197">
        <f t="shared" si="215"/>
        <v>150.40279741168024</v>
      </c>
      <c r="P92" s="197">
        <f t="shared" si="216"/>
        <v>38.946246630019949</v>
      </c>
      <c r="Q92" s="197">
        <f t="shared" si="217"/>
        <v>-38.946246630019949</v>
      </c>
      <c r="R92" s="199">
        <f t="shared" si="218"/>
        <v>111.45655078166028</v>
      </c>
      <c r="S92" s="196">
        <f t="shared" si="253"/>
        <v>1920.2321347291761</v>
      </c>
      <c r="T92" s="197">
        <f t="shared" si="219"/>
        <v>814.63006470799337</v>
      </c>
      <c r="U92" s="197">
        <f t="shared" si="219"/>
        <v>3462.9217567337982</v>
      </c>
      <c r="V92" s="197">
        <f t="shared" si="219"/>
        <v>-1542.6896220046219</v>
      </c>
      <c r="W92" s="199">
        <f t="shared" si="219"/>
        <v>-728.05955729662878</v>
      </c>
      <c r="X92" s="197"/>
      <c r="Z92" s="204">
        <f t="shared" si="254"/>
        <v>5</v>
      </c>
      <c r="AA92" s="759">
        <f>'Energy NPV'!$D17</f>
        <v>0</v>
      </c>
      <c r="AB92" s="197">
        <f>'Energy margins'!$E$12</f>
        <v>72</v>
      </c>
      <c r="AC92" s="197">
        <f t="shared" si="255"/>
        <v>0</v>
      </c>
      <c r="AD92" s="197">
        <f>'Margins summary'!$Q$14</f>
        <v>175.95</v>
      </c>
      <c r="AE92" s="197">
        <f t="shared" si="220"/>
        <v>175.95</v>
      </c>
      <c r="AF92" s="197"/>
      <c r="AG92" s="918">
        <f>'Energy NPV'!U17</f>
        <v>45.561599999999999</v>
      </c>
      <c r="AH92" s="197"/>
      <c r="AI92" s="197">
        <f t="shared" si="256"/>
        <v>68.342399999999998</v>
      </c>
      <c r="AJ92" s="197">
        <f t="shared" si="204"/>
        <v>-68.342399999999998</v>
      </c>
      <c r="AK92" s="197">
        <f t="shared" si="205"/>
        <v>107.60759999999999</v>
      </c>
      <c r="AL92" s="196">
        <f t="shared" si="221"/>
        <v>0</v>
      </c>
      <c r="AM92" s="197">
        <f t="shared" si="222"/>
        <v>150.40279741168024</v>
      </c>
      <c r="AN92" s="197">
        <f t="shared" si="223"/>
        <v>58.419369945029921</v>
      </c>
      <c r="AO92" s="197">
        <f t="shared" si="224"/>
        <v>-58.419369945029921</v>
      </c>
      <c r="AP92" s="199">
        <f t="shared" si="225"/>
        <v>91.983427466650298</v>
      </c>
      <c r="AQ92" s="196">
        <f t="shared" si="257"/>
        <v>1920.2321347291761</v>
      </c>
      <c r="AR92" s="197">
        <f t="shared" si="226"/>
        <v>814.63006470799337</v>
      </c>
      <c r="AS92" s="197">
        <f t="shared" si="226"/>
        <v>5194.3826351006956</v>
      </c>
      <c r="AT92" s="197">
        <f t="shared" si="226"/>
        <v>-3274.1505003715201</v>
      </c>
      <c r="AU92" s="199">
        <f t="shared" si="226"/>
        <v>-2459.5204356635272</v>
      </c>
      <c r="AV92" s="197"/>
      <c r="AX92" s="204">
        <f t="shared" si="258"/>
        <v>5</v>
      </c>
      <c r="AY92" s="759">
        <f>'Energy NPV'!$D17</f>
        <v>0</v>
      </c>
      <c r="AZ92" s="197">
        <f>'Energy margins'!$E$12</f>
        <v>72</v>
      </c>
      <c r="BA92" s="197">
        <f t="shared" si="259"/>
        <v>0</v>
      </c>
      <c r="BB92" s="197">
        <f>'Margins summary'!$Q$14</f>
        <v>175.95</v>
      </c>
      <c r="BC92" s="197">
        <f t="shared" si="227"/>
        <v>175.95</v>
      </c>
      <c r="BD92" s="197"/>
      <c r="BE92" s="918">
        <f>'Energy NPV'!U17</f>
        <v>45.561599999999999</v>
      </c>
      <c r="BF92" s="197"/>
      <c r="BG92" s="197">
        <f t="shared" si="228"/>
        <v>22.780799999999999</v>
      </c>
      <c r="BH92" s="197">
        <f t="shared" si="206"/>
        <v>-22.780799999999999</v>
      </c>
      <c r="BI92" s="197">
        <f t="shared" si="207"/>
        <v>153.16919999999999</v>
      </c>
      <c r="BJ92" s="196">
        <f t="shared" si="229"/>
        <v>0</v>
      </c>
      <c r="BK92" s="197">
        <f t="shared" si="230"/>
        <v>150.40279741168024</v>
      </c>
      <c r="BL92" s="197">
        <f t="shared" si="231"/>
        <v>19.473123315009975</v>
      </c>
      <c r="BM92" s="197">
        <f t="shared" si="232"/>
        <v>-19.473123315009975</v>
      </c>
      <c r="BN92" s="199">
        <f t="shared" si="233"/>
        <v>130.92967409667025</v>
      </c>
      <c r="BO92" s="196">
        <f t="shared" si="260"/>
        <v>1920.2321347291761</v>
      </c>
      <c r="BP92" s="197">
        <f t="shared" si="234"/>
        <v>814.63006470799337</v>
      </c>
      <c r="BQ92" s="197">
        <f t="shared" si="234"/>
        <v>1731.4608783668991</v>
      </c>
      <c r="BR92" s="197">
        <f t="shared" si="234"/>
        <v>188.77125636227706</v>
      </c>
      <c r="BS92" s="199">
        <f t="shared" si="234"/>
        <v>1003.4013210702703</v>
      </c>
      <c r="BT92" s="197"/>
      <c r="BV92" s="204">
        <f t="shared" si="261"/>
        <v>5</v>
      </c>
      <c r="BW92" s="759">
        <f>'Energy NPV'!$D17</f>
        <v>0</v>
      </c>
      <c r="BX92" s="197">
        <f>'Energy margins'!$E$12</f>
        <v>72</v>
      </c>
      <c r="BY92" s="197">
        <f t="shared" si="262"/>
        <v>0</v>
      </c>
      <c r="BZ92" s="197">
        <f>'Margins summary'!$Q$14</f>
        <v>175.95</v>
      </c>
      <c r="CA92" s="197">
        <f t="shared" si="235"/>
        <v>175.95</v>
      </c>
      <c r="CB92" s="197"/>
      <c r="CC92" s="918">
        <f>'Energy NPV'!U17</f>
        <v>45.561599999999999</v>
      </c>
      <c r="CD92" s="197"/>
      <c r="CE92" s="197">
        <f t="shared" si="236"/>
        <v>91.123199999999997</v>
      </c>
      <c r="CF92" s="197">
        <f t="shared" si="208"/>
        <v>-91.123199999999997</v>
      </c>
      <c r="CG92" s="197">
        <f t="shared" si="209"/>
        <v>84.826799999999992</v>
      </c>
      <c r="CH92" s="196">
        <f t="shared" si="237"/>
        <v>0</v>
      </c>
      <c r="CI92" s="197">
        <f t="shared" si="238"/>
        <v>150.40279741168024</v>
      </c>
      <c r="CJ92" s="197">
        <f t="shared" si="239"/>
        <v>77.892493260039899</v>
      </c>
      <c r="CK92" s="197">
        <f t="shared" si="240"/>
        <v>-77.892493260039899</v>
      </c>
      <c r="CL92" s="199">
        <f t="shared" si="241"/>
        <v>72.510304151640327</v>
      </c>
      <c r="CM92" s="196">
        <f t="shared" si="263"/>
        <v>1920.2321347291761</v>
      </c>
      <c r="CN92" s="197">
        <f t="shared" si="242"/>
        <v>814.63006470799337</v>
      </c>
      <c r="CO92" s="197">
        <f t="shared" si="242"/>
        <v>6925.8435134675965</v>
      </c>
      <c r="CP92" s="197">
        <f t="shared" si="242"/>
        <v>-5005.6113787384202</v>
      </c>
      <c r="CQ92" s="199">
        <f t="shared" si="242"/>
        <v>-4190.9813140304268</v>
      </c>
      <c r="CR92" s="197"/>
      <c r="CT92" s="204">
        <f t="shared" si="264"/>
        <v>5</v>
      </c>
      <c r="CU92" s="759">
        <f>'Energy NPV'!$D17</f>
        <v>0</v>
      </c>
      <c r="CV92" s="197">
        <f>'Energy margins'!$E$12</f>
        <v>72</v>
      </c>
      <c r="CW92" s="197">
        <f t="shared" si="265"/>
        <v>0</v>
      </c>
      <c r="CX92" s="197">
        <f>'Margins summary'!$Q$14</f>
        <v>175.95</v>
      </c>
      <c r="CY92" s="197">
        <f t="shared" si="243"/>
        <v>175.95</v>
      </c>
      <c r="CZ92" s="197"/>
      <c r="DA92" s="918">
        <f>'Energy NPV'!U17</f>
        <v>45.561599999999999</v>
      </c>
      <c r="DB92" s="197"/>
      <c r="DC92" s="197">
        <f t="shared" si="244"/>
        <v>0</v>
      </c>
      <c r="DD92" s="197">
        <f t="shared" si="210"/>
        <v>0</v>
      </c>
      <c r="DE92" s="197">
        <f t="shared" si="211"/>
        <v>175.95</v>
      </c>
      <c r="DF92" s="196">
        <f t="shared" si="245"/>
        <v>0</v>
      </c>
      <c r="DG92" s="197">
        <f t="shared" si="246"/>
        <v>150.40279741168024</v>
      </c>
      <c r="DH92" s="197">
        <f t="shared" si="247"/>
        <v>0</v>
      </c>
      <c r="DI92" s="197">
        <f t="shared" si="248"/>
        <v>0</v>
      </c>
      <c r="DJ92" s="199">
        <f t="shared" si="249"/>
        <v>150.40279741168024</v>
      </c>
      <c r="DK92" s="196">
        <f t="shared" si="266"/>
        <v>1920.2321347291761</v>
      </c>
      <c r="DL92" s="197">
        <f t="shared" si="250"/>
        <v>814.63006470799337</v>
      </c>
      <c r="DM92" s="197">
        <f t="shared" si="250"/>
        <v>0</v>
      </c>
      <c r="DN92" s="197">
        <f t="shared" si="250"/>
        <v>1920.2321347291761</v>
      </c>
      <c r="DO92" s="199">
        <f t="shared" si="250"/>
        <v>2734.8621994371692</v>
      </c>
    </row>
    <row r="93" spans="2:119" x14ac:dyDescent="0.3">
      <c r="B93" s="204">
        <f t="shared" si="251"/>
        <v>6</v>
      </c>
      <c r="C93" s="759">
        <f>'Energy NPV'!$D18</f>
        <v>0</v>
      </c>
      <c r="D93" s="197">
        <f>'Energy margins'!$E$12</f>
        <v>72</v>
      </c>
      <c r="E93" s="197">
        <f t="shared" si="252"/>
        <v>0</v>
      </c>
      <c r="F93" s="197">
        <f>'Margins summary'!$Q$14</f>
        <v>175.95</v>
      </c>
      <c r="G93" s="197">
        <f t="shared" si="212"/>
        <v>175.95</v>
      </c>
      <c r="H93" s="197"/>
      <c r="I93" s="918">
        <f>'Energy NPV'!U18</f>
        <v>45.561599999999999</v>
      </c>
      <c r="J93" s="197"/>
      <c r="K93" s="197">
        <f t="shared" si="213"/>
        <v>45.561599999999999</v>
      </c>
      <c r="L93" s="197">
        <f t="shared" si="202"/>
        <v>-45.561599999999999</v>
      </c>
      <c r="M93" s="197">
        <f t="shared" si="203"/>
        <v>130.38839999999999</v>
      </c>
      <c r="N93" s="196">
        <f t="shared" si="214"/>
        <v>0</v>
      </c>
      <c r="O93" s="197">
        <f t="shared" si="215"/>
        <v>144.61807443430789</v>
      </c>
      <c r="P93" s="197">
        <f t="shared" si="216"/>
        <v>37.448314067326869</v>
      </c>
      <c r="Q93" s="197">
        <f t="shared" si="217"/>
        <v>-37.448314067326869</v>
      </c>
      <c r="R93" s="199">
        <f t="shared" si="218"/>
        <v>107.16976036698102</v>
      </c>
      <c r="S93" s="196">
        <f t="shared" si="253"/>
        <v>1920.2321347291761</v>
      </c>
      <c r="T93" s="197">
        <f t="shared" si="219"/>
        <v>959.24813914230128</v>
      </c>
      <c r="U93" s="197">
        <f t="shared" si="219"/>
        <v>3500.3700708011252</v>
      </c>
      <c r="V93" s="197">
        <f t="shared" si="219"/>
        <v>-1580.1379360719488</v>
      </c>
      <c r="W93" s="199">
        <f t="shared" si="219"/>
        <v>-620.88979692964779</v>
      </c>
      <c r="X93" s="197"/>
      <c r="Z93" s="204">
        <f t="shared" si="254"/>
        <v>6</v>
      </c>
      <c r="AA93" s="759">
        <f>'Energy NPV'!$D18</f>
        <v>0</v>
      </c>
      <c r="AB93" s="197">
        <f>'Energy margins'!$E$12</f>
        <v>72</v>
      </c>
      <c r="AC93" s="197">
        <f t="shared" si="255"/>
        <v>0</v>
      </c>
      <c r="AD93" s="197">
        <f>'Margins summary'!$Q$14</f>
        <v>175.95</v>
      </c>
      <c r="AE93" s="197">
        <f t="shared" si="220"/>
        <v>175.95</v>
      </c>
      <c r="AF93" s="197"/>
      <c r="AG93" s="918">
        <f>'Energy NPV'!U18</f>
        <v>45.561599999999999</v>
      </c>
      <c r="AH93" s="197"/>
      <c r="AI93" s="197">
        <f t="shared" si="256"/>
        <v>68.342399999999998</v>
      </c>
      <c r="AJ93" s="197">
        <f t="shared" si="204"/>
        <v>-68.342399999999998</v>
      </c>
      <c r="AK93" s="197">
        <f t="shared" si="205"/>
        <v>107.60759999999999</v>
      </c>
      <c r="AL93" s="196">
        <f t="shared" si="221"/>
        <v>0</v>
      </c>
      <c r="AM93" s="197">
        <f t="shared" si="222"/>
        <v>144.61807443430789</v>
      </c>
      <c r="AN93" s="197">
        <f t="shared" si="223"/>
        <v>56.172471100990307</v>
      </c>
      <c r="AO93" s="197">
        <f t="shared" si="224"/>
        <v>-56.172471100990307</v>
      </c>
      <c r="AP93" s="199">
        <f t="shared" si="225"/>
        <v>88.445603333317592</v>
      </c>
      <c r="AQ93" s="196">
        <f t="shared" si="257"/>
        <v>1920.2321347291761</v>
      </c>
      <c r="AR93" s="197">
        <f t="shared" si="226"/>
        <v>959.24813914230128</v>
      </c>
      <c r="AS93" s="197">
        <f t="shared" si="226"/>
        <v>5250.5551062016857</v>
      </c>
      <c r="AT93" s="197">
        <f t="shared" si="226"/>
        <v>-3330.3229714725103</v>
      </c>
      <c r="AU93" s="199">
        <f t="shared" si="226"/>
        <v>-2371.0748323302096</v>
      </c>
      <c r="AV93" s="197"/>
      <c r="AX93" s="204">
        <f t="shared" si="258"/>
        <v>6</v>
      </c>
      <c r="AY93" s="759">
        <f>'Energy NPV'!$D18</f>
        <v>0</v>
      </c>
      <c r="AZ93" s="197">
        <f>'Energy margins'!$E$12</f>
        <v>72</v>
      </c>
      <c r="BA93" s="197">
        <f t="shared" si="259"/>
        <v>0</v>
      </c>
      <c r="BB93" s="197">
        <f>'Margins summary'!$Q$14</f>
        <v>175.95</v>
      </c>
      <c r="BC93" s="197">
        <f t="shared" si="227"/>
        <v>175.95</v>
      </c>
      <c r="BD93" s="197"/>
      <c r="BE93" s="918">
        <f>'Energy NPV'!U18</f>
        <v>45.561599999999999</v>
      </c>
      <c r="BF93" s="197"/>
      <c r="BG93" s="197">
        <f t="shared" si="228"/>
        <v>22.780799999999999</v>
      </c>
      <c r="BH93" s="197">
        <f t="shared" si="206"/>
        <v>-22.780799999999999</v>
      </c>
      <c r="BI93" s="197">
        <f t="shared" si="207"/>
        <v>153.16919999999999</v>
      </c>
      <c r="BJ93" s="196">
        <f t="shared" si="229"/>
        <v>0</v>
      </c>
      <c r="BK93" s="197">
        <f t="shared" si="230"/>
        <v>144.61807443430789</v>
      </c>
      <c r="BL93" s="197">
        <f t="shared" si="231"/>
        <v>18.724157033663435</v>
      </c>
      <c r="BM93" s="197">
        <f t="shared" si="232"/>
        <v>-18.724157033663435</v>
      </c>
      <c r="BN93" s="199">
        <f t="shared" si="233"/>
        <v>125.89391740064445</v>
      </c>
      <c r="BO93" s="196">
        <f t="shared" si="260"/>
        <v>1920.2321347291761</v>
      </c>
      <c r="BP93" s="197">
        <f t="shared" si="234"/>
        <v>959.24813914230128</v>
      </c>
      <c r="BQ93" s="197">
        <f t="shared" si="234"/>
        <v>1750.1850354005626</v>
      </c>
      <c r="BR93" s="197">
        <f t="shared" si="234"/>
        <v>170.04709932861363</v>
      </c>
      <c r="BS93" s="199">
        <f t="shared" si="234"/>
        <v>1129.2952384709147</v>
      </c>
      <c r="BT93" s="197"/>
      <c r="BV93" s="204">
        <f t="shared" si="261"/>
        <v>6</v>
      </c>
      <c r="BW93" s="759">
        <f>'Energy NPV'!$D18</f>
        <v>0</v>
      </c>
      <c r="BX93" s="197">
        <f>'Energy margins'!$E$12</f>
        <v>72</v>
      </c>
      <c r="BY93" s="197">
        <f t="shared" si="262"/>
        <v>0</v>
      </c>
      <c r="BZ93" s="197">
        <f>'Margins summary'!$Q$14</f>
        <v>175.95</v>
      </c>
      <c r="CA93" s="197">
        <f t="shared" si="235"/>
        <v>175.95</v>
      </c>
      <c r="CB93" s="197"/>
      <c r="CC93" s="918">
        <f>'Energy NPV'!U18</f>
        <v>45.561599999999999</v>
      </c>
      <c r="CD93" s="197"/>
      <c r="CE93" s="197">
        <f t="shared" si="236"/>
        <v>91.123199999999997</v>
      </c>
      <c r="CF93" s="197">
        <f t="shared" si="208"/>
        <v>-91.123199999999997</v>
      </c>
      <c r="CG93" s="197">
        <f t="shared" si="209"/>
        <v>84.826799999999992</v>
      </c>
      <c r="CH93" s="196">
        <f t="shared" si="237"/>
        <v>0</v>
      </c>
      <c r="CI93" s="197">
        <f t="shared" si="238"/>
        <v>144.61807443430789</v>
      </c>
      <c r="CJ93" s="197">
        <f t="shared" si="239"/>
        <v>74.896628134653739</v>
      </c>
      <c r="CK93" s="197">
        <f t="shared" si="240"/>
        <v>-74.896628134653739</v>
      </c>
      <c r="CL93" s="199">
        <f t="shared" si="241"/>
        <v>69.721446299654161</v>
      </c>
      <c r="CM93" s="196">
        <f t="shared" si="263"/>
        <v>1920.2321347291761</v>
      </c>
      <c r="CN93" s="197">
        <f t="shared" si="242"/>
        <v>959.24813914230128</v>
      </c>
      <c r="CO93" s="197">
        <f t="shared" si="242"/>
        <v>7000.7401416022503</v>
      </c>
      <c r="CP93" s="197">
        <f t="shared" si="242"/>
        <v>-5080.508006873074</v>
      </c>
      <c r="CQ93" s="199">
        <f t="shared" si="242"/>
        <v>-4121.2598677307724</v>
      </c>
      <c r="CR93" s="197"/>
      <c r="CT93" s="204">
        <f t="shared" si="264"/>
        <v>6</v>
      </c>
      <c r="CU93" s="759">
        <f>'Energy NPV'!$D18</f>
        <v>0</v>
      </c>
      <c r="CV93" s="197">
        <f>'Energy margins'!$E$12</f>
        <v>72</v>
      </c>
      <c r="CW93" s="197">
        <f t="shared" si="265"/>
        <v>0</v>
      </c>
      <c r="CX93" s="197">
        <f>'Margins summary'!$Q$14</f>
        <v>175.95</v>
      </c>
      <c r="CY93" s="197">
        <f t="shared" si="243"/>
        <v>175.95</v>
      </c>
      <c r="CZ93" s="197"/>
      <c r="DA93" s="918">
        <f>'Energy NPV'!U18</f>
        <v>45.561599999999999</v>
      </c>
      <c r="DB93" s="197"/>
      <c r="DC93" s="197">
        <f t="shared" si="244"/>
        <v>0</v>
      </c>
      <c r="DD93" s="197">
        <f t="shared" si="210"/>
        <v>0</v>
      </c>
      <c r="DE93" s="197">
        <f t="shared" si="211"/>
        <v>175.95</v>
      </c>
      <c r="DF93" s="196">
        <f t="shared" si="245"/>
        <v>0</v>
      </c>
      <c r="DG93" s="197">
        <f t="shared" si="246"/>
        <v>144.61807443430789</v>
      </c>
      <c r="DH93" s="197">
        <f t="shared" si="247"/>
        <v>0</v>
      </c>
      <c r="DI93" s="197">
        <f t="shared" si="248"/>
        <v>0</v>
      </c>
      <c r="DJ93" s="199">
        <f t="shared" si="249"/>
        <v>144.61807443430789</v>
      </c>
      <c r="DK93" s="196">
        <f t="shared" si="266"/>
        <v>1920.2321347291761</v>
      </c>
      <c r="DL93" s="197">
        <f t="shared" si="250"/>
        <v>959.24813914230128</v>
      </c>
      <c r="DM93" s="197">
        <f t="shared" si="250"/>
        <v>0</v>
      </c>
      <c r="DN93" s="197">
        <f t="shared" si="250"/>
        <v>1920.2321347291761</v>
      </c>
      <c r="DO93" s="199">
        <f t="shared" si="250"/>
        <v>2879.480273871477</v>
      </c>
    </row>
    <row r="94" spans="2:119" x14ac:dyDescent="0.3">
      <c r="B94" s="204">
        <f t="shared" si="251"/>
        <v>7</v>
      </c>
      <c r="C94" s="759">
        <f>'Energy NPV'!$D19</f>
        <v>30</v>
      </c>
      <c r="D94" s="197">
        <f>'Energy margins'!$E$12</f>
        <v>72</v>
      </c>
      <c r="E94" s="197">
        <f t="shared" si="252"/>
        <v>2160</v>
      </c>
      <c r="F94" s="197">
        <f>'Margins summary'!$Q$14</f>
        <v>175.95</v>
      </c>
      <c r="G94" s="197">
        <f t="shared" si="212"/>
        <v>2335.9499999999998</v>
      </c>
      <c r="H94" s="197"/>
      <c r="I94" s="918">
        <f>'Energy NPV'!U19</f>
        <v>704.85838399999989</v>
      </c>
      <c r="J94" s="197"/>
      <c r="K94" s="197">
        <f t="shared" si="213"/>
        <v>704.85838399999989</v>
      </c>
      <c r="L94" s="197">
        <f t="shared" si="202"/>
        <v>1455.1416160000001</v>
      </c>
      <c r="M94" s="197">
        <f t="shared" si="203"/>
        <v>1631.0916159999999</v>
      </c>
      <c r="N94" s="196">
        <f t="shared" si="214"/>
        <v>1707.0793755771147</v>
      </c>
      <c r="O94" s="197">
        <f t="shared" si="215"/>
        <v>139.05584080221914</v>
      </c>
      <c r="P94" s="197">
        <f t="shared" si="216"/>
        <v>557.05981945787687</v>
      </c>
      <c r="Q94" s="197">
        <f t="shared" si="217"/>
        <v>1150.0195561192379</v>
      </c>
      <c r="R94" s="199">
        <f t="shared" si="218"/>
        <v>1289.0753969214568</v>
      </c>
      <c r="S94" s="196">
        <f t="shared" si="253"/>
        <v>3627.311510306291</v>
      </c>
      <c r="T94" s="197">
        <f t="shared" si="219"/>
        <v>1098.3039799445205</v>
      </c>
      <c r="U94" s="197">
        <f t="shared" si="219"/>
        <v>4057.4298902590021</v>
      </c>
      <c r="V94" s="197">
        <f t="shared" si="219"/>
        <v>-430.11837995271094</v>
      </c>
      <c r="W94" s="199">
        <f t="shared" si="219"/>
        <v>668.185599991809</v>
      </c>
      <c r="X94" s="197"/>
      <c r="Z94" s="204">
        <f t="shared" si="254"/>
        <v>7</v>
      </c>
      <c r="AA94" s="759">
        <f>'Energy NPV'!$D19</f>
        <v>30</v>
      </c>
      <c r="AB94" s="197">
        <f>'Energy margins'!$E$12</f>
        <v>72</v>
      </c>
      <c r="AC94" s="197">
        <f t="shared" si="255"/>
        <v>2160</v>
      </c>
      <c r="AD94" s="197">
        <f>'Margins summary'!$Q$14</f>
        <v>175.95</v>
      </c>
      <c r="AE94" s="197">
        <f t="shared" si="220"/>
        <v>2335.9499999999998</v>
      </c>
      <c r="AF94" s="197"/>
      <c r="AG94" s="918">
        <f>'Energy NPV'!U19</f>
        <v>704.85838399999989</v>
      </c>
      <c r="AH94" s="197"/>
      <c r="AI94" s="197">
        <f t="shared" si="256"/>
        <v>1057.2875759999997</v>
      </c>
      <c r="AJ94" s="197">
        <f t="shared" si="204"/>
        <v>1102.7124240000003</v>
      </c>
      <c r="AK94" s="197">
        <f t="shared" si="205"/>
        <v>1278.6624240000001</v>
      </c>
      <c r="AL94" s="196">
        <f t="shared" si="221"/>
        <v>1707.0793755771147</v>
      </c>
      <c r="AM94" s="197">
        <f t="shared" si="222"/>
        <v>139.05584080221914</v>
      </c>
      <c r="AN94" s="197">
        <f t="shared" si="223"/>
        <v>835.58972918681513</v>
      </c>
      <c r="AO94" s="197">
        <f t="shared" si="224"/>
        <v>871.48964639029953</v>
      </c>
      <c r="AP94" s="199">
        <f t="shared" si="225"/>
        <v>1010.5454871925185</v>
      </c>
      <c r="AQ94" s="196">
        <f t="shared" si="257"/>
        <v>3627.311510306291</v>
      </c>
      <c r="AR94" s="197">
        <f t="shared" si="226"/>
        <v>1098.3039799445205</v>
      </c>
      <c r="AS94" s="197">
        <f t="shared" si="226"/>
        <v>6086.1448353885007</v>
      </c>
      <c r="AT94" s="197">
        <f t="shared" si="226"/>
        <v>-2458.8333250822106</v>
      </c>
      <c r="AU94" s="199">
        <f t="shared" si="226"/>
        <v>-1360.5293451376911</v>
      </c>
      <c r="AV94" s="197"/>
      <c r="AX94" s="204">
        <f t="shared" si="258"/>
        <v>7</v>
      </c>
      <c r="AY94" s="759">
        <f>'Energy NPV'!$D19</f>
        <v>30</v>
      </c>
      <c r="AZ94" s="197">
        <f>'Energy margins'!$E$12</f>
        <v>72</v>
      </c>
      <c r="BA94" s="197">
        <f t="shared" si="259"/>
        <v>2160</v>
      </c>
      <c r="BB94" s="197">
        <f>'Margins summary'!$Q$14</f>
        <v>175.95</v>
      </c>
      <c r="BC94" s="197">
        <f t="shared" si="227"/>
        <v>2335.9499999999998</v>
      </c>
      <c r="BD94" s="197"/>
      <c r="BE94" s="918">
        <f>'Energy NPV'!U19</f>
        <v>704.85838399999989</v>
      </c>
      <c r="BF94" s="197"/>
      <c r="BG94" s="197">
        <f t="shared" si="228"/>
        <v>352.42919199999994</v>
      </c>
      <c r="BH94" s="197">
        <f t="shared" si="206"/>
        <v>1807.5708079999999</v>
      </c>
      <c r="BI94" s="197">
        <f t="shared" si="207"/>
        <v>1983.5208079999998</v>
      </c>
      <c r="BJ94" s="196">
        <f t="shared" si="229"/>
        <v>1707.0793755771147</v>
      </c>
      <c r="BK94" s="197">
        <f t="shared" si="230"/>
        <v>139.05584080221914</v>
      </c>
      <c r="BL94" s="197">
        <f t="shared" si="231"/>
        <v>278.52990972893843</v>
      </c>
      <c r="BM94" s="197">
        <f t="shared" si="232"/>
        <v>1428.5494658481762</v>
      </c>
      <c r="BN94" s="199">
        <f t="shared" si="233"/>
        <v>1567.6053066503953</v>
      </c>
      <c r="BO94" s="196">
        <f t="shared" si="260"/>
        <v>3627.311510306291</v>
      </c>
      <c r="BP94" s="197">
        <f t="shared" si="234"/>
        <v>1098.3039799445205</v>
      </c>
      <c r="BQ94" s="197">
        <f t="shared" si="234"/>
        <v>2028.7149451295011</v>
      </c>
      <c r="BR94" s="197">
        <f t="shared" si="234"/>
        <v>1598.5965651767897</v>
      </c>
      <c r="BS94" s="199">
        <f t="shared" si="234"/>
        <v>2696.9005451213097</v>
      </c>
      <c r="BT94" s="197"/>
      <c r="BV94" s="204">
        <f t="shared" si="261"/>
        <v>7</v>
      </c>
      <c r="BW94" s="759">
        <f>'Energy NPV'!$D19</f>
        <v>30</v>
      </c>
      <c r="BX94" s="197">
        <f>'Energy margins'!$E$12</f>
        <v>72</v>
      </c>
      <c r="BY94" s="197">
        <f t="shared" si="262"/>
        <v>2160</v>
      </c>
      <c r="BZ94" s="197">
        <f>'Margins summary'!$Q$14</f>
        <v>175.95</v>
      </c>
      <c r="CA94" s="197">
        <f t="shared" si="235"/>
        <v>2335.9499999999998</v>
      </c>
      <c r="CB94" s="197"/>
      <c r="CC94" s="918">
        <f>'Energy NPV'!U19</f>
        <v>704.85838399999989</v>
      </c>
      <c r="CD94" s="197"/>
      <c r="CE94" s="197">
        <f t="shared" si="236"/>
        <v>1409.7167679999998</v>
      </c>
      <c r="CF94" s="197">
        <f t="shared" si="208"/>
        <v>750.28323200000023</v>
      </c>
      <c r="CG94" s="197">
        <f t="shared" si="209"/>
        <v>926.23323200000004</v>
      </c>
      <c r="CH94" s="196">
        <f t="shared" si="237"/>
        <v>1707.0793755771147</v>
      </c>
      <c r="CI94" s="197">
        <f t="shared" si="238"/>
        <v>139.05584080221914</v>
      </c>
      <c r="CJ94" s="197">
        <f t="shared" si="239"/>
        <v>1114.1196389157537</v>
      </c>
      <c r="CK94" s="197">
        <f t="shared" si="240"/>
        <v>592.95973666136103</v>
      </c>
      <c r="CL94" s="199">
        <f t="shared" si="241"/>
        <v>732.01557746358003</v>
      </c>
      <c r="CM94" s="196">
        <f t="shared" si="263"/>
        <v>3627.311510306291</v>
      </c>
      <c r="CN94" s="197">
        <f t="shared" si="242"/>
        <v>1098.3039799445205</v>
      </c>
      <c r="CO94" s="197">
        <f t="shared" si="242"/>
        <v>8114.8597805180043</v>
      </c>
      <c r="CP94" s="197">
        <f t="shared" si="242"/>
        <v>-4487.5482702117133</v>
      </c>
      <c r="CQ94" s="199">
        <f t="shared" si="242"/>
        <v>-3389.2442902671924</v>
      </c>
      <c r="CR94" s="197"/>
      <c r="CT94" s="204">
        <f t="shared" si="264"/>
        <v>7</v>
      </c>
      <c r="CU94" s="759">
        <f>'Energy NPV'!$D19</f>
        <v>30</v>
      </c>
      <c r="CV94" s="197">
        <f>'Energy margins'!$E$12</f>
        <v>72</v>
      </c>
      <c r="CW94" s="197">
        <f t="shared" si="265"/>
        <v>2160</v>
      </c>
      <c r="CX94" s="197">
        <f>'Margins summary'!$Q$14</f>
        <v>175.95</v>
      </c>
      <c r="CY94" s="197">
        <f t="shared" si="243"/>
        <v>2335.9499999999998</v>
      </c>
      <c r="CZ94" s="197"/>
      <c r="DA94" s="918">
        <f>'Energy NPV'!U19</f>
        <v>704.85838399999989</v>
      </c>
      <c r="DB94" s="197"/>
      <c r="DC94" s="197">
        <f t="shared" si="244"/>
        <v>0</v>
      </c>
      <c r="DD94" s="197">
        <f t="shared" si="210"/>
        <v>2160</v>
      </c>
      <c r="DE94" s="197">
        <f t="shared" si="211"/>
        <v>2335.9499999999998</v>
      </c>
      <c r="DF94" s="196">
        <f t="shared" si="245"/>
        <v>1707.0793755771147</v>
      </c>
      <c r="DG94" s="197">
        <f t="shared" si="246"/>
        <v>139.05584080221914</v>
      </c>
      <c r="DH94" s="197">
        <f t="shared" si="247"/>
        <v>0</v>
      </c>
      <c r="DI94" s="197">
        <f t="shared" si="248"/>
        <v>1707.0793755771147</v>
      </c>
      <c r="DJ94" s="199">
        <f t="shared" si="249"/>
        <v>1846.1352163793338</v>
      </c>
      <c r="DK94" s="196">
        <f t="shared" si="266"/>
        <v>3627.311510306291</v>
      </c>
      <c r="DL94" s="197">
        <f t="shared" si="250"/>
        <v>1098.3039799445205</v>
      </c>
      <c r="DM94" s="197">
        <f t="shared" si="250"/>
        <v>0</v>
      </c>
      <c r="DN94" s="197">
        <f t="shared" si="250"/>
        <v>3627.311510306291</v>
      </c>
      <c r="DO94" s="199">
        <f t="shared" si="250"/>
        <v>4725.6154902508106</v>
      </c>
    </row>
    <row r="95" spans="2:119" x14ac:dyDescent="0.3">
      <c r="B95" s="204">
        <f t="shared" si="251"/>
        <v>8</v>
      </c>
      <c r="C95" s="759">
        <f>'Energy NPV'!$D20</f>
        <v>0</v>
      </c>
      <c r="D95" s="197">
        <f>'Energy margins'!$E$12</f>
        <v>72</v>
      </c>
      <c r="E95" s="197">
        <f t="shared" si="252"/>
        <v>0</v>
      </c>
      <c r="F95" s="197">
        <f>'Margins summary'!$Q$14</f>
        <v>175.95</v>
      </c>
      <c r="G95" s="197">
        <f t="shared" si="212"/>
        <v>175.95</v>
      </c>
      <c r="H95" s="197"/>
      <c r="I95" s="918">
        <f>'Energy NPV'!U20</f>
        <v>45.561599999999999</v>
      </c>
      <c r="J95" s="197"/>
      <c r="K95" s="197">
        <f t="shared" si="213"/>
        <v>45.561599999999999</v>
      </c>
      <c r="L95" s="197">
        <f t="shared" si="202"/>
        <v>-45.561599999999999</v>
      </c>
      <c r="M95" s="197">
        <f t="shared" si="203"/>
        <v>130.38839999999999</v>
      </c>
      <c r="N95" s="196">
        <f t="shared" si="214"/>
        <v>0</v>
      </c>
      <c r="O95" s="197">
        <f t="shared" si="215"/>
        <v>133.70753923290303</v>
      </c>
      <c r="P95" s="197">
        <f t="shared" si="216"/>
        <v>34.623071437987122</v>
      </c>
      <c r="Q95" s="197">
        <f t="shared" si="217"/>
        <v>-34.623071437987122</v>
      </c>
      <c r="R95" s="199">
        <f t="shared" si="218"/>
        <v>99.084467794915895</v>
      </c>
      <c r="S95" s="196">
        <f t="shared" si="253"/>
        <v>3627.311510306291</v>
      </c>
      <c r="T95" s="197">
        <f t="shared" si="219"/>
        <v>1232.0115191774235</v>
      </c>
      <c r="U95" s="197">
        <f t="shared" si="219"/>
        <v>4092.0529616969893</v>
      </c>
      <c r="V95" s="197">
        <f t="shared" si="219"/>
        <v>-464.74145139069805</v>
      </c>
      <c r="W95" s="199">
        <f t="shared" si="219"/>
        <v>767.27006778672489</v>
      </c>
      <c r="X95" s="197"/>
      <c r="Z95" s="204">
        <f t="shared" si="254"/>
        <v>8</v>
      </c>
      <c r="AA95" s="759">
        <f>'Energy NPV'!$D20</f>
        <v>0</v>
      </c>
      <c r="AB95" s="197">
        <f>'Energy margins'!$E$12</f>
        <v>72</v>
      </c>
      <c r="AC95" s="197">
        <f t="shared" si="255"/>
        <v>0</v>
      </c>
      <c r="AD95" s="197">
        <f>'Margins summary'!$Q$14</f>
        <v>175.95</v>
      </c>
      <c r="AE95" s="197">
        <f t="shared" si="220"/>
        <v>175.95</v>
      </c>
      <c r="AF95" s="197"/>
      <c r="AG95" s="918">
        <f>'Energy NPV'!U20</f>
        <v>45.561599999999999</v>
      </c>
      <c r="AH95" s="197"/>
      <c r="AI95" s="197">
        <f t="shared" si="256"/>
        <v>68.342399999999998</v>
      </c>
      <c r="AJ95" s="197">
        <f t="shared" si="204"/>
        <v>-68.342399999999998</v>
      </c>
      <c r="AK95" s="197">
        <f t="shared" si="205"/>
        <v>107.60759999999999</v>
      </c>
      <c r="AL95" s="196">
        <f t="shared" si="221"/>
        <v>0</v>
      </c>
      <c r="AM95" s="197">
        <f t="shared" si="222"/>
        <v>133.70753923290303</v>
      </c>
      <c r="AN95" s="197">
        <f t="shared" si="223"/>
        <v>51.93460715698069</v>
      </c>
      <c r="AO95" s="197">
        <f t="shared" si="224"/>
        <v>-51.93460715698069</v>
      </c>
      <c r="AP95" s="199">
        <f t="shared" si="225"/>
        <v>81.772932075922341</v>
      </c>
      <c r="AQ95" s="196">
        <f t="shared" si="257"/>
        <v>3627.311510306291</v>
      </c>
      <c r="AR95" s="197">
        <f t="shared" si="226"/>
        <v>1232.0115191774235</v>
      </c>
      <c r="AS95" s="197">
        <f t="shared" si="226"/>
        <v>6138.0794425454815</v>
      </c>
      <c r="AT95" s="197">
        <f t="shared" si="226"/>
        <v>-2510.7679322391914</v>
      </c>
      <c r="AU95" s="199">
        <f t="shared" si="226"/>
        <v>-1278.7564130617686</v>
      </c>
      <c r="AV95" s="197"/>
      <c r="AX95" s="204">
        <f t="shared" si="258"/>
        <v>8</v>
      </c>
      <c r="AY95" s="759">
        <f>'Energy NPV'!$D20</f>
        <v>0</v>
      </c>
      <c r="AZ95" s="197">
        <f>'Energy margins'!$E$12</f>
        <v>72</v>
      </c>
      <c r="BA95" s="197">
        <f t="shared" si="259"/>
        <v>0</v>
      </c>
      <c r="BB95" s="197">
        <f>'Margins summary'!$Q$14</f>
        <v>175.95</v>
      </c>
      <c r="BC95" s="197">
        <f t="shared" si="227"/>
        <v>175.95</v>
      </c>
      <c r="BD95" s="197"/>
      <c r="BE95" s="918">
        <f>'Energy NPV'!U20</f>
        <v>45.561599999999999</v>
      </c>
      <c r="BF95" s="197"/>
      <c r="BG95" s="197">
        <f t="shared" si="228"/>
        <v>22.780799999999999</v>
      </c>
      <c r="BH95" s="197">
        <f t="shared" si="206"/>
        <v>-22.780799999999999</v>
      </c>
      <c r="BI95" s="197">
        <f t="shared" si="207"/>
        <v>153.16919999999999</v>
      </c>
      <c r="BJ95" s="196">
        <f t="shared" si="229"/>
        <v>0</v>
      </c>
      <c r="BK95" s="197">
        <f t="shared" si="230"/>
        <v>133.70753923290303</v>
      </c>
      <c r="BL95" s="197">
        <f t="shared" si="231"/>
        <v>17.311535718993561</v>
      </c>
      <c r="BM95" s="197">
        <f t="shared" si="232"/>
        <v>-17.311535718993561</v>
      </c>
      <c r="BN95" s="199">
        <f t="shared" si="233"/>
        <v>116.39600351390946</v>
      </c>
      <c r="BO95" s="196">
        <f t="shared" si="260"/>
        <v>3627.311510306291</v>
      </c>
      <c r="BP95" s="197">
        <f t="shared" si="234"/>
        <v>1232.0115191774235</v>
      </c>
      <c r="BQ95" s="197">
        <f t="shared" si="234"/>
        <v>2046.0264808484947</v>
      </c>
      <c r="BR95" s="197">
        <f t="shared" si="234"/>
        <v>1581.2850294577961</v>
      </c>
      <c r="BS95" s="199">
        <f t="shared" si="234"/>
        <v>2813.2965486352191</v>
      </c>
      <c r="BT95" s="197"/>
      <c r="BV95" s="204">
        <f t="shared" si="261"/>
        <v>8</v>
      </c>
      <c r="BW95" s="759">
        <f>'Energy NPV'!$D20</f>
        <v>0</v>
      </c>
      <c r="BX95" s="197">
        <f>'Energy margins'!$E$12</f>
        <v>72</v>
      </c>
      <c r="BY95" s="197">
        <f t="shared" si="262"/>
        <v>0</v>
      </c>
      <c r="BZ95" s="197">
        <f>'Margins summary'!$Q$14</f>
        <v>175.95</v>
      </c>
      <c r="CA95" s="197">
        <f t="shared" si="235"/>
        <v>175.95</v>
      </c>
      <c r="CB95" s="197"/>
      <c r="CC95" s="918">
        <f>'Energy NPV'!U20</f>
        <v>45.561599999999999</v>
      </c>
      <c r="CD95" s="197"/>
      <c r="CE95" s="197">
        <f t="shared" si="236"/>
        <v>91.123199999999997</v>
      </c>
      <c r="CF95" s="197">
        <f t="shared" si="208"/>
        <v>-91.123199999999997</v>
      </c>
      <c r="CG95" s="197">
        <f t="shared" si="209"/>
        <v>84.826799999999992</v>
      </c>
      <c r="CH95" s="196">
        <f t="shared" si="237"/>
        <v>0</v>
      </c>
      <c r="CI95" s="197">
        <f t="shared" si="238"/>
        <v>133.70753923290303</v>
      </c>
      <c r="CJ95" s="197">
        <f t="shared" si="239"/>
        <v>69.246142875974243</v>
      </c>
      <c r="CK95" s="197">
        <f t="shared" si="240"/>
        <v>-69.246142875974243</v>
      </c>
      <c r="CL95" s="199">
        <f t="shared" si="241"/>
        <v>64.461396356928773</v>
      </c>
      <c r="CM95" s="196">
        <f t="shared" si="263"/>
        <v>3627.311510306291</v>
      </c>
      <c r="CN95" s="197">
        <f t="shared" si="242"/>
        <v>1232.0115191774235</v>
      </c>
      <c r="CO95" s="197">
        <f t="shared" si="242"/>
        <v>8184.1059233939786</v>
      </c>
      <c r="CP95" s="197">
        <f t="shared" si="242"/>
        <v>-4556.7944130876876</v>
      </c>
      <c r="CQ95" s="199">
        <f t="shared" si="242"/>
        <v>-3324.7828939102637</v>
      </c>
      <c r="CR95" s="197"/>
      <c r="CT95" s="204">
        <f t="shared" si="264"/>
        <v>8</v>
      </c>
      <c r="CU95" s="759">
        <f>'Energy NPV'!$D20</f>
        <v>0</v>
      </c>
      <c r="CV95" s="197">
        <f>'Energy margins'!$E$12</f>
        <v>72</v>
      </c>
      <c r="CW95" s="197">
        <f t="shared" si="265"/>
        <v>0</v>
      </c>
      <c r="CX95" s="197">
        <f>'Margins summary'!$Q$14</f>
        <v>175.95</v>
      </c>
      <c r="CY95" s="197">
        <f t="shared" si="243"/>
        <v>175.95</v>
      </c>
      <c r="CZ95" s="197"/>
      <c r="DA95" s="918">
        <f>'Energy NPV'!U20</f>
        <v>45.561599999999999</v>
      </c>
      <c r="DB95" s="197"/>
      <c r="DC95" s="197">
        <f t="shared" si="244"/>
        <v>0</v>
      </c>
      <c r="DD95" s="197">
        <f t="shared" si="210"/>
        <v>0</v>
      </c>
      <c r="DE95" s="197">
        <f t="shared" si="211"/>
        <v>175.95</v>
      </c>
      <c r="DF95" s="196">
        <f t="shared" si="245"/>
        <v>0</v>
      </c>
      <c r="DG95" s="197">
        <f t="shared" si="246"/>
        <v>133.70753923290303</v>
      </c>
      <c r="DH95" s="197">
        <f t="shared" si="247"/>
        <v>0</v>
      </c>
      <c r="DI95" s="197">
        <f t="shared" si="248"/>
        <v>0</v>
      </c>
      <c r="DJ95" s="199">
        <f t="shared" si="249"/>
        <v>133.70753923290303</v>
      </c>
      <c r="DK95" s="196">
        <f t="shared" si="266"/>
        <v>3627.311510306291</v>
      </c>
      <c r="DL95" s="197">
        <f t="shared" si="250"/>
        <v>1232.0115191774235</v>
      </c>
      <c r="DM95" s="197">
        <f t="shared" si="250"/>
        <v>0</v>
      </c>
      <c r="DN95" s="197">
        <f t="shared" si="250"/>
        <v>3627.311510306291</v>
      </c>
      <c r="DO95" s="199">
        <f t="shared" si="250"/>
        <v>4859.323029483714</v>
      </c>
    </row>
    <row r="96" spans="2:119" x14ac:dyDescent="0.3">
      <c r="B96" s="204">
        <f t="shared" si="251"/>
        <v>9</v>
      </c>
      <c r="C96" s="759">
        <f>'Energy NPV'!$D21</f>
        <v>0</v>
      </c>
      <c r="D96" s="197">
        <f>'Energy margins'!$E$12</f>
        <v>72</v>
      </c>
      <c r="E96" s="197">
        <f t="shared" si="252"/>
        <v>0</v>
      </c>
      <c r="F96" s="197">
        <f>'Margins summary'!$Q$14</f>
        <v>175.95</v>
      </c>
      <c r="G96" s="197">
        <f t="shared" si="212"/>
        <v>175.95</v>
      </c>
      <c r="H96" s="197"/>
      <c r="I96" s="918">
        <f>'Energy NPV'!U21</f>
        <v>45.561599999999999</v>
      </c>
      <c r="J96" s="197"/>
      <c r="K96" s="197">
        <f t="shared" si="213"/>
        <v>45.561599999999999</v>
      </c>
      <c r="L96" s="197">
        <f t="shared" si="202"/>
        <v>-45.561599999999999</v>
      </c>
      <c r="M96" s="197">
        <f t="shared" si="203"/>
        <v>130.38839999999999</v>
      </c>
      <c r="N96" s="196">
        <f t="shared" si="214"/>
        <v>0</v>
      </c>
      <c r="O96" s="197">
        <f t="shared" si="215"/>
        <v>128.56494157009902</v>
      </c>
      <c r="P96" s="197">
        <f t="shared" si="216"/>
        <v>33.29141484421838</v>
      </c>
      <c r="Q96" s="197">
        <f t="shared" si="217"/>
        <v>-33.29141484421838</v>
      </c>
      <c r="R96" s="199">
        <f t="shared" si="218"/>
        <v>95.273526725880657</v>
      </c>
      <c r="S96" s="196">
        <f t="shared" si="253"/>
        <v>3627.311510306291</v>
      </c>
      <c r="T96" s="197">
        <f t="shared" si="219"/>
        <v>1360.5764607475226</v>
      </c>
      <c r="U96" s="197">
        <f t="shared" si="219"/>
        <v>4125.3443765412076</v>
      </c>
      <c r="V96" s="197">
        <f t="shared" si="219"/>
        <v>-498.03286623491641</v>
      </c>
      <c r="W96" s="199">
        <f t="shared" si="219"/>
        <v>862.54359451260552</v>
      </c>
      <c r="X96" s="197"/>
      <c r="Z96" s="204">
        <f t="shared" si="254"/>
        <v>9</v>
      </c>
      <c r="AA96" s="759">
        <f>'Energy NPV'!$D21</f>
        <v>0</v>
      </c>
      <c r="AB96" s="197">
        <f>'Energy margins'!$E$12</f>
        <v>72</v>
      </c>
      <c r="AC96" s="197">
        <f t="shared" si="255"/>
        <v>0</v>
      </c>
      <c r="AD96" s="197">
        <f>'Margins summary'!$Q$14</f>
        <v>175.95</v>
      </c>
      <c r="AE96" s="197">
        <f t="shared" si="220"/>
        <v>175.95</v>
      </c>
      <c r="AF96" s="197"/>
      <c r="AG96" s="918">
        <f>'Energy NPV'!U21</f>
        <v>45.561599999999999</v>
      </c>
      <c r="AH96" s="197"/>
      <c r="AI96" s="197">
        <f t="shared" si="256"/>
        <v>68.342399999999998</v>
      </c>
      <c r="AJ96" s="197">
        <f t="shared" si="204"/>
        <v>-68.342399999999998</v>
      </c>
      <c r="AK96" s="197">
        <f t="shared" si="205"/>
        <v>107.60759999999999</v>
      </c>
      <c r="AL96" s="196">
        <f t="shared" si="221"/>
        <v>0</v>
      </c>
      <c r="AM96" s="197">
        <f t="shared" si="222"/>
        <v>128.56494157009902</v>
      </c>
      <c r="AN96" s="197">
        <f t="shared" si="223"/>
        <v>49.937122266327577</v>
      </c>
      <c r="AO96" s="197">
        <f t="shared" si="224"/>
        <v>-49.937122266327577</v>
      </c>
      <c r="AP96" s="199">
        <f t="shared" si="225"/>
        <v>78.62781930377146</v>
      </c>
      <c r="AQ96" s="196">
        <f t="shared" si="257"/>
        <v>3627.311510306291</v>
      </c>
      <c r="AR96" s="197">
        <f t="shared" si="226"/>
        <v>1360.5764607475226</v>
      </c>
      <c r="AS96" s="197">
        <f t="shared" si="226"/>
        <v>6188.0165648118091</v>
      </c>
      <c r="AT96" s="197">
        <f t="shared" si="226"/>
        <v>-2560.705054505519</v>
      </c>
      <c r="AU96" s="199">
        <f t="shared" si="226"/>
        <v>-1200.1285937579971</v>
      </c>
      <c r="AV96" s="197"/>
      <c r="AX96" s="204">
        <f t="shared" si="258"/>
        <v>9</v>
      </c>
      <c r="AY96" s="759">
        <f>'Energy NPV'!$D21</f>
        <v>0</v>
      </c>
      <c r="AZ96" s="197">
        <f>'Energy margins'!$E$12</f>
        <v>72</v>
      </c>
      <c r="BA96" s="197">
        <f t="shared" si="259"/>
        <v>0</v>
      </c>
      <c r="BB96" s="197">
        <f>'Margins summary'!$Q$14</f>
        <v>175.95</v>
      </c>
      <c r="BC96" s="197">
        <f t="shared" si="227"/>
        <v>175.95</v>
      </c>
      <c r="BD96" s="197"/>
      <c r="BE96" s="918">
        <f>'Energy NPV'!U21</f>
        <v>45.561599999999999</v>
      </c>
      <c r="BF96" s="197"/>
      <c r="BG96" s="197">
        <f t="shared" si="228"/>
        <v>22.780799999999999</v>
      </c>
      <c r="BH96" s="197">
        <f t="shared" si="206"/>
        <v>-22.780799999999999</v>
      </c>
      <c r="BI96" s="197">
        <f t="shared" si="207"/>
        <v>153.16919999999999</v>
      </c>
      <c r="BJ96" s="196">
        <f t="shared" si="229"/>
        <v>0</v>
      </c>
      <c r="BK96" s="197">
        <f t="shared" si="230"/>
        <v>128.56494157009902</v>
      </c>
      <c r="BL96" s="197">
        <f t="shared" si="231"/>
        <v>16.64570742210919</v>
      </c>
      <c r="BM96" s="197">
        <f t="shared" si="232"/>
        <v>-16.64570742210919</v>
      </c>
      <c r="BN96" s="199">
        <f t="shared" si="233"/>
        <v>111.91923414798984</v>
      </c>
      <c r="BO96" s="196">
        <f t="shared" si="260"/>
        <v>3627.311510306291</v>
      </c>
      <c r="BP96" s="197">
        <f t="shared" si="234"/>
        <v>1360.5764607475226</v>
      </c>
      <c r="BQ96" s="197">
        <f t="shared" si="234"/>
        <v>2062.6721882706038</v>
      </c>
      <c r="BR96" s="197">
        <f t="shared" si="234"/>
        <v>1564.639322035687</v>
      </c>
      <c r="BS96" s="199">
        <f t="shared" si="234"/>
        <v>2925.2157827832089</v>
      </c>
      <c r="BT96" s="197"/>
      <c r="BV96" s="204">
        <f t="shared" si="261"/>
        <v>9</v>
      </c>
      <c r="BW96" s="759">
        <f>'Energy NPV'!$D21</f>
        <v>0</v>
      </c>
      <c r="BX96" s="197">
        <f>'Energy margins'!$E$12</f>
        <v>72</v>
      </c>
      <c r="BY96" s="197">
        <f t="shared" si="262"/>
        <v>0</v>
      </c>
      <c r="BZ96" s="197">
        <f>'Margins summary'!$Q$14</f>
        <v>175.95</v>
      </c>
      <c r="CA96" s="197">
        <f t="shared" si="235"/>
        <v>175.95</v>
      </c>
      <c r="CB96" s="197"/>
      <c r="CC96" s="918">
        <f>'Energy NPV'!U21</f>
        <v>45.561599999999999</v>
      </c>
      <c r="CD96" s="197"/>
      <c r="CE96" s="197">
        <f t="shared" si="236"/>
        <v>91.123199999999997</v>
      </c>
      <c r="CF96" s="197">
        <f t="shared" si="208"/>
        <v>-91.123199999999997</v>
      </c>
      <c r="CG96" s="197">
        <f t="shared" si="209"/>
        <v>84.826799999999992</v>
      </c>
      <c r="CH96" s="196">
        <f t="shared" si="237"/>
        <v>0</v>
      </c>
      <c r="CI96" s="197">
        <f t="shared" si="238"/>
        <v>128.56494157009902</v>
      </c>
      <c r="CJ96" s="197">
        <f t="shared" si="239"/>
        <v>66.58282968843676</v>
      </c>
      <c r="CK96" s="197">
        <f t="shared" si="240"/>
        <v>-66.58282968843676</v>
      </c>
      <c r="CL96" s="199">
        <f t="shared" si="241"/>
        <v>61.98211188166227</v>
      </c>
      <c r="CM96" s="196">
        <f t="shared" si="263"/>
        <v>3627.311510306291</v>
      </c>
      <c r="CN96" s="197">
        <f t="shared" si="242"/>
        <v>1360.5764607475226</v>
      </c>
      <c r="CO96" s="197">
        <f t="shared" si="242"/>
        <v>8250.6887530824151</v>
      </c>
      <c r="CP96" s="197">
        <f t="shared" si="242"/>
        <v>-4623.3772427761241</v>
      </c>
      <c r="CQ96" s="199">
        <f t="shared" si="242"/>
        <v>-3262.8007820286016</v>
      </c>
      <c r="CR96" s="197"/>
      <c r="CT96" s="204">
        <f t="shared" si="264"/>
        <v>9</v>
      </c>
      <c r="CU96" s="759">
        <f>'Energy NPV'!$D21</f>
        <v>0</v>
      </c>
      <c r="CV96" s="197">
        <f>'Energy margins'!$E$12</f>
        <v>72</v>
      </c>
      <c r="CW96" s="197">
        <f t="shared" si="265"/>
        <v>0</v>
      </c>
      <c r="CX96" s="197">
        <f>'Margins summary'!$Q$14</f>
        <v>175.95</v>
      </c>
      <c r="CY96" s="197">
        <f t="shared" si="243"/>
        <v>175.95</v>
      </c>
      <c r="CZ96" s="197"/>
      <c r="DA96" s="918">
        <f>'Energy NPV'!U21</f>
        <v>45.561599999999999</v>
      </c>
      <c r="DB96" s="197"/>
      <c r="DC96" s="197">
        <f t="shared" si="244"/>
        <v>0</v>
      </c>
      <c r="DD96" s="197">
        <f t="shared" si="210"/>
        <v>0</v>
      </c>
      <c r="DE96" s="197">
        <f t="shared" si="211"/>
        <v>175.95</v>
      </c>
      <c r="DF96" s="196">
        <f t="shared" si="245"/>
        <v>0</v>
      </c>
      <c r="DG96" s="197">
        <f t="shared" si="246"/>
        <v>128.56494157009902</v>
      </c>
      <c r="DH96" s="197">
        <f t="shared" si="247"/>
        <v>0</v>
      </c>
      <c r="DI96" s="197">
        <f t="shared" si="248"/>
        <v>0</v>
      </c>
      <c r="DJ96" s="199">
        <f t="shared" si="249"/>
        <v>128.56494157009902</v>
      </c>
      <c r="DK96" s="196">
        <f t="shared" si="266"/>
        <v>3627.311510306291</v>
      </c>
      <c r="DL96" s="197">
        <f t="shared" si="250"/>
        <v>1360.5764607475226</v>
      </c>
      <c r="DM96" s="197">
        <f t="shared" si="250"/>
        <v>0</v>
      </c>
      <c r="DN96" s="197">
        <f t="shared" si="250"/>
        <v>3627.311510306291</v>
      </c>
      <c r="DO96" s="199">
        <f t="shared" si="250"/>
        <v>4987.8879710538131</v>
      </c>
    </row>
    <row r="97" spans="2:119" x14ac:dyDescent="0.3">
      <c r="B97" s="204">
        <f t="shared" si="251"/>
        <v>10</v>
      </c>
      <c r="C97" s="759">
        <f>'Energy NPV'!$D22</f>
        <v>30</v>
      </c>
      <c r="D97" s="197">
        <f>'Energy margins'!$E$12</f>
        <v>72</v>
      </c>
      <c r="E97" s="197">
        <f t="shared" si="252"/>
        <v>2160</v>
      </c>
      <c r="F97" s="197">
        <f>'Margins summary'!$Q$14</f>
        <v>175.95</v>
      </c>
      <c r="G97" s="197">
        <f t="shared" si="212"/>
        <v>2335.9499999999998</v>
      </c>
      <c r="H97" s="197"/>
      <c r="I97" s="918">
        <f>'Energy NPV'!U22</f>
        <v>704.85838399999989</v>
      </c>
      <c r="J97" s="197"/>
      <c r="K97" s="197">
        <f t="shared" si="213"/>
        <v>704.85838399999989</v>
      </c>
      <c r="L97" s="197">
        <f t="shared" si="202"/>
        <v>1455.1416160000001</v>
      </c>
      <c r="M97" s="197">
        <f t="shared" si="203"/>
        <v>1631.0916159999999</v>
      </c>
      <c r="N97" s="196">
        <f t="shared" si="214"/>
        <v>1517.5873488502739</v>
      </c>
      <c r="O97" s="197">
        <f t="shared" si="215"/>
        <v>123.62013612509521</v>
      </c>
      <c r="P97" s="197">
        <f t="shared" si="216"/>
        <v>495.22415105992968</v>
      </c>
      <c r="Q97" s="197">
        <f t="shared" si="217"/>
        <v>1022.3631977903442</v>
      </c>
      <c r="R97" s="199">
        <f t="shared" si="218"/>
        <v>1145.9833339154393</v>
      </c>
      <c r="S97" s="196">
        <f t="shared" si="253"/>
        <v>5144.8988591565649</v>
      </c>
      <c r="T97" s="197">
        <f t="shared" si="219"/>
        <v>1484.1965968726179</v>
      </c>
      <c r="U97" s="197">
        <f t="shared" si="219"/>
        <v>4620.5685276011372</v>
      </c>
      <c r="V97" s="197">
        <f t="shared" si="219"/>
        <v>524.33033155542785</v>
      </c>
      <c r="W97" s="199">
        <f t="shared" si="219"/>
        <v>2008.5269284280448</v>
      </c>
      <c r="X97" s="197"/>
      <c r="Z97" s="204">
        <f t="shared" si="254"/>
        <v>10</v>
      </c>
      <c r="AA97" s="759">
        <f>'Energy NPV'!$D22</f>
        <v>30</v>
      </c>
      <c r="AB97" s="197">
        <f>'Energy margins'!$E$12</f>
        <v>72</v>
      </c>
      <c r="AC97" s="197">
        <f t="shared" si="255"/>
        <v>2160</v>
      </c>
      <c r="AD97" s="197">
        <f>'Margins summary'!$Q$14</f>
        <v>175.95</v>
      </c>
      <c r="AE97" s="197">
        <f t="shared" si="220"/>
        <v>2335.9499999999998</v>
      </c>
      <c r="AF97" s="197"/>
      <c r="AG97" s="918">
        <f>'Energy NPV'!U22</f>
        <v>704.85838399999989</v>
      </c>
      <c r="AH97" s="197"/>
      <c r="AI97" s="197">
        <f t="shared" si="256"/>
        <v>1057.2875759999997</v>
      </c>
      <c r="AJ97" s="197">
        <f t="shared" si="204"/>
        <v>1102.7124240000003</v>
      </c>
      <c r="AK97" s="197">
        <f t="shared" si="205"/>
        <v>1278.6624240000001</v>
      </c>
      <c r="AL97" s="196">
        <f t="shared" si="221"/>
        <v>1517.5873488502739</v>
      </c>
      <c r="AM97" s="197">
        <f t="shared" si="222"/>
        <v>123.62013612509521</v>
      </c>
      <c r="AN97" s="197">
        <f t="shared" si="223"/>
        <v>742.83622658989441</v>
      </c>
      <c r="AO97" s="197">
        <f t="shared" si="224"/>
        <v>774.75112226037936</v>
      </c>
      <c r="AP97" s="199">
        <f t="shared" si="225"/>
        <v>898.37125838547456</v>
      </c>
      <c r="AQ97" s="196">
        <f t="shared" si="257"/>
        <v>5144.8988591565649</v>
      </c>
      <c r="AR97" s="197">
        <f t="shared" si="226"/>
        <v>1484.1965968726179</v>
      </c>
      <c r="AS97" s="197">
        <f t="shared" si="226"/>
        <v>6930.8527914017031</v>
      </c>
      <c r="AT97" s="197">
        <f t="shared" si="226"/>
        <v>-1785.9539322451396</v>
      </c>
      <c r="AU97" s="199">
        <f t="shared" si="226"/>
        <v>-301.75733537252256</v>
      </c>
      <c r="AV97" s="197"/>
      <c r="AX97" s="204">
        <f t="shared" si="258"/>
        <v>10</v>
      </c>
      <c r="AY97" s="759">
        <f>'Energy NPV'!$D22</f>
        <v>30</v>
      </c>
      <c r="AZ97" s="197">
        <f>'Energy margins'!$E$12</f>
        <v>72</v>
      </c>
      <c r="BA97" s="197">
        <f t="shared" si="259"/>
        <v>2160</v>
      </c>
      <c r="BB97" s="197">
        <f>'Margins summary'!$Q$14</f>
        <v>175.95</v>
      </c>
      <c r="BC97" s="197">
        <f t="shared" si="227"/>
        <v>2335.9499999999998</v>
      </c>
      <c r="BD97" s="197"/>
      <c r="BE97" s="918">
        <f>'Energy NPV'!U22</f>
        <v>704.85838399999989</v>
      </c>
      <c r="BF97" s="197"/>
      <c r="BG97" s="197">
        <f t="shared" si="228"/>
        <v>352.42919199999994</v>
      </c>
      <c r="BH97" s="197">
        <f t="shared" si="206"/>
        <v>1807.5708079999999</v>
      </c>
      <c r="BI97" s="197">
        <f t="shared" si="207"/>
        <v>1983.5208079999998</v>
      </c>
      <c r="BJ97" s="196">
        <f t="shared" si="229"/>
        <v>1517.5873488502739</v>
      </c>
      <c r="BK97" s="197">
        <f t="shared" si="230"/>
        <v>123.62013612509521</v>
      </c>
      <c r="BL97" s="197">
        <f t="shared" si="231"/>
        <v>247.61207552996484</v>
      </c>
      <c r="BM97" s="197">
        <f t="shared" si="232"/>
        <v>1269.975273320309</v>
      </c>
      <c r="BN97" s="199">
        <f t="shared" si="233"/>
        <v>1393.5954094454041</v>
      </c>
      <c r="BO97" s="196">
        <f t="shared" si="260"/>
        <v>5144.8988591565649</v>
      </c>
      <c r="BP97" s="197">
        <f t="shared" si="234"/>
        <v>1484.1965968726179</v>
      </c>
      <c r="BQ97" s="197">
        <f t="shared" si="234"/>
        <v>2310.2842638005686</v>
      </c>
      <c r="BR97" s="197">
        <f t="shared" si="234"/>
        <v>2834.6145953559962</v>
      </c>
      <c r="BS97" s="199">
        <f t="shared" si="234"/>
        <v>4318.8111922286134</v>
      </c>
      <c r="BT97" s="197"/>
      <c r="BV97" s="204">
        <f t="shared" si="261"/>
        <v>10</v>
      </c>
      <c r="BW97" s="759">
        <f>'Energy NPV'!$D22</f>
        <v>30</v>
      </c>
      <c r="BX97" s="197">
        <f>'Energy margins'!$E$12</f>
        <v>72</v>
      </c>
      <c r="BY97" s="197">
        <f t="shared" si="262"/>
        <v>2160</v>
      </c>
      <c r="BZ97" s="197">
        <f>'Margins summary'!$Q$14</f>
        <v>175.95</v>
      </c>
      <c r="CA97" s="197">
        <f t="shared" si="235"/>
        <v>2335.9499999999998</v>
      </c>
      <c r="CB97" s="197"/>
      <c r="CC97" s="918">
        <f>'Energy NPV'!U22</f>
        <v>704.85838399999989</v>
      </c>
      <c r="CD97" s="197"/>
      <c r="CE97" s="197">
        <f t="shared" si="236"/>
        <v>1409.7167679999998</v>
      </c>
      <c r="CF97" s="197">
        <f t="shared" si="208"/>
        <v>750.28323200000023</v>
      </c>
      <c r="CG97" s="197">
        <f t="shared" si="209"/>
        <v>926.23323200000004</v>
      </c>
      <c r="CH97" s="196">
        <f t="shared" si="237"/>
        <v>1517.5873488502739</v>
      </c>
      <c r="CI97" s="197">
        <f t="shared" si="238"/>
        <v>123.62013612509521</v>
      </c>
      <c r="CJ97" s="197">
        <f t="shared" si="239"/>
        <v>990.44830211985936</v>
      </c>
      <c r="CK97" s="197">
        <f t="shared" si="240"/>
        <v>527.13904673041452</v>
      </c>
      <c r="CL97" s="199">
        <f t="shared" si="241"/>
        <v>650.75918285550961</v>
      </c>
      <c r="CM97" s="196">
        <f t="shared" si="263"/>
        <v>5144.8988591565649</v>
      </c>
      <c r="CN97" s="197">
        <f t="shared" si="242"/>
        <v>1484.1965968726179</v>
      </c>
      <c r="CO97" s="197">
        <f t="shared" si="242"/>
        <v>9241.1370552022745</v>
      </c>
      <c r="CP97" s="197">
        <f t="shared" si="242"/>
        <v>-4096.2381960457096</v>
      </c>
      <c r="CQ97" s="199">
        <f t="shared" si="242"/>
        <v>-2612.041599173092</v>
      </c>
      <c r="CR97" s="197"/>
      <c r="CT97" s="204">
        <f t="shared" si="264"/>
        <v>10</v>
      </c>
      <c r="CU97" s="759">
        <f>'Energy NPV'!$D22</f>
        <v>30</v>
      </c>
      <c r="CV97" s="197">
        <f>'Energy margins'!$E$12</f>
        <v>72</v>
      </c>
      <c r="CW97" s="197">
        <f t="shared" si="265"/>
        <v>2160</v>
      </c>
      <c r="CX97" s="197">
        <f>'Margins summary'!$Q$14</f>
        <v>175.95</v>
      </c>
      <c r="CY97" s="197">
        <f t="shared" si="243"/>
        <v>2335.9499999999998</v>
      </c>
      <c r="CZ97" s="197"/>
      <c r="DA97" s="918">
        <f>'Energy NPV'!U22</f>
        <v>704.85838399999989</v>
      </c>
      <c r="DB97" s="197"/>
      <c r="DC97" s="197">
        <f t="shared" si="244"/>
        <v>0</v>
      </c>
      <c r="DD97" s="197">
        <f t="shared" si="210"/>
        <v>2160</v>
      </c>
      <c r="DE97" s="197">
        <f t="shared" si="211"/>
        <v>2335.9499999999998</v>
      </c>
      <c r="DF97" s="196">
        <f t="shared" si="245"/>
        <v>1517.5873488502739</v>
      </c>
      <c r="DG97" s="197">
        <f t="shared" si="246"/>
        <v>123.62013612509521</v>
      </c>
      <c r="DH97" s="197">
        <f t="shared" si="247"/>
        <v>0</v>
      </c>
      <c r="DI97" s="197">
        <f t="shared" si="248"/>
        <v>1517.5873488502739</v>
      </c>
      <c r="DJ97" s="199">
        <f t="shared" si="249"/>
        <v>1641.207484975369</v>
      </c>
      <c r="DK97" s="196">
        <f t="shared" si="266"/>
        <v>5144.8988591565649</v>
      </c>
      <c r="DL97" s="197">
        <f t="shared" si="250"/>
        <v>1484.1965968726179</v>
      </c>
      <c r="DM97" s="197">
        <f t="shared" si="250"/>
        <v>0</v>
      </c>
      <c r="DN97" s="197">
        <f t="shared" si="250"/>
        <v>5144.8988591565649</v>
      </c>
      <c r="DO97" s="199">
        <f t="shared" si="250"/>
        <v>6629.0954560291821</v>
      </c>
    </row>
    <row r="98" spans="2:119" x14ac:dyDescent="0.3">
      <c r="B98" s="204">
        <f t="shared" si="251"/>
        <v>11</v>
      </c>
      <c r="C98" s="759">
        <f>'Energy NPV'!$D23</f>
        <v>0</v>
      </c>
      <c r="D98" s="197">
        <f>'Energy margins'!$E$12</f>
        <v>72</v>
      </c>
      <c r="E98" s="197">
        <f t="shared" si="252"/>
        <v>0</v>
      </c>
      <c r="F98" s="197">
        <f>'Margins summary'!$Q$14</f>
        <v>175.95</v>
      </c>
      <c r="G98" s="197">
        <f t="shared" si="212"/>
        <v>175.95</v>
      </c>
      <c r="H98" s="197"/>
      <c r="I98" s="918">
        <f>'Energy NPV'!U23</f>
        <v>0</v>
      </c>
      <c r="J98" s="197"/>
      <c r="K98" s="197">
        <f t="shared" si="213"/>
        <v>0</v>
      </c>
      <c r="L98" s="197">
        <f t="shared" si="202"/>
        <v>0</v>
      </c>
      <c r="M98" s="197">
        <f t="shared" si="203"/>
        <v>175.95</v>
      </c>
      <c r="N98" s="196">
        <f t="shared" si="214"/>
        <v>0</v>
      </c>
      <c r="O98" s="197">
        <f t="shared" si="215"/>
        <v>118.86551550489925</v>
      </c>
      <c r="P98" s="197">
        <f t="shared" si="216"/>
        <v>0</v>
      </c>
      <c r="Q98" s="197">
        <f t="shared" si="217"/>
        <v>0</v>
      </c>
      <c r="R98" s="199">
        <f t="shared" si="218"/>
        <v>118.86551550489925</v>
      </c>
      <c r="S98" s="196">
        <f t="shared" si="253"/>
        <v>5144.8988591565649</v>
      </c>
      <c r="T98" s="197">
        <f t="shared" si="219"/>
        <v>1603.0621123775172</v>
      </c>
      <c r="U98" s="197">
        <f t="shared" si="219"/>
        <v>4620.5685276011372</v>
      </c>
      <c r="V98" s="197">
        <f t="shared" si="219"/>
        <v>524.33033155542785</v>
      </c>
      <c r="W98" s="199">
        <f t="shared" si="219"/>
        <v>2127.3924439329439</v>
      </c>
      <c r="X98" s="197"/>
      <c r="Z98" s="204">
        <f t="shared" si="254"/>
        <v>11</v>
      </c>
      <c r="AA98" s="759">
        <f>'Energy NPV'!$D23</f>
        <v>0</v>
      </c>
      <c r="AB98" s="197">
        <f>'Energy margins'!$E$12</f>
        <v>72</v>
      </c>
      <c r="AC98" s="197">
        <f t="shared" si="255"/>
        <v>0</v>
      </c>
      <c r="AD98" s="197">
        <f>'Margins summary'!$Q$14</f>
        <v>175.95</v>
      </c>
      <c r="AE98" s="197">
        <f t="shared" si="220"/>
        <v>175.95</v>
      </c>
      <c r="AF98" s="197"/>
      <c r="AG98" s="918">
        <f>'Energy NPV'!U23</f>
        <v>0</v>
      </c>
      <c r="AH98" s="197"/>
      <c r="AI98" s="197">
        <f t="shared" si="256"/>
        <v>0</v>
      </c>
      <c r="AJ98" s="197">
        <f t="shared" si="204"/>
        <v>0</v>
      </c>
      <c r="AK98" s="197">
        <f t="shared" si="205"/>
        <v>175.95</v>
      </c>
      <c r="AL98" s="196">
        <f t="shared" si="221"/>
        <v>0</v>
      </c>
      <c r="AM98" s="197">
        <f t="shared" si="222"/>
        <v>118.86551550489925</v>
      </c>
      <c r="AN98" s="197">
        <f t="shared" si="223"/>
        <v>0</v>
      </c>
      <c r="AO98" s="197">
        <f t="shared" si="224"/>
        <v>0</v>
      </c>
      <c r="AP98" s="199">
        <f t="shared" si="225"/>
        <v>118.86551550489925</v>
      </c>
      <c r="AQ98" s="196">
        <f t="shared" si="257"/>
        <v>5144.8988591565649</v>
      </c>
      <c r="AR98" s="197">
        <f t="shared" si="226"/>
        <v>1603.0621123775172</v>
      </c>
      <c r="AS98" s="197">
        <f t="shared" si="226"/>
        <v>6930.8527914017031</v>
      </c>
      <c r="AT98" s="197">
        <f t="shared" si="226"/>
        <v>-1785.9539322451396</v>
      </c>
      <c r="AU98" s="199">
        <f t="shared" si="226"/>
        <v>-182.89181986762333</v>
      </c>
      <c r="AV98" s="197"/>
      <c r="AX98" s="204">
        <f t="shared" si="258"/>
        <v>11</v>
      </c>
      <c r="AY98" s="759">
        <f>'Energy NPV'!$D23</f>
        <v>0</v>
      </c>
      <c r="AZ98" s="197">
        <f>'Energy margins'!$E$12</f>
        <v>72</v>
      </c>
      <c r="BA98" s="197">
        <f t="shared" si="259"/>
        <v>0</v>
      </c>
      <c r="BB98" s="197">
        <f>'Margins summary'!$Q$14</f>
        <v>175.95</v>
      </c>
      <c r="BC98" s="197">
        <f t="shared" si="227"/>
        <v>175.95</v>
      </c>
      <c r="BD98" s="197"/>
      <c r="BE98" s="918">
        <f>'Energy NPV'!U23</f>
        <v>0</v>
      </c>
      <c r="BF98" s="197"/>
      <c r="BG98" s="197">
        <f t="shared" si="228"/>
        <v>0</v>
      </c>
      <c r="BH98" s="197">
        <f t="shared" si="206"/>
        <v>0</v>
      </c>
      <c r="BI98" s="197">
        <f t="shared" si="207"/>
        <v>175.95</v>
      </c>
      <c r="BJ98" s="196">
        <f t="shared" si="229"/>
        <v>0</v>
      </c>
      <c r="BK98" s="197">
        <f t="shared" si="230"/>
        <v>118.86551550489925</v>
      </c>
      <c r="BL98" s="197">
        <f t="shared" si="231"/>
        <v>0</v>
      </c>
      <c r="BM98" s="197">
        <f t="shared" si="232"/>
        <v>0</v>
      </c>
      <c r="BN98" s="199">
        <f t="shared" si="233"/>
        <v>118.86551550489925</v>
      </c>
      <c r="BO98" s="196">
        <f t="shared" si="260"/>
        <v>5144.8988591565649</v>
      </c>
      <c r="BP98" s="197">
        <f t="shared" si="234"/>
        <v>1603.0621123775172</v>
      </c>
      <c r="BQ98" s="197">
        <f t="shared" si="234"/>
        <v>2310.2842638005686</v>
      </c>
      <c r="BR98" s="197">
        <f t="shared" si="234"/>
        <v>2834.6145953559962</v>
      </c>
      <c r="BS98" s="199">
        <f t="shared" si="234"/>
        <v>4437.6767077335126</v>
      </c>
      <c r="BT98" s="197"/>
      <c r="BV98" s="204">
        <f t="shared" si="261"/>
        <v>11</v>
      </c>
      <c r="BW98" s="759">
        <f>'Energy NPV'!$D23</f>
        <v>0</v>
      </c>
      <c r="BX98" s="197">
        <f>'Energy margins'!$E$12</f>
        <v>72</v>
      </c>
      <c r="BY98" s="197">
        <f t="shared" si="262"/>
        <v>0</v>
      </c>
      <c r="BZ98" s="197">
        <f>'Margins summary'!$Q$14</f>
        <v>175.95</v>
      </c>
      <c r="CA98" s="197">
        <f t="shared" si="235"/>
        <v>175.95</v>
      </c>
      <c r="CB98" s="197"/>
      <c r="CC98" s="918">
        <f>'Energy NPV'!U23</f>
        <v>0</v>
      </c>
      <c r="CD98" s="197"/>
      <c r="CE98" s="197">
        <f t="shared" si="236"/>
        <v>0</v>
      </c>
      <c r="CF98" s="197">
        <f t="shared" si="208"/>
        <v>0</v>
      </c>
      <c r="CG98" s="197">
        <f t="shared" si="209"/>
        <v>175.95</v>
      </c>
      <c r="CH98" s="196">
        <f t="shared" si="237"/>
        <v>0</v>
      </c>
      <c r="CI98" s="197">
        <f t="shared" si="238"/>
        <v>118.86551550489925</v>
      </c>
      <c r="CJ98" s="197">
        <f t="shared" si="239"/>
        <v>0</v>
      </c>
      <c r="CK98" s="197">
        <f t="shared" si="240"/>
        <v>0</v>
      </c>
      <c r="CL98" s="199">
        <f t="shared" si="241"/>
        <v>118.86551550489925</v>
      </c>
      <c r="CM98" s="196">
        <f t="shared" si="263"/>
        <v>5144.8988591565649</v>
      </c>
      <c r="CN98" s="197">
        <f t="shared" si="242"/>
        <v>1603.0621123775172</v>
      </c>
      <c r="CO98" s="197">
        <f t="shared" si="242"/>
        <v>9241.1370552022745</v>
      </c>
      <c r="CP98" s="197">
        <f t="shared" si="242"/>
        <v>-4096.2381960457096</v>
      </c>
      <c r="CQ98" s="199">
        <f t="shared" si="242"/>
        <v>-2493.1760836681929</v>
      </c>
      <c r="CR98" s="197"/>
      <c r="CT98" s="204">
        <f t="shared" si="264"/>
        <v>11</v>
      </c>
      <c r="CU98" s="759">
        <f>'Energy NPV'!$D23</f>
        <v>0</v>
      </c>
      <c r="CV98" s="197">
        <f>'Energy margins'!$E$12</f>
        <v>72</v>
      </c>
      <c r="CW98" s="197">
        <f t="shared" si="265"/>
        <v>0</v>
      </c>
      <c r="CX98" s="197">
        <f>'Margins summary'!$Q$14</f>
        <v>175.95</v>
      </c>
      <c r="CY98" s="197">
        <f t="shared" si="243"/>
        <v>175.95</v>
      </c>
      <c r="CZ98" s="197"/>
      <c r="DA98" s="918">
        <f>'Energy NPV'!U23</f>
        <v>0</v>
      </c>
      <c r="DB98" s="197"/>
      <c r="DC98" s="197">
        <f t="shared" si="244"/>
        <v>0</v>
      </c>
      <c r="DD98" s="197">
        <f t="shared" si="210"/>
        <v>0</v>
      </c>
      <c r="DE98" s="197">
        <f t="shared" si="211"/>
        <v>175.95</v>
      </c>
      <c r="DF98" s="196">
        <f t="shared" si="245"/>
        <v>0</v>
      </c>
      <c r="DG98" s="197">
        <f t="shared" si="246"/>
        <v>118.86551550489925</v>
      </c>
      <c r="DH98" s="197">
        <f t="shared" si="247"/>
        <v>0</v>
      </c>
      <c r="DI98" s="197">
        <f t="shared" si="248"/>
        <v>0</v>
      </c>
      <c r="DJ98" s="199">
        <f t="shared" si="249"/>
        <v>118.86551550489925</v>
      </c>
      <c r="DK98" s="196">
        <f t="shared" si="266"/>
        <v>5144.8988591565649</v>
      </c>
      <c r="DL98" s="197">
        <f t="shared" si="250"/>
        <v>1603.0621123775172</v>
      </c>
      <c r="DM98" s="197">
        <f t="shared" si="250"/>
        <v>0</v>
      </c>
      <c r="DN98" s="197">
        <f t="shared" si="250"/>
        <v>5144.8988591565649</v>
      </c>
      <c r="DO98" s="199">
        <f t="shared" si="250"/>
        <v>6747.9609715340812</v>
      </c>
    </row>
    <row r="99" spans="2:119" x14ac:dyDescent="0.3">
      <c r="B99" s="204">
        <f t="shared" si="251"/>
        <v>12</v>
      </c>
      <c r="C99" s="759">
        <f>'Energy NPV'!$D24</f>
        <v>0</v>
      </c>
      <c r="D99" s="197">
        <f>'Energy margins'!$E$12</f>
        <v>72</v>
      </c>
      <c r="E99" s="197">
        <f t="shared" si="252"/>
        <v>0</v>
      </c>
      <c r="F99" s="197">
        <f>'Margins summary'!$Q$14</f>
        <v>175.95</v>
      </c>
      <c r="G99" s="197">
        <f t="shared" si="212"/>
        <v>175.95</v>
      </c>
      <c r="H99" s="197"/>
      <c r="I99" s="918">
        <f>'Energy NPV'!U24</f>
        <v>0</v>
      </c>
      <c r="J99" s="197"/>
      <c r="K99" s="197">
        <f t="shared" si="213"/>
        <v>0</v>
      </c>
      <c r="L99" s="197">
        <f t="shared" si="202"/>
        <v>0</v>
      </c>
      <c r="M99" s="197">
        <f t="shared" si="203"/>
        <v>175.95</v>
      </c>
      <c r="N99" s="196">
        <f t="shared" si="214"/>
        <v>0</v>
      </c>
      <c r="O99" s="197">
        <f t="shared" si="215"/>
        <v>114.29376490855698</v>
      </c>
      <c r="P99" s="197">
        <f t="shared" si="216"/>
        <v>0</v>
      </c>
      <c r="Q99" s="197">
        <f t="shared" si="217"/>
        <v>0</v>
      </c>
      <c r="R99" s="199">
        <f t="shared" si="218"/>
        <v>114.29376490855698</v>
      </c>
      <c r="S99" s="196">
        <f t="shared" si="253"/>
        <v>5144.8988591565649</v>
      </c>
      <c r="T99" s="197">
        <f t="shared" si="219"/>
        <v>1717.3558772860742</v>
      </c>
      <c r="U99" s="197">
        <f t="shared" si="219"/>
        <v>4620.5685276011372</v>
      </c>
      <c r="V99" s="197">
        <f t="shared" si="219"/>
        <v>524.33033155542785</v>
      </c>
      <c r="W99" s="199">
        <f t="shared" si="219"/>
        <v>2241.686208841501</v>
      </c>
      <c r="X99" s="197"/>
      <c r="Z99" s="204">
        <f t="shared" si="254"/>
        <v>12</v>
      </c>
      <c r="AA99" s="759">
        <f>'Energy NPV'!$D24</f>
        <v>0</v>
      </c>
      <c r="AB99" s="197">
        <f>'Energy margins'!$E$12</f>
        <v>72</v>
      </c>
      <c r="AC99" s="197">
        <f t="shared" si="255"/>
        <v>0</v>
      </c>
      <c r="AD99" s="197">
        <f>'Margins summary'!$Q$14</f>
        <v>175.95</v>
      </c>
      <c r="AE99" s="197">
        <f t="shared" si="220"/>
        <v>175.95</v>
      </c>
      <c r="AF99" s="197"/>
      <c r="AG99" s="918">
        <f>'Energy NPV'!U24</f>
        <v>0</v>
      </c>
      <c r="AH99" s="197"/>
      <c r="AI99" s="197">
        <f t="shared" si="256"/>
        <v>0</v>
      </c>
      <c r="AJ99" s="197">
        <f t="shared" si="204"/>
        <v>0</v>
      </c>
      <c r="AK99" s="197">
        <f t="shared" si="205"/>
        <v>175.95</v>
      </c>
      <c r="AL99" s="196">
        <f t="shared" si="221"/>
        <v>0</v>
      </c>
      <c r="AM99" s="197">
        <f t="shared" si="222"/>
        <v>114.29376490855698</v>
      </c>
      <c r="AN99" s="197">
        <f t="shared" si="223"/>
        <v>0</v>
      </c>
      <c r="AO99" s="197">
        <f t="shared" si="224"/>
        <v>0</v>
      </c>
      <c r="AP99" s="199">
        <f t="shared" si="225"/>
        <v>114.29376490855698</v>
      </c>
      <c r="AQ99" s="196">
        <f t="shared" si="257"/>
        <v>5144.8988591565649</v>
      </c>
      <c r="AR99" s="197">
        <f t="shared" si="226"/>
        <v>1717.3558772860742</v>
      </c>
      <c r="AS99" s="197">
        <f t="shared" si="226"/>
        <v>6930.8527914017031</v>
      </c>
      <c r="AT99" s="197">
        <f t="shared" si="226"/>
        <v>-1785.9539322451396</v>
      </c>
      <c r="AU99" s="199">
        <f t="shared" si="226"/>
        <v>-68.598054959066346</v>
      </c>
      <c r="AV99" s="197"/>
      <c r="AX99" s="204">
        <f t="shared" si="258"/>
        <v>12</v>
      </c>
      <c r="AY99" s="759">
        <f>'Energy NPV'!$D24</f>
        <v>0</v>
      </c>
      <c r="AZ99" s="197">
        <f>'Energy margins'!$E$12</f>
        <v>72</v>
      </c>
      <c r="BA99" s="197">
        <f t="shared" si="259"/>
        <v>0</v>
      </c>
      <c r="BB99" s="197">
        <f>'Margins summary'!$Q$14</f>
        <v>175.95</v>
      </c>
      <c r="BC99" s="197">
        <f t="shared" si="227"/>
        <v>175.95</v>
      </c>
      <c r="BD99" s="197"/>
      <c r="BE99" s="918">
        <f>'Energy NPV'!U24</f>
        <v>0</v>
      </c>
      <c r="BF99" s="197"/>
      <c r="BG99" s="197">
        <f t="shared" si="228"/>
        <v>0</v>
      </c>
      <c r="BH99" s="197">
        <f t="shared" si="206"/>
        <v>0</v>
      </c>
      <c r="BI99" s="197">
        <f t="shared" si="207"/>
        <v>175.95</v>
      </c>
      <c r="BJ99" s="196">
        <f t="shared" si="229"/>
        <v>0</v>
      </c>
      <c r="BK99" s="197">
        <f t="shared" si="230"/>
        <v>114.29376490855698</v>
      </c>
      <c r="BL99" s="197">
        <f t="shared" si="231"/>
        <v>0</v>
      </c>
      <c r="BM99" s="197">
        <f t="shared" si="232"/>
        <v>0</v>
      </c>
      <c r="BN99" s="199">
        <f t="shared" si="233"/>
        <v>114.29376490855698</v>
      </c>
      <c r="BO99" s="196">
        <f t="shared" si="260"/>
        <v>5144.8988591565649</v>
      </c>
      <c r="BP99" s="197">
        <f t="shared" si="234"/>
        <v>1717.3558772860742</v>
      </c>
      <c r="BQ99" s="197">
        <f t="shared" si="234"/>
        <v>2310.2842638005686</v>
      </c>
      <c r="BR99" s="197">
        <f t="shared" si="234"/>
        <v>2834.6145953559962</v>
      </c>
      <c r="BS99" s="199">
        <f t="shared" si="234"/>
        <v>4551.9704726420696</v>
      </c>
      <c r="BT99" s="197"/>
      <c r="BV99" s="204">
        <f t="shared" si="261"/>
        <v>12</v>
      </c>
      <c r="BW99" s="759">
        <f>'Energy NPV'!$D24</f>
        <v>0</v>
      </c>
      <c r="BX99" s="197">
        <f>'Energy margins'!$E$12</f>
        <v>72</v>
      </c>
      <c r="BY99" s="197">
        <f t="shared" si="262"/>
        <v>0</v>
      </c>
      <c r="BZ99" s="197">
        <f>'Margins summary'!$Q$14</f>
        <v>175.95</v>
      </c>
      <c r="CA99" s="197">
        <f t="shared" si="235"/>
        <v>175.95</v>
      </c>
      <c r="CB99" s="197"/>
      <c r="CC99" s="918">
        <f>'Energy NPV'!U24</f>
        <v>0</v>
      </c>
      <c r="CD99" s="197"/>
      <c r="CE99" s="197">
        <f t="shared" si="236"/>
        <v>0</v>
      </c>
      <c r="CF99" s="197">
        <f t="shared" si="208"/>
        <v>0</v>
      </c>
      <c r="CG99" s="197">
        <f t="shared" si="209"/>
        <v>175.95</v>
      </c>
      <c r="CH99" s="196">
        <f t="shared" si="237"/>
        <v>0</v>
      </c>
      <c r="CI99" s="197">
        <f t="shared" si="238"/>
        <v>114.29376490855698</v>
      </c>
      <c r="CJ99" s="197">
        <f t="shared" si="239"/>
        <v>0</v>
      </c>
      <c r="CK99" s="197">
        <f t="shared" si="240"/>
        <v>0</v>
      </c>
      <c r="CL99" s="199">
        <f t="shared" si="241"/>
        <v>114.29376490855698</v>
      </c>
      <c r="CM99" s="196">
        <f t="shared" si="263"/>
        <v>5144.8988591565649</v>
      </c>
      <c r="CN99" s="197">
        <f t="shared" si="242"/>
        <v>1717.3558772860742</v>
      </c>
      <c r="CO99" s="197">
        <f t="shared" si="242"/>
        <v>9241.1370552022745</v>
      </c>
      <c r="CP99" s="197">
        <f t="shared" si="242"/>
        <v>-4096.2381960457096</v>
      </c>
      <c r="CQ99" s="199">
        <f t="shared" si="242"/>
        <v>-2378.8823187596358</v>
      </c>
      <c r="CR99" s="197"/>
      <c r="CT99" s="204">
        <f t="shared" si="264"/>
        <v>12</v>
      </c>
      <c r="CU99" s="759">
        <f>'Energy NPV'!$D24</f>
        <v>0</v>
      </c>
      <c r="CV99" s="197">
        <f>'Energy margins'!$E$12</f>
        <v>72</v>
      </c>
      <c r="CW99" s="197">
        <f t="shared" si="265"/>
        <v>0</v>
      </c>
      <c r="CX99" s="197">
        <f>'Margins summary'!$Q$14</f>
        <v>175.95</v>
      </c>
      <c r="CY99" s="197">
        <f t="shared" si="243"/>
        <v>175.95</v>
      </c>
      <c r="CZ99" s="197"/>
      <c r="DA99" s="918">
        <f>'Energy NPV'!U24</f>
        <v>0</v>
      </c>
      <c r="DB99" s="197"/>
      <c r="DC99" s="197">
        <f t="shared" si="244"/>
        <v>0</v>
      </c>
      <c r="DD99" s="197">
        <f t="shared" si="210"/>
        <v>0</v>
      </c>
      <c r="DE99" s="197">
        <f t="shared" si="211"/>
        <v>175.95</v>
      </c>
      <c r="DF99" s="196">
        <f t="shared" si="245"/>
        <v>0</v>
      </c>
      <c r="DG99" s="197">
        <f t="shared" si="246"/>
        <v>114.29376490855698</v>
      </c>
      <c r="DH99" s="197">
        <f t="shared" si="247"/>
        <v>0</v>
      </c>
      <c r="DI99" s="197">
        <f t="shared" si="248"/>
        <v>0</v>
      </c>
      <c r="DJ99" s="199">
        <f t="shared" si="249"/>
        <v>114.29376490855698</v>
      </c>
      <c r="DK99" s="196">
        <f t="shared" si="266"/>
        <v>5144.8988591565649</v>
      </c>
      <c r="DL99" s="197">
        <f t="shared" si="250"/>
        <v>1717.3558772860742</v>
      </c>
      <c r="DM99" s="197">
        <f t="shared" si="250"/>
        <v>0</v>
      </c>
      <c r="DN99" s="197">
        <f t="shared" si="250"/>
        <v>5144.8988591565649</v>
      </c>
      <c r="DO99" s="199">
        <f t="shared" si="250"/>
        <v>6862.2547364426382</v>
      </c>
    </row>
    <row r="100" spans="2:119" x14ac:dyDescent="0.3">
      <c r="B100" s="204">
        <f t="shared" si="251"/>
        <v>13</v>
      </c>
      <c r="C100" s="759">
        <f>'Energy NPV'!$D25</f>
        <v>30</v>
      </c>
      <c r="D100" s="197">
        <f>'Energy margins'!$E$12</f>
        <v>72</v>
      </c>
      <c r="E100" s="197">
        <f t="shared" si="252"/>
        <v>2160</v>
      </c>
      <c r="F100" s="197">
        <f>'Margins summary'!$Q$14</f>
        <v>175.95</v>
      </c>
      <c r="G100" s="197">
        <f t="shared" si="212"/>
        <v>2335.9499999999998</v>
      </c>
      <c r="H100" s="197"/>
      <c r="I100" s="918">
        <f>'Energy NPV'!U25</f>
        <v>659.29678399999989</v>
      </c>
      <c r="J100" s="197"/>
      <c r="K100" s="197">
        <f t="shared" si="213"/>
        <v>659.29678399999989</v>
      </c>
      <c r="L100" s="197">
        <f t="shared" si="202"/>
        <v>1500.7032160000001</v>
      </c>
      <c r="M100" s="197">
        <f t="shared" si="203"/>
        <v>1676.6532159999999</v>
      </c>
      <c r="N100" s="196">
        <f t="shared" si="214"/>
        <v>1349.1296270929406</v>
      </c>
      <c r="O100" s="197">
        <f t="shared" si="215"/>
        <v>109.89785087361246</v>
      </c>
      <c r="P100" s="197">
        <f t="shared" si="216"/>
        <v>411.79482608402543</v>
      </c>
      <c r="Q100" s="197">
        <f t="shared" si="217"/>
        <v>937.33480100891529</v>
      </c>
      <c r="R100" s="199">
        <f t="shared" si="218"/>
        <v>1047.2326518825275</v>
      </c>
      <c r="S100" s="196">
        <f t="shared" si="253"/>
        <v>6494.0284862495055</v>
      </c>
      <c r="T100" s="197">
        <f t="shared" si="219"/>
        <v>1827.2537281596867</v>
      </c>
      <c r="U100" s="197">
        <f t="shared" si="219"/>
        <v>5032.363353685163</v>
      </c>
      <c r="V100" s="197">
        <f t="shared" si="219"/>
        <v>1461.6651325643431</v>
      </c>
      <c r="W100" s="199">
        <f t="shared" si="219"/>
        <v>3288.9188607240285</v>
      </c>
      <c r="X100" s="197"/>
      <c r="Z100" s="204">
        <f t="shared" si="254"/>
        <v>13</v>
      </c>
      <c r="AA100" s="759">
        <f>'Energy NPV'!$D25</f>
        <v>30</v>
      </c>
      <c r="AB100" s="197">
        <f>'Energy margins'!$E$12</f>
        <v>72</v>
      </c>
      <c r="AC100" s="197">
        <f t="shared" si="255"/>
        <v>2160</v>
      </c>
      <c r="AD100" s="197">
        <f>'Margins summary'!$Q$14</f>
        <v>175.95</v>
      </c>
      <c r="AE100" s="197">
        <f t="shared" si="220"/>
        <v>2335.9499999999998</v>
      </c>
      <c r="AF100" s="197"/>
      <c r="AG100" s="918">
        <f>'Energy NPV'!U25</f>
        <v>659.29678399999989</v>
      </c>
      <c r="AH100" s="197"/>
      <c r="AI100" s="197">
        <f t="shared" si="256"/>
        <v>988.94517599999983</v>
      </c>
      <c r="AJ100" s="197">
        <f t="shared" si="204"/>
        <v>1171.0548240000003</v>
      </c>
      <c r="AK100" s="197">
        <f t="shared" si="205"/>
        <v>1347.0048240000001</v>
      </c>
      <c r="AL100" s="196">
        <f t="shared" si="221"/>
        <v>1349.1296270929406</v>
      </c>
      <c r="AM100" s="197">
        <f t="shared" si="222"/>
        <v>109.89785087361246</v>
      </c>
      <c r="AN100" s="197">
        <f t="shared" si="223"/>
        <v>617.69223912603809</v>
      </c>
      <c r="AO100" s="197">
        <f t="shared" si="224"/>
        <v>731.43738796690263</v>
      </c>
      <c r="AP100" s="199">
        <f t="shared" si="225"/>
        <v>841.33523884051499</v>
      </c>
      <c r="AQ100" s="196">
        <f t="shared" si="257"/>
        <v>6494.0284862495055</v>
      </c>
      <c r="AR100" s="197">
        <f t="shared" si="226"/>
        <v>1827.2537281596867</v>
      </c>
      <c r="AS100" s="197">
        <f t="shared" si="226"/>
        <v>7548.5450305277409</v>
      </c>
      <c r="AT100" s="197">
        <f t="shared" si="226"/>
        <v>-1054.516544278237</v>
      </c>
      <c r="AU100" s="199">
        <f t="shared" si="226"/>
        <v>772.73718388144869</v>
      </c>
      <c r="AV100" s="197"/>
      <c r="AX100" s="204">
        <f t="shared" si="258"/>
        <v>13</v>
      </c>
      <c r="AY100" s="759">
        <f>'Energy NPV'!$D25</f>
        <v>30</v>
      </c>
      <c r="AZ100" s="197">
        <f>'Energy margins'!$E$12</f>
        <v>72</v>
      </c>
      <c r="BA100" s="197">
        <f t="shared" si="259"/>
        <v>2160</v>
      </c>
      <c r="BB100" s="197">
        <f>'Margins summary'!$Q$14</f>
        <v>175.95</v>
      </c>
      <c r="BC100" s="197">
        <f t="shared" si="227"/>
        <v>2335.9499999999998</v>
      </c>
      <c r="BD100" s="197"/>
      <c r="BE100" s="918">
        <f>'Energy NPV'!U25</f>
        <v>659.29678399999989</v>
      </c>
      <c r="BF100" s="197"/>
      <c r="BG100" s="197">
        <f t="shared" si="228"/>
        <v>329.64839199999994</v>
      </c>
      <c r="BH100" s="197">
        <f t="shared" si="206"/>
        <v>1830.3516079999999</v>
      </c>
      <c r="BI100" s="197">
        <f t="shared" si="207"/>
        <v>2006.3016079999998</v>
      </c>
      <c r="BJ100" s="196">
        <f t="shared" si="229"/>
        <v>1349.1296270929406</v>
      </c>
      <c r="BK100" s="197">
        <f t="shared" si="230"/>
        <v>109.89785087361246</v>
      </c>
      <c r="BL100" s="197">
        <f t="shared" si="231"/>
        <v>205.89741304201272</v>
      </c>
      <c r="BM100" s="197">
        <f t="shared" si="232"/>
        <v>1143.232214050928</v>
      </c>
      <c r="BN100" s="199">
        <f t="shared" si="233"/>
        <v>1253.1300649245402</v>
      </c>
      <c r="BO100" s="196">
        <f t="shared" si="260"/>
        <v>6494.0284862495055</v>
      </c>
      <c r="BP100" s="197">
        <f t="shared" si="234"/>
        <v>1827.2537281596867</v>
      </c>
      <c r="BQ100" s="197">
        <f t="shared" si="234"/>
        <v>2516.1816768425815</v>
      </c>
      <c r="BR100" s="197">
        <f t="shared" si="234"/>
        <v>3977.846809406924</v>
      </c>
      <c r="BS100" s="199">
        <f t="shared" si="234"/>
        <v>5805.10053756661</v>
      </c>
      <c r="BT100" s="197"/>
      <c r="BV100" s="204">
        <f t="shared" si="261"/>
        <v>13</v>
      </c>
      <c r="BW100" s="759">
        <f>'Energy NPV'!$D25</f>
        <v>30</v>
      </c>
      <c r="BX100" s="197">
        <f>'Energy margins'!$E$12</f>
        <v>72</v>
      </c>
      <c r="BY100" s="197">
        <f t="shared" si="262"/>
        <v>2160</v>
      </c>
      <c r="BZ100" s="197">
        <f>'Margins summary'!$Q$14</f>
        <v>175.95</v>
      </c>
      <c r="CA100" s="197">
        <f t="shared" si="235"/>
        <v>2335.9499999999998</v>
      </c>
      <c r="CB100" s="197"/>
      <c r="CC100" s="918">
        <f>'Energy NPV'!U25</f>
        <v>659.29678399999989</v>
      </c>
      <c r="CD100" s="197"/>
      <c r="CE100" s="197">
        <f t="shared" si="236"/>
        <v>1318.5935679999998</v>
      </c>
      <c r="CF100" s="197">
        <f t="shared" si="208"/>
        <v>841.40643200000022</v>
      </c>
      <c r="CG100" s="197">
        <f t="shared" si="209"/>
        <v>1017.356432</v>
      </c>
      <c r="CH100" s="196">
        <f t="shared" si="237"/>
        <v>1349.1296270929406</v>
      </c>
      <c r="CI100" s="197">
        <f t="shared" si="238"/>
        <v>109.89785087361246</v>
      </c>
      <c r="CJ100" s="197">
        <f t="shared" si="239"/>
        <v>823.58965216805086</v>
      </c>
      <c r="CK100" s="197">
        <f t="shared" si="240"/>
        <v>525.53997492488986</v>
      </c>
      <c r="CL100" s="199">
        <f t="shared" si="241"/>
        <v>635.43782579850222</v>
      </c>
      <c r="CM100" s="196">
        <f t="shared" si="263"/>
        <v>6494.0284862495055</v>
      </c>
      <c r="CN100" s="197">
        <f t="shared" si="242"/>
        <v>1827.2537281596867</v>
      </c>
      <c r="CO100" s="197">
        <f t="shared" si="242"/>
        <v>10064.726707370326</v>
      </c>
      <c r="CP100" s="197">
        <f t="shared" si="242"/>
        <v>-3570.6982211208197</v>
      </c>
      <c r="CQ100" s="199">
        <f t="shared" si="242"/>
        <v>-1743.4444929611336</v>
      </c>
      <c r="CR100" s="197"/>
      <c r="CT100" s="204">
        <f t="shared" si="264"/>
        <v>13</v>
      </c>
      <c r="CU100" s="759">
        <f>'Energy NPV'!$D25</f>
        <v>30</v>
      </c>
      <c r="CV100" s="197">
        <f>'Energy margins'!$E$12</f>
        <v>72</v>
      </c>
      <c r="CW100" s="197">
        <f t="shared" si="265"/>
        <v>2160</v>
      </c>
      <c r="CX100" s="197">
        <f>'Margins summary'!$Q$14</f>
        <v>175.95</v>
      </c>
      <c r="CY100" s="197">
        <f t="shared" si="243"/>
        <v>2335.9499999999998</v>
      </c>
      <c r="CZ100" s="197"/>
      <c r="DA100" s="918">
        <f>'Energy NPV'!U25</f>
        <v>659.29678399999989</v>
      </c>
      <c r="DB100" s="197"/>
      <c r="DC100" s="197">
        <f t="shared" si="244"/>
        <v>0</v>
      </c>
      <c r="DD100" s="197">
        <f t="shared" si="210"/>
        <v>2160</v>
      </c>
      <c r="DE100" s="197">
        <f t="shared" si="211"/>
        <v>2335.9499999999998</v>
      </c>
      <c r="DF100" s="196">
        <f t="shared" si="245"/>
        <v>1349.1296270929406</v>
      </c>
      <c r="DG100" s="197">
        <f t="shared" si="246"/>
        <v>109.89785087361246</v>
      </c>
      <c r="DH100" s="197">
        <f t="shared" si="247"/>
        <v>0</v>
      </c>
      <c r="DI100" s="197">
        <f t="shared" si="248"/>
        <v>1349.1296270929406</v>
      </c>
      <c r="DJ100" s="199">
        <f t="shared" si="249"/>
        <v>1459.0274779665531</v>
      </c>
      <c r="DK100" s="196">
        <f t="shared" si="266"/>
        <v>6494.0284862495055</v>
      </c>
      <c r="DL100" s="197">
        <f t="shared" si="250"/>
        <v>1827.2537281596867</v>
      </c>
      <c r="DM100" s="197">
        <f t="shared" si="250"/>
        <v>0</v>
      </c>
      <c r="DN100" s="197">
        <f t="shared" si="250"/>
        <v>6494.0284862495055</v>
      </c>
      <c r="DO100" s="199">
        <f t="shared" si="250"/>
        <v>8321.2822144091915</v>
      </c>
    </row>
    <row r="101" spans="2:119" x14ac:dyDescent="0.3">
      <c r="B101" s="204">
        <f t="shared" si="251"/>
        <v>14</v>
      </c>
      <c r="C101" s="759">
        <f>'Energy NPV'!$D26</f>
        <v>0</v>
      </c>
      <c r="D101" s="197">
        <f>'Energy margins'!$E$12</f>
        <v>72</v>
      </c>
      <c r="E101" s="197">
        <f t="shared" si="252"/>
        <v>0</v>
      </c>
      <c r="F101" s="197">
        <f>'Margins summary'!$Q$14</f>
        <v>175.95</v>
      </c>
      <c r="G101" s="197">
        <f t="shared" si="212"/>
        <v>175.95</v>
      </c>
      <c r="H101" s="197"/>
      <c r="I101" s="918">
        <f>'Energy NPV'!U26</f>
        <v>0</v>
      </c>
      <c r="J101" s="197"/>
      <c r="K101" s="197">
        <f t="shared" si="213"/>
        <v>0</v>
      </c>
      <c r="L101" s="197">
        <f t="shared" si="202"/>
        <v>0</v>
      </c>
      <c r="M101" s="197">
        <f t="shared" si="203"/>
        <v>175.95</v>
      </c>
      <c r="N101" s="196">
        <f t="shared" si="214"/>
        <v>0</v>
      </c>
      <c r="O101" s="197">
        <f t="shared" si="215"/>
        <v>105.67101045539658</v>
      </c>
      <c r="P101" s="197">
        <f t="shared" si="216"/>
        <v>0</v>
      </c>
      <c r="Q101" s="197">
        <f t="shared" si="217"/>
        <v>0</v>
      </c>
      <c r="R101" s="199">
        <f t="shared" si="218"/>
        <v>105.67101045539658</v>
      </c>
      <c r="S101" s="196">
        <f t="shared" si="253"/>
        <v>6494.0284862495055</v>
      </c>
      <c r="T101" s="197">
        <f t="shared" si="219"/>
        <v>1932.9247386150832</v>
      </c>
      <c r="U101" s="197">
        <f t="shared" si="219"/>
        <v>5032.363353685163</v>
      </c>
      <c r="V101" s="197">
        <f t="shared" si="219"/>
        <v>1461.6651325643431</v>
      </c>
      <c r="W101" s="199">
        <f t="shared" si="219"/>
        <v>3394.5898711794252</v>
      </c>
      <c r="X101" s="197"/>
      <c r="Z101" s="204">
        <f t="shared" si="254"/>
        <v>14</v>
      </c>
      <c r="AA101" s="759">
        <f>'Energy NPV'!$D26</f>
        <v>0</v>
      </c>
      <c r="AB101" s="197">
        <f>'Energy margins'!$E$12</f>
        <v>72</v>
      </c>
      <c r="AC101" s="197">
        <f t="shared" si="255"/>
        <v>0</v>
      </c>
      <c r="AD101" s="197">
        <f>'Margins summary'!$Q$14</f>
        <v>175.95</v>
      </c>
      <c r="AE101" s="197">
        <f t="shared" si="220"/>
        <v>175.95</v>
      </c>
      <c r="AF101" s="197"/>
      <c r="AG101" s="918">
        <f>'Energy NPV'!U26</f>
        <v>0</v>
      </c>
      <c r="AH101" s="197"/>
      <c r="AI101" s="197">
        <f t="shared" si="256"/>
        <v>0</v>
      </c>
      <c r="AJ101" s="197">
        <f t="shared" si="204"/>
        <v>0</v>
      </c>
      <c r="AK101" s="197">
        <f t="shared" si="205"/>
        <v>175.95</v>
      </c>
      <c r="AL101" s="196">
        <f t="shared" si="221"/>
        <v>0</v>
      </c>
      <c r="AM101" s="197">
        <f t="shared" si="222"/>
        <v>105.67101045539658</v>
      </c>
      <c r="AN101" s="197">
        <f t="shared" si="223"/>
        <v>0</v>
      </c>
      <c r="AO101" s="197">
        <f t="shared" si="224"/>
        <v>0</v>
      </c>
      <c r="AP101" s="199">
        <f t="shared" si="225"/>
        <v>105.67101045539658</v>
      </c>
      <c r="AQ101" s="196">
        <f t="shared" si="257"/>
        <v>6494.0284862495055</v>
      </c>
      <c r="AR101" s="197">
        <f t="shared" si="226"/>
        <v>1932.9247386150832</v>
      </c>
      <c r="AS101" s="197">
        <f t="shared" si="226"/>
        <v>7548.5450305277409</v>
      </c>
      <c r="AT101" s="197">
        <f t="shared" si="226"/>
        <v>-1054.516544278237</v>
      </c>
      <c r="AU101" s="199">
        <f t="shared" si="226"/>
        <v>878.40819433684533</v>
      </c>
      <c r="AV101" s="197"/>
      <c r="AX101" s="204">
        <f t="shared" si="258"/>
        <v>14</v>
      </c>
      <c r="AY101" s="759">
        <f>'Energy NPV'!$D26</f>
        <v>0</v>
      </c>
      <c r="AZ101" s="197">
        <f>'Energy margins'!$E$12</f>
        <v>72</v>
      </c>
      <c r="BA101" s="197">
        <f t="shared" si="259"/>
        <v>0</v>
      </c>
      <c r="BB101" s="197">
        <f>'Margins summary'!$Q$14</f>
        <v>175.95</v>
      </c>
      <c r="BC101" s="197">
        <f t="shared" si="227"/>
        <v>175.95</v>
      </c>
      <c r="BD101" s="197"/>
      <c r="BE101" s="918">
        <f>'Energy NPV'!U26</f>
        <v>0</v>
      </c>
      <c r="BF101" s="197"/>
      <c r="BG101" s="197">
        <f t="shared" si="228"/>
        <v>0</v>
      </c>
      <c r="BH101" s="197">
        <f t="shared" si="206"/>
        <v>0</v>
      </c>
      <c r="BI101" s="197">
        <f t="shared" si="207"/>
        <v>175.95</v>
      </c>
      <c r="BJ101" s="196">
        <f t="shared" si="229"/>
        <v>0</v>
      </c>
      <c r="BK101" s="197">
        <f t="shared" si="230"/>
        <v>105.67101045539658</v>
      </c>
      <c r="BL101" s="197">
        <f t="shared" si="231"/>
        <v>0</v>
      </c>
      <c r="BM101" s="197">
        <f t="shared" si="232"/>
        <v>0</v>
      </c>
      <c r="BN101" s="199">
        <f t="shared" si="233"/>
        <v>105.67101045539658</v>
      </c>
      <c r="BO101" s="196">
        <f t="shared" si="260"/>
        <v>6494.0284862495055</v>
      </c>
      <c r="BP101" s="197">
        <f t="shared" si="234"/>
        <v>1932.9247386150832</v>
      </c>
      <c r="BQ101" s="197">
        <f t="shared" si="234"/>
        <v>2516.1816768425815</v>
      </c>
      <c r="BR101" s="197">
        <f t="shared" si="234"/>
        <v>3977.846809406924</v>
      </c>
      <c r="BS101" s="199">
        <f t="shared" si="234"/>
        <v>5910.7715480220068</v>
      </c>
      <c r="BT101" s="197"/>
      <c r="BV101" s="204">
        <f t="shared" si="261"/>
        <v>14</v>
      </c>
      <c r="BW101" s="759">
        <f>'Energy NPV'!$D26</f>
        <v>0</v>
      </c>
      <c r="BX101" s="197">
        <f>'Energy margins'!$E$12</f>
        <v>72</v>
      </c>
      <c r="BY101" s="197">
        <f t="shared" si="262"/>
        <v>0</v>
      </c>
      <c r="BZ101" s="197">
        <f>'Margins summary'!$Q$14</f>
        <v>175.95</v>
      </c>
      <c r="CA101" s="197">
        <f t="shared" si="235"/>
        <v>175.95</v>
      </c>
      <c r="CB101" s="197"/>
      <c r="CC101" s="918">
        <f>'Energy NPV'!U26</f>
        <v>0</v>
      </c>
      <c r="CD101" s="197"/>
      <c r="CE101" s="197">
        <f t="shared" si="236"/>
        <v>0</v>
      </c>
      <c r="CF101" s="197">
        <f t="shared" si="208"/>
        <v>0</v>
      </c>
      <c r="CG101" s="197">
        <f t="shared" si="209"/>
        <v>175.95</v>
      </c>
      <c r="CH101" s="196">
        <f t="shared" si="237"/>
        <v>0</v>
      </c>
      <c r="CI101" s="197">
        <f t="shared" si="238"/>
        <v>105.67101045539658</v>
      </c>
      <c r="CJ101" s="197">
        <f t="shared" si="239"/>
        <v>0</v>
      </c>
      <c r="CK101" s="197">
        <f t="shared" si="240"/>
        <v>0</v>
      </c>
      <c r="CL101" s="199">
        <f t="shared" si="241"/>
        <v>105.67101045539658</v>
      </c>
      <c r="CM101" s="196">
        <f t="shared" si="263"/>
        <v>6494.0284862495055</v>
      </c>
      <c r="CN101" s="197">
        <f t="shared" si="242"/>
        <v>1932.9247386150832</v>
      </c>
      <c r="CO101" s="197">
        <f t="shared" si="242"/>
        <v>10064.726707370326</v>
      </c>
      <c r="CP101" s="197">
        <f t="shared" si="242"/>
        <v>-3570.6982211208197</v>
      </c>
      <c r="CQ101" s="199">
        <f t="shared" si="242"/>
        <v>-1637.7734825057371</v>
      </c>
      <c r="CR101" s="197"/>
      <c r="CT101" s="204">
        <f t="shared" si="264"/>
        <v>14</v>
      </c>
      <c r="CU101" s="759">
        <f>'Energy NPV'!$D26</f>
        <v>0</v>
      </c>
      <c r="CV101" s="197">
        <f>'Energy margins'!$E$12</f>
        <v>72</v>
      </c>
      <c r="CW101" s="197">
        <f t="shared" si="265"/>
        <v>0</v>
      </c>
      <c r="CX101" s="197">
        <f>'Margins summary'!$Q$14</f>
        <v>175.95</v>
      </c>
      <c r="CY101" s="197">
        <f t="shared" si="243"/>
        <v>175.95</v>
      </c>
      <c r="CZ101" s="197"/>
      <c r="DA101" s="918">
        <f>'Energy NPV'!U26</f>
        <v>0</v>
      </c>
      <c r="DB101" s="197"/>
      <c r="DC101" s="197">
        <f t="shared" si="244"/>
        <v>0</v>
      </c>
      <c r="DD101" s="197">
        <f t="shared" si="210"/>
        <v>0</v>
      </c>
      <c r="DE101" s="197">
        <f t="shared" si="211"/>
        <v>175.95</v>
      </c>
      <c r="DF101" s="196">
        <f t="shared" si="245"/>
        <v>0</v>
      </c>
      <c r="DG101" s="197">
        <f t="shared" si="246"/>
        <v>105.67101045539658</v>
      </c>
      <c r="DH101" s="197">
        <f t="shared" si="247"/>
        <v>0</v>
      </c>
      <c r="DI101" s="197">
        <f t="shared" si="248"/>
        <v>0</v>
      </c>
      <c r="DJ101" s="199">
        <f t="shared" si="249"/>
        <v>105.67101045539658</v>
      </c>
      <c r="DK101" s="196">
        <f t="shared" si="266"/>
        <v>6494.0284862495055</v>
      </c>
      <c r="DL101" s="197">
        <f t="shared" si="250"/>
        <v>1932.9247386150832</v>
      </c>
      <c r="DM101" s="197">
        <f t="shared" si="250"/>
        <v>0</v>
      </c>
      <c r="DN101" s="197">
        <f t="shared" si="250"/>
        <v>6494.0284862495055</v>
      </c>
      <c r="DO101" s="199">
        <f t="shared" si="250"/>
        <v>8426.9532248645883</v>
      </c>
    </row>
    <row r="102" spans="2:119" x14ac:dyDescent="0.3">
      <c r="B102" s="204">
        <f t="shared" si="251"/>
        <v>15</v>
      </c>
      <c r="C102" s="759">
        <f>'Energy NPV'!$D27</f>
        <v>0</v>
      </c>
      <c r="D102" s="197">
        <f>'Energy margins'!$E$12</f>
        <v>72</v>
      </c>
      <c r="E102" s="197">
        <f t="shared" si="252"/>
        <v>0</v>
      </c>
      <c r="F102" s="197">
        <f>'Margins summary'!$Q$14</f>
        <v>175.95</v>
      </c>
      <c r="G102" s="197">
        <f t="shared" si="212"/>
        <v>175.95</v>
      </c>
      <c r="H102" s="197"/>
      <c r="I102" s="918">
        <f>'Energy NPV'!U27</f>
        <v>0</v>
      </c>
      <c r="J102" s="197"/>
      <c r="K102" s="197">
        <f t="shared" si="213"/>
        <v>0</v>
      </c>
      <c r="L102" s="197">
        <f t="shared" si="202"/>
        <v>0</v>
      </c>
      <c r="M102" s="197">
        <f t="shared" si="203"/>
        <v>175.95</v>
      </c>
      <c r="N102" s="196">
        <f t="shared" si="214"/>
        <v>0</v>
      </c>
      <c r="O102" s="197">
        <f t="shared" si="215"/>
        <v>101.60674082249672</v>
      </c>
      <c r="P102" s="197">
        <f t="shared" si="216"/>
        <v>0</v>
      </c>
      <c r="Q102" s="197">
        <f t="shared" si="217"/>
        <v>0</v>
      </c>
      <c r="R102" s="199">
        <f t="shared" si="218"/>
        <v>101.60674082249672</v>
      </c>
      <c r="S102" s="196">
        <f t="shared" si="253"/>
        <v>6494.0284862495055</v>
      </c>
      <c r="T102" s="197">
        <f t="shared" si="219"/>
        <v>2034.5314794375799</v>
      </c>
      <c r="U102" s="197">
        <f t="shared" si="219"/>
        <v>5032.363353685163</v>
      </c>
      <c r="V102" s="197">
        <f t="shared" si="219"/>
        <v>1461.6651325643431</v>
      </c>
      <c r="W102" s="199">
        <f t="shared" si="219"/>
        <v>3496.1966120019219</v>
      </c>
      <c r="X102" s="197"/>
      <c r="Z102" s="204">
        <f t="shared" si="254"/>
        <v>15</v>
      </c>
      <c r="AA102" s="759">
        <f>'Energy NPV'!$D27</f>
        <v>0</v>
      </c>
      <c r="AB102" s="197">
        <f>'Energy margins'!$E$12</f>
        <v>72</v>
      </c>
      <c r="AC102" s="197">
        <f t="shared" si="255"/>
        <v>0</v>
      </c>
      <c r="AD102" s="197">
        <f>'Margins summary'!$Q$14</f>
        <v>175.95</v>
      </c>
      <c r="AE102" s="197">
        <f t="shared" si="220"/>
        <v>175.95</v>
      </c>
      <c r="AF102" s="197"/>
      <c r="AG102" s="918">
        <f>'Energy NPV'!U27</f>
        <v>0</v>
      </c>
      <c r="AH102" s="197"/>
      <c r="AI102" s="197">
        <f t="shared" si="256"/>
        <v>0</v>
      </c>
      <c r="AJ102" s="197">
        <f t="shared" si="204"/>
        <v>0</v>
      </c>
      <c r="AK102" s="197">
        <f t="shared" si="205"/>
        <v>175.95</v>
      </c>
      <c r="AL102" s="196">
        <f t="shared" si="221"/>
        <v>0</v>
      </c>
      <c r="AM102" s="197">
        <f t="shared" si="222"/>
        <v>101.60674082249672</v>
      </c>
      <c r="AN102" s="197">
        <f t="shared" si="223"/>
        <v>0</v>
      </c>
      <c r="AO102" s="197">
        <f t="shared" si="224"/>
        <v>0</v>
      </c>
      <c r="AP102" s="199">
        <f t="shared" si="225"/>
        <v>101.60674082249672</v>
      </c>
      <c r="AQ102" s="196">
        <f t="shared" si="257"/>
        <v>6494.0284862495055</v>
      </c>
      <c r="AR102" s="197">
        <f t="shared" si="226"/>
        <v>2034.5314794375799</v>
      </c>
      <c r="AS102" s="197">
        <f t="shared" si="226"/>
        <v>7548.5450305277409</v>
      </c>
      <c r="AT102" s="197">
        <f t="shared" si="226"/>
        <v>-1054.516544278237</v>
      </c>
      <c r="AU102" s="199">
        <f t="shared" si="226"/>
        <v>980.01493515934203</v>
      </c>
      <c r="AV102" s="197"/>
      <c r="AX102" s="204">
        <f t="shared" si="258"/>
        <v>15</v>
      </c>
      <c r="AY102" s="759">
        <f>'Energy NPV'!$D27</f>
        <v>0</v>
      </c>
      <c r="AZ102" s="197">
        <f>'Energy margins'!$E$12</f>
        <v>72</v>
      </c>
      <c r="BA102" s="197">
        <f t="shared" si="259"/>
        <v>0</v>
      </c>
      <c r="BB102" s="197">
        <f>'Margins summary'!$Q$14</f>
        <v>175.95</v>
      </c>
      <c r="BC102" s="197">
        <f t="shared" si="227"/>
        <v>175.95</v>
      </c>
      <c r="BD102" s="197"/>
      <c r="BE102" s="918">
        <f>'Energy NPV'!U27</f>
        <v>0</v>
      </c>
      <c r="BF102" s="197"/>
      <c r="BG102" s="197">
        <f t="shared" si="228"/>
        <v>0</v>
      </c>
      <c r="BH102" s="197">
        <f t="shared" si="206"/>
        <v>0</v>
      </c>
      <c r="BI102" s="197">
        <f t="shared" si="207"/>
        <v>175.95</v>
      </c>
      <c r="BJ102" s="196">
        <f t="shared" si="229"/>
        <v>0</v>
      </c>
      <c r="BK102" s="197">
        <f t="shared" si="230"/>
        <v>101.60674082249672</v>
      </c>
      <c r="BL102" s="197">
        <f t="shared" si="231"/>
        <v>0</v>
      </c>
      <c r="BM102" s="197">
        <f t="shared" si="232"/>
        <v>0</v>
      </c>
      <c r="BN102" s="199">
        <f t="shared" si="233"/>
        <v>101.60674082249672</v>
      </c>
      <c r="BO102" s="196">
        <f t="shared" si="260"/>
        <v>6494.0284862495055</v>
      </c>
      <c r="BP102" s="197">
        <f t="shared" si="234"/>
        <v>2034.5314794375799</v>
      </c>
      <c r="BQ102" s="197">
        <f t="shared" si="234"/>
        <v>2516.1816768425815</v>
      </c>
      <c r="BR102" s="197">
        <f t="shared" si="234"/>
        <v>3977.846809406924</v>
      </c>
      <c r="BS102" s="199">
        <f t="shared" si="234"/>
        <v>6012.3782888445039</v>
      </c>
      <c r="BT102" s="197"/>
      <c r="BV102" s="204">
        <f t="shared" si="261"/>
        <v>15</v>
      </c>
      <c r="BW102" s="759">
        <f>'Energy NPV'!$D27</f>
        <v>0</v>
      </c>
      <c r="BX102" s="197">
        <f>'Energy margins'!$E$12</f>
        <v>72</v>
      </c>
      <c r="BY102" s="197">
        <f t="shared" si="262"/>
        <v>0</v>
      </c>
      <c r="BZ102" s="197">
        <f>'Margins summary'!$Q$14</f>
        <v>175.95</v>
      </c>
      <c r="CA102" s="197">
        <f t="shared" si="235"/>
        <v>175.95</v>
      </c>
      <c r="CB102" s="197"/>
      <c r="CC102" s="918">
        <f>'Energy NPV'!U27</f>
        <v>0</v>
      </c>
      <c r="CD102" s="197"/>
      <c r="CE102" s="197">
        <f t="shared" si="236"/>
        <v>0</v>
      </c>
      <c r="CF102" s="197">
        <f t="shared" si="208"/>
        <v>0</v>
      </c>
      <c r="CG102" s="197">
        <f t="shared" si="209"/>
        <v>175.95</v>
      </c>
      <c r="CH102" s="196">
        <f t="shared" si="237"/>
        <v>0</v>
      </c>
      <c r="CI102" s="197">
        <f t="shared" si="238"/>
        <v>101.60674082249672</v>
      </c>
      <c r="CJ102" s="197">
        <f t="shared" si="239"/>
        <v>0</v>
      </c>
      <c r="CK102" s="197">
        <f t="shared" si="240"/>
        <v>0</v>
      </c>
      <c r="CL102" s="199">
        <f t="shared" si="241"/>
        <v>101.60674082249672</v>
      </c>
      <c r="CM102" s="196">
        <f t="shared" si="263"/>
        <v>6494.0284862495055</v>
      </c>
      <c r="CN102" s="197">
        <f t="shared" si="242"/>
        <v>2034.5314794375799</v>
      </c>
      <c r="CO102" s="197">
        <f t="shared" si="242"/>
        <v>10064.726707370326</v>
      </c>
      <c r="CP102" s="197">
        <f t="shared" si="242"/>
        <v>-3570.6982211208197</v>
      </c>
      <c r="CQ102" s="199">
        <f t="shared" si="242"/>
        <v>-1536.1667416832404</v>
      </c>
      <c r="CR102" s="197"/>
      <c r="CT102" s="204">
        <f t="shared" si="264"/>
        <v>15</v>
      </c>
      <c r="CU102" s="759">
        <f>'Energy NPV'!$D27</f>
        <v>0</v>
      </c>
      <c r="CV102" s="197">
        <f>'Energy margins'!$E$12</f>
        <v>72</v>
      </c>
      <c r="CW102" s="197">
        <f t="shared" si="265"/>
        <v>0</v>
      </c>
      <c r="CX102" s="197">
        <f>'Margins summary'!$Q$14</f>
        <v>175.95</v>
      </c>
      <c r="CY102" s="197">
        <f t="shared" si="243"/>
        <v>175.95</v>
      </c>
      <c r="CZ102" s="197"/>
      <c r="DA102" s="918">
        <f>'Energy NPV'!U27</f>
        <v>0</v>
      </c>
      <c r="DB102" s="197"/>
      <c r="DC102" s="197">
        <f t="shared" si="244"/>
        <v>0</v>
      </c>
      <c r="DD102" s="197">
        <f t="shared" si="210"/>
        <v>0</v>
      </c>
      <c r="DE102" s="197">
        <f t="shared" si="211"/>
        <v>175.95</v>
      </c>
      <c r="DF102" s="196">
        <f t="shared" si="245"/>
        <v>0</v>
      </c>
      <c r="DG102" s="197">
        <f t="shared" si="246"/>
        <v>101.60674082249672</v>
      </c>
      <c r="DH102" s="197">
        <f t="shared" si="247"/>
        <v>0</v>
      </c>
      <c r="DI102" s="197">
        <f t="shared" si="248"/>
        <v>0</v>
      </c>
      <c r="DJ102" s="199">
        <f t="shared" si="249"/>
        <v>101.60674082249672</v>
      </c>
      <c r="DK102" s="196">
        <f t="shared" si="266"/>
        <v>6494.0284862495055</v>
      </c>
      <c r="DL102" s="197">
        <f t="shared" si="250"/>
        <v>2034.5314794375799</v>
      </c>
      <c r="DM102" s="197">
        <f t="shared" si="250"/>
        <v>0</v>
      </c>
      <c r="DN102" s="197">
        <f t="shared" si="250"/>
        <v>6494.0284862495055</v>
      </c>
      <c r="DO102" s="199">
        <f t="shared" si="250"/>
        <v>8528.5599656870854</v>
      </c>
    </row>
    <row r="103" spans="2:119" x14ac:dyDescent="0.3">
      <c r="B103" s="206">
        <f t="shared" si="251"/>
        <v>16</v>
      </c>
      <c r="C103" s="215">
        <f>'Energy NPV'!$D28</f>
        <v>30</v>
      </c>
      <c r="D103" s="207">
        <f>'Energy margins'!$E$12</f>
        <v>72</v>
      </c>
      <c r="E103" s="207">
        <f t="shared" si="252"/>
        <v>2160</v>
      </c>
      <c r="F103" s="207">
        <f>'Margins summary'!$Q$14</f>
        <v>175.95</v>
      </c>
      <c r="G103" s="207">
        <f t="shared" si="212"/>
        <v>2335.9499999999998</v>
      </c>
      <c r="H103" s="207"/>
      <c r="I103" s="919">
        <f>'Energy NPV'!U28</f>
        <v>659.29678399999989</v>
      </c>
      <c r="J103" s="207">
        <f>'Energy margins'!$J$67</f>
        <v>192.1</v>
      </c>
      <c r="K103" s="207">
        <f t="shared" si="213"/>
        <v>851.39678399999991</v>
      </c>
      <c r="L103" s="207">
        <f t="shared" si="202"/>
        <v>1308.603216</v>
      </c>
      <c r="M103" s="207">
        <f t="shared" si="203"/>
        <v>1484.5532159999998</v>
      </c>
      <c r="N103" s="208">
        <f t="shared" si="214"/>
        <v>1199.3713258606736</v>
      </c>
      <c r="O103" s="207">
        <f t="shared" si="215"/>
        <v>97.698789252400701</v>
      </c>
      <c r="P103" s="207">
        <f t="shared" si="216"/>
        <v>472.7504118794414</v>
      </c>
      <c r="Q103" s="207">
        <f t="shared" si="217"/>
        <v>726.62091398123209</v>
      </c>
      <c r="R103" s="209">
        <f t="shared" si="218"/>
        <v>824.31970323363271</v>
      </c>
      <c r="S103" s="208">
        <f t="shared" si="253"/>
        <v>7693.3998121101795</v>
      </c>
      <c r="T103" s="207">
        <f t="shared" si="219"/>
        <v>2132.2302686899807</v>
      </c>
      <c r="U103" s="207">
        <f t="shared" si="219"/>
        <v>5505.1137655646044</v>
      </c>
      <c r="V103" s="207">
        <f t="shared" si="219"/>
        <v>2188.2860465455751</v>
      </c>
      <c r="W103" s="209">
        <f t="shared" si="219"/>
        <v>4320.5163152355544</v>
      </c>
      <c r="X103" s="197"/>
      <c r="Z103" s="206">
        <f t="shared" si="254"/>
        <v>16</v>
      </c>
      <c r="AA103" s="215">
        <f>'Energy NPV'!$D28</f>
        <v>30</v>
      </c>
      <c r="AB103" s="207">
        <f>'Energy margins'!$E$12</f>
        <v>72</v>
      </c>
      <c r="AC103" s="207">
        <f t="shared" si="255"/>
        <v>2160</v>
      </c>
      <c r="AD103" s="207">
        <f>'Margins summary'!$Q$14</f>
        <v>175.95</v>
      </c>
      <c r="AE103" s="207">
        <f t="shared" si="220"/>
        <v>2335.9499999999998</v>
      </c>
      <c r="AF103" s="207"/>
      <c r="AG103" s="919">
        <f>'Energy NPV'!U28</f>
        <v>659.29678399999989</v>
      </c>
      <c r="AH103" s="207">
        <f>'Energy margins'!$J$67</f>
        <v>192.1</v>
      </c>
      <c r="AI103" s="207">
        <f>(AF103+AG103+AH103)+0.5*(AF103+AG103+AH103)</f>
        <v>1277.0951759999998</v>
      </c>
      <c r="AJ103" s="207">
        <f t="shared" si="204"/>
        <v>882.90482400000019</v>
      </c>
      <c r="AK103" s="207">
        <f t="shared" si="205"/>
        <v>1058.854824</v>
      </c>
      <c r="AL103" s="208">
        <f t="shared" si="221"/>
        <v>1199.3713258606736</v>
      </c>
      <c r="AM103" s="207">
        <f t="shared" si="222"/>
        <v>97.698789252400701</v>
      </c>
      <c r="AN103" s="207">
        <f t="shared" si="223"/>
        <v>709.12561781916202</v>
      </c>
      <c r="AO103" s="207">
        <f t="shared" si="224"/>
        <v>490.24570804151153</v>
      </c>
      <c r="AP103" s="209">
        <f t="shared" si="225"/>
        <v>587.94449729391215</v>
      </c>
      <c r="AQ103" s="208">
        <f>AQ102+AL103</f>
        <v>7693.3998121101795</v>
      </c>
      <c r="AR103" s="207">
        <f t="shared" si="226"/>
        <v>2132.2302686899807</v>
      </c>
      <c r="AS103" s="207">
        <f t="shared" si="226"/>
        <v>8257.6706483469025</v>
      </c>
      <c r="AT103" s="207">
        <f t="shared" si="226"/>
        <v>-564.27083623672547</v>
      </c>
      <c r="AU103" s="209">
        <f t="shared" si="226"/>
        <v>1567.9594324532541</v>
      </c>
      <c r="AV103" s="197"/>
      <c r="AX103" s="206">
        <f t="shared" si="258"/>
        <v>16</v>
      </c>
      <c r="AY103" s="215">
        <f>'Energy NPV'!$D28</f>
        <v>30</v>
      </c>
      <c r="AZ103" s="207">
        <f>'Energy margins'!$E$12</f>
        <v>72</v>
      </c>
      <c r="BA103" s="207">
        <f t="shared" si="259"/>
        <v>2160</v>
      </c>
      <c r="BB103" s="207">
        <f>'Margins summary'!$Q$14</f>
        <v>175.95</v>
      </c>
      <c r="BC103" s="207">
        <f t="shared" si="227"/>
        <v>2335.9499999999998</v>
      </c>
      <c r="BD103" s="207"/>
      <c r="BE103" s="919">
        <f>'Energy NPV'!U28</f>
        <v>659.29678399999989</v>
      </c>
      <c r="BF103" s="207">
        <f>'Energy margins'!$J$67</f>
        <v>192.1</v>
      </c>
      <c r="BG103" s="207">
        <f t="shared" si="228"/>
        <v>425.69839199999996</v>
      </c>
      <c r="BH103" s="207">
        <f t="shared" si="206"/>
        <v>1734.301608</v>
      </c>
      <c r="BI103" s="207">
        <f t="shared" si="207"/>
        <v>1910.2516079999998</v>
      </c>
      <c r="BJ103" s="208">
        <f t="shared" si="229"/>
        <v>1199.3713258606736</v>
      </c>
      <c r="BK103" s="207">
        <f t="shared" si="230"/>
        <v>97.698789252400701</v>
      </c>
      <c r="BL103" s="207">
        <f t="shared" si="231"/>
        <v>236.3752059397207</v>
      </c>
      <c r="BM103" s="207">
        <f t="shared" si="232"/>
        <v>962.99611992095288</v>
      </c>
      <c r="BN103" s="209">
        <f t="shared" si="233"/>
        <v>1060.6949091733534</v>
      </c>
      <c r="BO103" s="208">
        <f t="shared" si="260"/>
        <v>7693.3998121101795</v>
      </c>
      <c r="BP103" s="207">
        <f t="shared" si="234"/>
        <v>2132.2302686899807</v>
      </c>
      <c r="BQ103" s="207">
        <f t="shared" si="234"/>
        <v>2752.5568827823022</v>
      </c>
      <c r="BR103" s="207">
        <f t="shared" si="234"/>
        <v>4940.8429293278768</v>
      </c>
      <c r="BS103" s="209">
        <f t="shared" si="234"/>
        <v>7073.0731980178571</v>
      </c>
      <c r="BT103" s="197"/>
      <c r="BV103" s="206">
        <f t="shared" si="261"/>
        <v>16</v>
      </c>
      <c r="BW103" s="215">
        <f>'Energy NPV'!$D28</f>
        <v>30</v>
      </c>
      <c r="BX103" s="207">
        <f>'Energy margins'!$E$12</f>
        <v>72</v>
      </c>
      <c r="BY103" s="207">
        <f t="shared" si="262"/>
        <v>2160</v>
      </c>
      <c r="BZ103" s="207">
        <f>'Margins summary'!$Q$14</f>
        <v>175.95</v>
      </c>
      <c r="CA103" s="207">
        <f t="shared" si="235"/>
        <v>2335.9499999999998</v>
      </c>
      <c r="CB103" s="207"/>
      <c r="CC103" s="919">
        <f>'Energy NPV'!U28</f>
        <v>659.29678399999989</v>
      </c>
      <c r="CD103" s="207">
        <f>'Energy margins'!$J$67</f>
        <v>192.1</v>
      </c>
      <c r="CE103" s="207">
        <f t="shared" si="236"/>
        <v>1702.7935679999996</v>
      </c>
      <c r="CF103" s="207">
        <f t="shared" si="208"/>
        <v>457.2064320000004</v>
      </c>
      <c r="CG103" s="207">
        <f t="shared" si="209"/>
        <v>633.15643200000022</v>
      </c>
      <c r="CH103" s="208">
        <f t="shared" si="237"/>
        <v>1199.3713258606736</v>
      </c>
      <c r="CI103" s="207">
        <f t="shared" si="238"/>
        <v>97.698789252400701</v>
      </c>
      <c r="CJ103" s="207">
        <f t="shared" si="239"/>
        <v>945.50082375888269</v>
      </c>
      <c r="CK103" s="207">
        <f t="shared" si="240"/>
        <v>253.87050210179092</v>
      </c>
      <c r="CL103" s="209">
        <f t="shared" si="241"/>
        <v>351.56929135419153</v>
      </c>
      <c r="CM103" s="208">
        <f t="shared" si="263"/>
        <v>7693.3998121101795</v>
      </c>
      <c r="CN103" s="207">
        <f t="shared" si="242"/>
        <v>2132.2302686899807</v>
      </c>
      <c r="CO103" s="207">
        <f t="shared" si="242"/>
        <v>11010.227531129209</v>
      </c>
      <c r="CP103" s="207">
        <f t="shared" si="242"/>
        <v>-3316.8277190190288</v>
      </c>
      <c r="CQ103" s="209">
        <f t="shared" si="242"/>
        <v>-1184.5974503290488</v>
      </c>
      <c r="CR103" s="197"/>
      <c r="CT103" s="206">
        <f t="shared" si="264"/>
        <v>16</v>
      </c>
      <c r="CU103" s="215">
        <f>'Energy NPV'!$D28</f>
        <v>30</v>
      </c>
      <c r="CV103" s="207">
        <f>'Energy margins'!$E$12</f>
        <v>72</v>
      </c>
      <c r="CW103" s="207">
        <f t="shared" si="265"/>
        <v>2160</v>
      </c>
      <c r="CX103" s="207">
        <f>'Margins summary'!$Q$14</f>
        <v>175.95</v>
      </c>
      <c r="CY103" s="207">
        <f t="shared" si="243"/>
        <v>2335.9499999999998</v>
      </c>
      <c r="CZ103" s="207"/>
      <c r="DA103" s="919">
        <f>'Energy NPV'!U28</f>
        <v>659.29678399999989</v>
      </c>
      <c r="DB103" s="207">
        <f>'Energy margins'!$J$67</f>
        <v>192.1</v>
      </c>
      <c r="DC103" s="207">
        <f t="shared" si="244"/>
        <v>0</v>
      </c>
      <c r="DD103" s="207">
        <f t="shared" si="210"/>
        <v>2160</v>
      </c>
      <c r="DE103" s="207">
        <f t="shared" si="211"/>
        <v>2335.9499999999998</v>
      </c>
      <c r="DF103" s="208">
        <f t="shared" si="245"/>
        <v>1199.3713258606736</v>
      </c>
      <c r="DG103" s="207">
        <f t="shared" si="246"/>
        <v>97.698789252400701</v>
      </c>
      <c r="DH103" s="207">
        <f t="shared" si="247"/>
        <v>0</v>
      </c>
      <c r="DI103" s="207">
        <f t="shared" si="248"/>
        <v>1199.3713258606736</v>
      </c>
      <c r="DJ103" s="209">
        <f>DE103/((1+$B$4)^(CT103-1))</f>
        <v>1297.0701151130743</v>
      </c>
      <c r="DK103" s="208">
        <f t="shared" si="266"/>
        <v>7693.3998121101795</v>
      </c>
      <c r="DL103" s="207">
        <f t="shared" si="250"/>
        <v>2132.2302686899807</v>
      </c>
      <c r="DM103" s="207">
        <f t="shared" si="250"/>
        <v>0</v>
      </c>
      <c r="DN103" s="207">
        <f t="shared" si="250"/>
        <v>7693.3998121101795</v>
      </c>
      <c r="DO103" s="209">
        <f t="shared" si="250"/>
        <v>9825.6300808001597</v>
      </c>
    </row>
    <row r="109" spans="2:119" x14ac:dyDescent="0.3">
      <c r="B109" s="211" t="s">
        <v>95</v>
      </c>
      <c r="C109" s="763" t="s">
        <v>414</v>
      </c>
      <c r="D109" s="269" t="s">
        <v>405</v>
      </c>
      <c r="E109" s="906">
        <v>1</v>
      </c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Z109" s="211" t="s">
        <v>95</v>
      </c>
      <c r="AA109" s="211" t="s">
        <v>331</v>
      </c>
      <c r="AB109" s="906">
        <v>1.5</v>
      </c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X109" s="211" t="s">
        <v>95</v>
      </c>
      <c r="AY109" s="211" t="s">
        <v>429</v>
      </c>
      <c r="AZ109" s="906">
        <v>0.5</v>
      </c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V109" s="211" t="s">
        <v>95</v>
      </c>
      <c r="BW109" s="211" t="s">
        <v>333</v>
      </c>
      <c r="BX109" s="906">
        <v>2</v>
      </c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T109" s="211" t="s">
        <v>95</v>
      </c>
      <c r="CU109" s="211" t="s">
        <v>334</v>
      </c>
      <c r="CV109" s="910">
        <v>0</v>
      </c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</row>
    <row r="110" spans="2:119" x14ac:dyDescent="0.3">
      <c r="B110" s="203"/>
      <c r="C110" s="148"/>
      <c r="D110" s="148"/>
      <c r="E110" s="1086"/>
      <c r="F110" s="1086"/>
      <c r="G110" s="1086"/>
      <c r="H110" s="148"/>
      <c r="I110" s="931"/>
      <c r="J110" s="1086"/>
      <c r="K110" s="1086"/>
      <c r="L110" s="148"/>
      <c r="M110" s="148"/>
      <c r="N110" s="1087" t="s">
        <v>275</v>
      </c>
      <c r="O110" s="1088"/>
      <c r="P110" s="1088"/>
      <c r="Q110" s="1088"/>
      <c r="R110" s="1089"/>
      <c r="S110" s="1087" t="s">
        <v>276</v>
      </c>
      <c r="T110" s="1088"/>
      <c r="U110" s="1088"/>
      <c r="V110" s="1088"/>
      <c r="W110" s="1089"/>
      <c r="X110" s="987"/>
      <c r="Z110" s="203"/>
      <c r="AA110" s="148"/>
      <c r="AB110" s="148"/>
      <c r="AC110" s="1086"/>
      <c r="AD110" s="1086"/>
      <c r="AE110" s="1086"/>
      <c r="AF110" s="148"/>
      <c r="AG110" s="931"/>
      <c r="AH110" s="1086"/>
      <c r="AI110" s="1086"/>
      <c r="AJ110" s="148"/>
      <c r="AK110" s="148"/>
      <c r="AL110" s="1087" t="s">
        <v>275</v>
      </c>
      <c r="AM110" s="1088"/>
      <c r="AN110" s="1088"/>
      <c r="AO110" s="1088"/>
      <c r="AP110" s="1089"/>
      <c r="AQ110" s="1087" t="s">
        <v>276</v>
      </c>
      <c r="AR110" s="1088"/>
      <c r="AS110" s="1088"/>
      <c r="AT110" s="1088"/>
      <c r="AU110" s="1089"/>
      <c r="AV110" s="987"/>
      <c r="AX110" s="203"/>
      <c r="AY110" s="148"/>
      <c r="AZ110" s="148"/>
      <c r="BA110" s="1086"/>
      <c r="BB110" s="1086"/>
      <c r="BC110" s="1086"/>
      <c r="BD110" s="148"/>
      <c r="BE110" s="931"/>
      <c r="BF110" s="1086"/>
      <c r="BG110" s="1086"/>
      <c r="BH110" s="148"/>
      <c r="BI110" s="148"/>
      <c r="BJ110" s="1087" t="s">
        <v>275</v>
      </c>
      <c r="BK110" s="1088"/>
      <c r="BL110" s="1088"/>
      <c r="BM110" s="1088"/>
      <c r="BN110" s="1089"/>
      <c r="BO110" s="1087" t="s">
        <v>276</v>
      </c>
      <c r="BP110" s="1088"/>
      <c r="BQ110" s="1088"/>
      <c r="BR110" s="1088"/>
      <c r="BS110" s="1089"/>
      <c r="BT110" s="987"/>
      <c r="BV110" s="203"/>
      <c r="BW110" s="148"/>
      <c r="BX110" s="148"/>
      <c r="BY110" s="1086"/>
      <c r="BZ110" s="1086"/>
      <c r="CA110" s="1086"/>
      <c r="CB110" s="148"/>
      <c r="CC110" s="931"/>
      <c r="CD110" s="1086"/>
      <c r="CE110" s="1086"/>
      <c r="CF110" s="148"/>
      <c r="CG110" s="148"/>
      <c r="CH110" s="1087" t="s">
        <v>275</v>
      </c>
      <c r="CI110" s="1088"/>
      <c r="CJ110" s="1088"/>
      <c r="CK110" s="1088"/>
      <c r="CL110" s="1089"/>
      <c r="CM110" s="1087" t="s">
        <v>276</v>
      </c>
      <c r="CN110" s="1088"/>
      <c r="CO110" s="1088"/>
      <c r="CP110" s="1088"/>
      <c r="CQ110" s="1089"/>
      <c r="CR110" s="987"/>
      <c r="CT110" s="203"/>
      <c r="CU110" s="148"/>
      <c r="CV110" s="148"/>
      <c r="CW110" s="1086"/>
      <c r="CX110" s="1086"/>
      <c r="CY110" s="1086"/>
      <c r="CZ110" s="148"/>
      <c r="DA110" s="931"/>
      <c r="DB110" s="1086"/>
      <c r="DC110" s="1086"/>
      <c r="DD110" s="148"/>
      <c r="DE110" s="148"/>
      <c r="DF110" s="1087" t="s">
        <v>275</v>
      </c>
      <c r="DG110" s="1088"/>
      <c r="DH110" s="1088"/>
      <c r="DI110" s="1088"/>
      <c r="DJ110" s="1089"/>
      <c r="DK110" s="1087" t="s">
        <v>276</v>
      </c>
      <c r="DL110" s="1088"/>
      <c r="DM110" s="1088"/>
      <c r="DN110" s="1088"/>
      <c r="DO110" s="1089"/>
    </row>
    <row r="111" spans="2:119" ht="51" x14ac:dyDescent="0.3">
      <c r="B111" s="204" t="s">
        <v>277</v>
      </c>
      <c r="C111" s="205" t="s">
        <v>303</v>
      </c>
      <c r="D111" s="205" t="s">
        <v>304</v>
      </c>
      <c r="E111" s="171" t="s">
        <v>675</v>
      </c>
      <c r="F111" s="171" t="s">
        <v>666</v>
      </c>
      <c r="G111" s="171" t="s">
        <v>676</v>
      </c>
      <c r="H111" s="205" t="s">
        <v>301</v>
      </c>
      <c r="I111" s="935" t="str">
        <f>'Energy NPV'!U37</f>
        <v>Total Recurring Costs</v>
      </c>
      <c r="J111" s="205" t="s">
        <v>305</v>
      </c>
      <c r="K111" s="171" t="s">
        <v>283</v>
      </c>
      <c r="L111" s="171" t="s">
        <v>677</v>
      </c>
      <c r="M111" s="171" t="s">
        <v>678</v>
      </c>
      <c r="N111" s="195" t="s">
        <v>286</v>
      </c>
      <c r="O111" s="171" t="s">
        <v>679</v>
      </c>
      <c r="P111" s="171" t="s">
        <v>288</v>
      </c>
      <c r="Q111" s="171" t="s">
        <v>680</v>
      </c>
      <c r="R111" s="198" t="s">
        <v>290</v>
      </c>
      <c r="S111" s="195" t="s">
        <v>291</v>
      </c>
      <c r="T111" s="171" t="s">
        <v>681</v>
      </c>
      <c r="U111" s="171" t="s">
        <v>293</v>
      </c>
      <c r="V111" s="171" t="s">
        <v>682</v>
      </c>
      <c r="W111" s="198" t="s">
        <v>295</v>
      </c>
      <c r="X111" s="171"/>
      <c r="Z111" s="204" t="s">
        <v>277</v>
      </c>
      <c r="AA111" s="205" t="s">
        <v>303</v>
      </c>
      <c r="AB111" s="205" t="s">
        <v>304</v>
      </c>
      <c r="AC111" s="171" t="s">
        <v>675</v>
      </c>
      <c r="AD111" s="171" t="s">
        <v>666</v>
      </c>
      <c r="AE111" s="171" t="s">
        <v>676</v>
      </c>
      <c r="AF111" s="205" t="s">
        <v>301</v>
      </c>
      <c r="AG111" s="935" t="str">
        <f>'Energy NPV'!U37</f>
        <v>Total Recurring Costs</v>
      </c>
      <c r="AH111" s="205" t="s">
        <v>305</v>
      </c>
      <c r="AI111" s="171" t="s">
        <v>283</v>
      </c>
      <c r="AJ111" s="171" t="s">
        <v>677</v>
      </c>
      <c r="AK111" s="171" t="s">
        <v>678</v>
      </c>
      <c r="AL111" s="195" t="s">
        <v>286</v>
      </c>
      <c r="AM111" s="171" t="s">
        <v>679</v>
      </c>
      <c r="AN111" s="171" t="s">
        <v>288</v>
      </c>
      <c r="AO111" s="171" t="s">
        <v>680</v>
      </c>
      <c r="AP111" s="198" t="s">
        <v>290</v>
      </c>
      <c r="AQ111" s="195" t="s">
        <v>291</v>
      </c>
      <c r="AR111" s="171" t="s">
        <v>681</v>
      </c>
      <c r="AS111" s="171" t="s">
        <v>293</v>
      </c>
      <c r="AT111" s="171" t="s">
        <v>682</v>
      </c>
      <c r="AU111" s="198" t="s">
        <v>295</v>
      </c>
      <c r="AV111" s="171"/>
      <c r="AX111" s="204" t="s">
        <v>277</v>
      </c>
      <c r="AY111" s="205" t="s">
        <v>303</v>
      </c>
      <c r="AZ111" s="205" t="s">
        <v>304</v>
      </c>
      <c r="BA111" s="171" t="s">
        <v>675</v>
      </c>
      <c r="BB111" s="171" t="s">
        <v>666</v>
      </c>
      <c r="BC111" s="171" t="s">
        <v>676</v>
      </c>
      <c r="BD111" s="205" t="s">
        <v>301</v>
      </c>
      <c r="BE111" s="935" t="str">
        <f>'Energy NPV'!U37</f>
        <v>Total Recurring Costs</v>
      </c>
      <c r="BF111" s="205" t="s">
        <v>305</v>
      </c>
      <c r="BG111" s="171" t="s">
        <v>283</v>
      </c>
      <c r="BH111" s="171" t="s">
        <v>677</v>
      </c>
      <c r="BI111" s="171" t="s">
        <v>678</v>
      </c>
      <c r="BJ111" s="195" t="s">
        <v>286</v>
      </c>
      <c r="BK111" s="171" t="s">
        <v>679</v>
      </c>
      <c r="BL111" s="171" t="s">
        <v>288</v>
      </c>
      <c r="BM111" s="171" t="s">
        <v>680</v>
      </c>
      <c r="BN111" s="198" t="s">
        <v>290</v>
      </c>
      <c r="BO111" s="195" t="s">
        <v>291</v>
      </c>
      <c r="BP111" s="171" t="s">
        <v>681</v>
      </c>
      <c r="BQ111" s="171" t="s">
        <v>293</v>
      </c>
      <c r="BR111" s="171" t="s">
        <v>682</v>
      </c>
      <c r="BS111" s="198" t="s">
        <v>295</v>
      </c>
      <c r="BT111" s="171"/>
      <c r="BV111" s="204" t="s">
        <v>277</v>
      </c>
      <c r="BW111" s="205" t="s">
        <v>303</v>
      </c>
      <c r="BX111" s="205" t="s">
        <v>304</v>
      </c>
      <c r="BY111" s="171" t="s">
        <v>675</v>
      </c>
      <c r="BZ111" s="171" t="s">
        <v>666</v>
      </c>
      <c r="CA111" s="171" t="s">
        <v>676</v>
      </c>
      <c r="CB111" s="205" t="s">
        <v>301</v>
      </c>
      <c r="CC111" s="935" t="str">
        <f>'Energy NPV'!U37</f>
        <v>Total Recurring Costs</v>
      </c>
      <c r="CD111" s="205" t="s">
        <v>305</v>
      </c>
      <c r="CE111" s="171" t="s">
        <v>283</v>
      </c>
      <c r="CF111" s="171" t="s">
        <v>677</v>
      </c>
      <c r="CG111" s="171" t="s">
        <v>678</v>
      </c>
      <c r="CH111" s="195" t="s">
        <v>286</v>
      </c>
      <c r="CI111" s="171" t="s">
        <v>679</v>
      </c>
      <c r="CJ111" s="171" t="s">
        <v>288</v>
      </c>
      <c r="CK111" s="171" t="s">
        <v>680</v>
      </c>
      <c r="CL111" s="198" t="s">
        <v>290</v>
      </c>
      <c r="CM111" s="195" t="s">
        <v>291</v>
      </c>
      <c r="CN111" s="171" t="s">
        <v>681</v>
      </c>
      <c r="CO111" s="171" t="s">
        <v>293</v>
      </c>
      <c r="CP111" s="171" t="s">
        <v>682</v>
      </c>
      <c r="CQ111" s="198" t="s">
        <v>295</v>
      </c>
      <c r="CR111" s="171"/>
      <c r="CT111" s="204" t="s">
        <v>277</v>
      </c>
      <c r="CU111" s="205" t="s">
        <v>303</v>
      </c>
      <c r="CV111" s="205" t="s">
        <v>304</v>
      </c>
      <c r="CW111" s="171" t="s">
        <v>675</v>
      </c>
      <c r="CX111" s="171" t="s">
        <v>666</v>
      </c>
      <c r="CY111" s="171" t="s">
        <v>676</v>
      </c>
      <c r="CZ111" s="205" t="s">
        <v>301</v>
      </c>
      <c r="DA111" s="935" t="str">
        <f>'Energy NPV'!U37</f>
        <v>Total Recurring Costs</v>
      </c>
      <c r="DB111" s="205" t="s">
        <v>305</v>
      </c>
      <c r="DC111" s="171" t="s">
        <v>283</v>
      </c>
      <c r="DD111" s="171" t="s">
        <v>677</v>
      </c>
      <c r="DE111" s="171" t="s">
        <v>678</v>
      </c>
      <c r="DF111" s="195" t="s">
        <v>286</v>
      </c>
      <c r="DG111" s="171" t="s">
        <v>679</v>
      </c>
      <c r="DH111" s="171" t="s">
        <v>288</v>
      </c>
      <c r="DI111" s="171" t="s">
        <v>680</v>
      </c>
      <c r="DJ111" s="198" t="s">
        <v>290</v>
      </c>
      <c r="DK111" s="195" t="s">
        <v>291</v>
      </c>
      <c r="DL111" s="171" t="s">
        <v>681</v>
      </c>
      <c r="DM111" s="171" t="s">
        <v>293</v>
      </c>
      <c r="DN111" s="171" t="s">
        <v>682</v>
      </c>
      <c r="DO111" s="198" t="s">
        <v>295</v>
      </c>
    </row>
    <row r="112" spans="2:119" x14ac:dyDescent="0.3">
      <c r="B112" s="173"/>
      <c r="C112" s="226" t="s">
        <v>341</v>
      </c>
      <c r="D112" s="226" t="s">
        <v>601</v>
      </c>
      <c r="E112" s="201" t="s">
        <v>599</v>
      </c>
      <c r="F112" s="201" t="s">
        <v>599</v>
      </c>
      <c r="G112" s="201" t="s">
        <v>599</v>
      </c>
      <c r="H112" s="201" t="s">
        <v>599</v>
      </c>
      <c r="I112" s="969" t="str">
        <f>'Energy NPV'!U38</f>
        <v>(€ ha-1)</v>
      </c>
      <c r="J112" s="201" t="s">
        <v>599</v>
      </c>
      <c r="K112" s="201" t="s">
        <v>599</v>
      </c>
      <c r="L112" s="201" t="s">
        <v>599</v>
      </c>
      <c r="M112" s="202" t="s">
        <v>599</v>
      </c>
      <c r="N112" s="201" t="s">
        <v>599</v>
      </c>
      <c r="O112" s="201" t="s">
        <v>599</v>
      </c>
      <c r="P112" s="201" t="s">
        <v>599</v>
      </c>
      <c r="Q112" s="201" t="s">
        <v>599</v>
      </c>
      <c r="R112" s="202" t="s">
        <v>599</v>
      </c>
      <c r="S112" s="201" t="s">
        <v>599</v>
      </c>
      <c r="T112" s="201" t="s">
        <v>599</v>
      </c>
      <c r="U112" s="201" t="s">
        <v>599</v>
      </c>
      <c r="V112" s="201" t="s">
        <v>599</v>
      </c>
      <c r="W112" s="202" t="s">
        <v>599</v>
      </c>
      <c r="X112" s="988"/>
      <c r="Z112" s="173"/>
      <c r="AA112" s="226" t="s">
        <v>341</v>
      </c>
      <c r="AB112" s="226" t="s">
        <v>601</v>
      </c>
      <c r="AC112" s="201" t="s">
        <v>599</v>
      </c>
      <c r="AD112" s="201" t="s">
        <v>599</v>
      </c>
      <c r="AE112" s="201" t="s">
        <v>599</v>
      </c>
      <c r="AF112" s="201" t="s">
        <v>599</v>
      </c>
      <c r="AG112" s="969" t="str">
        <f>'Energy NPV'!U38</f>
        <v>(€ ha-1)</v>
      </c>
      <c r="AH112" s="201" t="s">
        <v>599</v>
      </c>
      <c r="AI112" s="201" t="s">
        <v>599</v>
      </c>
      <c r="AJ112" s="201" t="s">
        <v>599</v>
      </c>
      <c r="AK112" s="202" t="s">
        <v>599</v>
      </c>
      <c r="AL112" s="201" t="s">
        <v>599</v>
      </c>
      <c r="AM112" s="201" t="s">
        <v>599</v>
      </c>
      <c r="AN112" s="201" t="s">
        <v>599</v>
      </c>
      <c r="AO112" s="201" t="s">
        <v>599</v>
      </c>
      <c r="AP112" s="202" t="s">
        <v>599</v>
      </c>
      <c r="AQ112" s="201" t="s">
        <v>599</v>
      </c>
      <c r="AR112" s="201" t="s">
        <v>599</v>
      </c>
      <c r="AS112" s="201" t="s">
        <v>599</v>
      </c>
      <c r="AT112" s="201" t="s">
        <v>599</v>
      </c>
      <c r="AU112" s="202" t="s">
        <v>599</v>
      </c>
      <c r="AV112" s="988"/>
      <c r="AX112" s="173"/>
      <c r="AY112" s="226" t="s">
        <v>341</v>
      </c>
      <c r="AZ112" s="226" t="s">
        <v>601</v>
      </c>
      <c r="BA112" s="201" t="s">
        <v>599</v>
      </c>
      <c r="BB112" s="201" t="s">
        <v>599</v>
      </c>
      <c r="BC112" s="201" t="s">
        <v>599</v>
      </c>
      <c r="BD112" s="201" t="s">
        <v>599</v>
      </c>
      <c r="BE112" s="969" t="str">
        <f>'Energy NPV'!U38</f>
        <v>(€ ha-1)</v>
      </c>
      <c r="BF112" s="201" t="s">
        <v>599</v>
      </c>
      <c r="BG112" s="201" t="s">
        <v>599</v>
      </c>
      <c r="BH112" s="201" t="s">
        <v>599</v>
      </c>
      <c r="BI112" s="202" t="s">
        <v>599</v>
      </c>
      <c r="BJ112" s="201" t="s">
        <v>599</v>
      </c>
      <c r="BK112" s="201" t="s">
        <v>599</v>
      </c>
      <c r="BL112" s="201" t="s">
        <v>599</v>
      </c>
      <c r="BM112" s="201" t="s">
        <v>599</v>
      </c>
      <c r="BN112" s="202" t="s">
        <v>599</v>
      </c>
      <c r="BO112" s="201" t="s">
        <v>599</v>
      </c>
      <c r="BP112" s="201" t="s">
        <v>599</v>
      </c>
      <c r="BQ112" s="201" t="s">
        <v>599</v>
      </c>
      <c r="BR112" s="201" t="s">
        <v>599</v>
      </c>
      <c r="BS112" s="202" t="s">
        <v>599</v>
      </c>
      <c r="BT112" s="988"/>
      <c r="BV112" s="173"/>
      <c r="BW112" s="226" t="s">
        <v>341</v>
      </c>
      <c r="BX112" s="226" t="s">
        <v>601</v>
      </c>
      <c r="BY112" s="201" t="s">
        <v>599</v>
      </c>
      <c r="BZ112" s="201" t="s">
        <v>599</v>
      </c>
      <c r="CA112" s="201" t="s">
        <v>599</v>
      </c>
      <c r="CB112" s="201" t="s">
        <v>599</v>
      </c>
      <c r="CC112" s="969" t="str">
        <f>'Energy NPV'!U38</f>
        <v>(€ ha-1)</v>
      </c>
      <c r="CD112" s="201" t="s">
        <v>599</v>
      </c>
      <c r="CE112" s="201" t="s">
        <v>599</v>
      </c>
      <c r="CF112" s="201" t="s">
        <v>599</v>
      </c>
      <c r="CG112" s="202" t="s">
        <v>599</v>
      </c>
      <c r="CH112" s="201" t="s">
        <v>599</v>
      </c>
      <c r="CI112" s="201" t="s">
        <v>599</v>
      </c>
      <c r="CJ112" s="201" t="s">
        <v>599</v>
      </c>
      <c r="CK112" s="201" t="s">
        <v>599</v>
      </c>
      <c r="CL112" s="202" t="s">
        <v>599</v>
      </c>
      <c r="CM112" s="201" t="s">
        <v>599</v>
      </c>
      <c r="CN112" s="201" t="s">
        <v>599</v>
      </c>
      <c r="CO112" s="201" t="s">
        <v>599</v>
      </c>
      <c r="CP112" s="201" t="s">
        <v>599</v>
      </c>
      <c r="CQ112" s="202" t="s">
        <v>599</v>
      </c>
      <c r="CR112" s="988"/>
      <c r="CT112" s="173"/>
      <c r="CU112" s="226" t="s">
        <v>341</v>
      </c>
      <c r="CV112" s="226" t="s">
        <v>601</v>
      </c>
      <c r="CW112" s="201" t="s">
        <v>599</v>
      </c>
      <c r="CX112" s="201" t="s">
        <v>599</v>
      </c>
      <c r="CY112" s="201" t="s">
        <v>599</v>
      </c>
      <c r="CZ112" s="201" t="s">
        <v>599</v>
      </c>
      <c r="DA112" s="969" t="str">
        <f>'Energy NPV'!U38</f>
        <v>(€ ha-1)</v>
      </c>
      <c r="DB112" s="201" t="s">
        <v>599</v>
      </c>
      <c r="DC112" s="201" t="s">
        <v>599</v>
      </c>
      <c r="DD112" s="201" t="s">
        <v>599</v>
      </c>
      <c r="DE112" s="202" t="s">
        <v>599</v>
      </c>
      <c r="DF112" s="201" t="s">
        <v>599</v>
      </c>
      <c r="DG112" s="201" t="s">
        <v>599</v>
      </c>
      <c r="DH112" s="201" t="s">
        <v>599</v>
      </c>
      <c r="DI112" s="201" t="s">
        <v>599</v>
      </c>
      <c r="DJ112" s="202" t="s">
        <v>599</v>
      </c>
      <c r="DK112" s="201" t="s">
        <v>599</v>
      </c>
      <c r="DL112" s="201" t="s">
        <v>599</v>
      </c>
      <c r="DM112" s="201" t="s">
        <v>599</v>
      </c>
      <c r="DN112" s="201" t="s">
        <v>599</v>
      </c>
      <c r="DO112" s="202" t="s">
        <v>599</v>
      </c>
    </row>
    <row r="113" spans="2:119" x14ac:dyDescent="0.3">
      <c r="B113" s="204">
        <v>1</v>
      </c>
      <c r="C113" s="760">
        <f>'Energy NPV'!$D39</f>
        <v>0.6</v>
      </c>
      <c r="D113" s="197">
        <f>'Energy margins'!$L$12</f>
        <v>72</v>
      </c>
      <c r="E113" s="197">
        <f>C113*D113</f>
        <v>43.199999999999996</v>
      </c>
      <c r="F113" s="197">
        <f>'Margins summary'!$S$14</f>
        <v>175.95</v>
      </c>
      <c r="G113" s="197">
        <f>E113+F113</f>
        <v>219.14999999999998</v>
      </c>
      <c r="H113" s="197">
        <f>'Margins summary'!$R$20</f>
        <v>2224.610784</v>
      </c>
      <c r="I113" s="918">
        <f>'Energy NPV'!U39</f>
        <v>0</v>
      </c>
      <c r="J113" s="197"/>
      <c r="K113" s="197">
        <f>(H113+I113+J113)*$E$109</f>
        <v>2224.610784</v>
      </c>
      <c r="L113" s="197">
        <f t="shared" ref="L113:L128" si="267">E113-K113</f>
        <v>-2181.4107840000001</v>
      </c>
      <c r="M113" s="197">
        <f t="shared" ref="M113:M128" si="268">G113-K113</f>
        <v>-2005.4607839999999</v>
      </c>
      <c r="N113" s="1018">
        <f>E113/((1+$B$4)^(B113-1))</f>
        <v>43.199999999999996</v>
      </c>
      <c r="O113" s="213">
        <f>F113/((1+$B$4)^(B113-1))</f>
        <v>175.95</v>
      </c>
      <c r="P113" s="213">
        <f>K113/((1+$B$4)^(B113-1))</f>
        <v>2224.610784</v>
      </c>
      <c r="Q113" s="213">
        <f>L113/((1+$B$4)^(B113-1))</f>
        <v>-2181.4107840000001</v>
      </c>
      <c r="R113" s="929">
        <f>M113/((1+$B$4)^(B113-1))</f>
        <v>-2005.4607839999999</v>
      </c>
      <c r="S113" s="196">
        <f>N113</f>
        <v>43.199999999999996</v>
      </c>
      <c r="T113" s="197">
        <f>O113</f>
        <v>175.95</v>
      </c>
      <c r="U113" s="197">
        <f>P113</f>
        <v>2224.610784</v>
      </c>
      <c r="V113" s="197">
        <f>Q113</f>
        <v>-2181.4107840000001</v>
      </c>
      <c r="W113" s="199">
        <f>R113</f>
        <v>-2005.4607839999999</v>
      </c>
      <c r="X113" s="197"/>
      <c r="Z113" s="204">
        <v>1</v>
      </c>
      <c r="AA113" s="760">
        <f>'Energy NPV'!$D39</f>
        <v>0.6</v>
      </c>
      <c r="AB113" s="197">
        <f>'Energy margins'!$L$12</f>
        <v>72</v>
      </c>
      <c r="AC113" s="197">
        <f>AA113*AB113</f>
        <v>43.199999999999996</v>
      </c>
      <c r="AD113" s="197">
        <f>'Margins summary'!$S$14</f>
        <v>175.95</v>
      </c>
      <c r="AE113" s="197">
        <f>AC113+AD113</f>
        <v>219.14999999999998</v>
      </c>
      <c r="AF113" s="197">
        <f>'Margins summary'!$R$20</f>
        <v>2224.610784</v>
      </c>
      <c r="AG113" s="918">
        <f>'Energy NPV'!U39</f>
        <v>0</v>
      </c>
      <c r="AH113" s="197"/>
      <c r="AI113" s="197">
        <f>(AF113+AG113+AH113)*$AB$109</f>
        <v>3336.9161759999997</v>
      </c>
      <c r="AJ113" s="197">
        <f t="shared" ref="AJ113:AJ128" si="269">AC113-AI113</f>
        <v>-3293.7161759999999</v>
      </c>
      <c r="AK113" s="197">
        <f t="shared" ref="AK113:AK128" si="270">AE113-AI113</f>
        <v>-3117.7661759999996</v>
      </c>
      <c r="AL113" s="1018">
        <f>AC113/((1+$B$4)^(Z113-1))</f>
        <v>43.199999999999996</v>
      </c>
      <c r="AM113" s="213">
        <f>AD113/((1+$B$4)^(Z113-1))</f>
        <v>175.95</v>
      </c>
      <c r="AN113" s="213">
        <f>AI113/((1+$B$4)^(Z113-1))</f>
        <v>3336.9161759999997</v>
      </c>
      <c r="AO113" s="213">
        <f>AJ113/((1+$B$4)^(Z113-1))</f>
        <v>-3293.7161759999999</v>
      </c>
      <c r="AP113" s="929">
        <f>AK113/((1+$B$4)^(Z113-1))</f>
        <v>-3117.7661759999996</v>
      </c>
      <c r="AQ113" s="196">
        <f>AL113</f>
        <v>43.199999999999996</v>
      </c>
      <c r="AR113" s="197">
        <f>AM113</f>
        <v>175.95</v>
      </c>
      <c r="AS113" s="197">
        <f>AN113</f>
        <v>3336.9161759999997</v>
      </c>
      <c r="AT113" s="197">
        <f>AO113</f>
        <v>-3293.7161759999999</v>
      </c>
      <c r="AU113" s="199">
        <f>AP113</f>
        <v>-3117.7661759999996</v>
      </c>
      <c r="AV113" s="197"/>
      <c r="AX113" s="204">
        <v>1</v>
      </c>
      <c r="AY113" s="760">
        <f>'Energy NPV'!$D39</f>
        <v>0.6</v>
      </c>
      <c r="AZ113" s="197">
        <f>'Energy margins'!$L$12</f>
        <v>72</v>
      </c>
      <c r="BA113" s="197">
        <f>AY113*AZ113</f>
        <v>43.199999999999996</v>
      </c>
      <c r="BB113" s="197">
        <f>'Margins summary'!$S$14</f>
        <v>175.95</v>
      </c>
      <c r="BC113" s="197">
        <f>BA113+BB113</f>
        <v>219.14999999999998</v>
      </c>
      <c r="BD113" s="197">
        <f>'Margins summary'!$R$20</f>
        <v>2224.610784</v>
      </c>
      <c r="BE113" s="918">
        <f>'Energy NPV'!U39</f>
        <v>0</v>
      </c>
      <c r="BF113" s="197"/>
      <c r="BG113" s="197">
        <f>(BD113+BE113+BF113)*$AZ$109</f>
        <v>1112.305392</v>
      </c>
      <c r="BH113" s="197">
        <f t="shared" ref="BH113:BH128" si="271">BA113-BG113</f>
        <v>-1069.1053919999999</v>
      </c>
      <c r="BI113" s="197">
        <f t="shared" ref="BI113:BI128" si="272">BC113-BG113</f>
        <v>-893.15539200000001</v>
      </c>
      <c r="BJ113" s="1018">
        <f>BA113/((1+$B$4)^(AX113-1))</f>
        <v>43.199999999999996</v>
      </c>
      <c r="BK113" s="213">
        <f>BB113/((1+$B$4)^(AX113-1))</f>
        <v>175.95</v>
      </c>
      <c r="BL113" s="213">
        <f>BG113/((1+$B$4)^(AX113-1))</f>
        <v>1112.305392</v>
      </c>
      <c r="BM113" s="213">
        <f>BH113/((1+$B$4)^(AX113-1))</f>
        <v>-1069.1053919999999</v>
      </c>
      <c r="BN113" s="929">
        <f>BI113/((1+$B$4)^(AX113-1))</f>
        <v>-893.15539200000001</v>
      </c>
      <c r="BO113" s="196">
        <f>BJ113</f>
        <v>43.199999999999996</v>
      </c>
      <c r="BP113" s="197">
        <f>BK113</f>
        <v>175.95</v>
      </c>
      <c r="BQ113" s="197">
        <f>BL113</f>
        <v>1112.305392</v>
      </c>
      <c r="BR113" s="197">
        <f>BM113</f>
        <v>-1069.1053919999999</v>
      </c>
      <c r="BS113" s="199">
        <f>BN113</f>
        <v>-893.15539200000001</v>
      </c>
      <c r="BT113" s="197"/>
      <c r="BV113" s="204">
        <v>1</v>
      </c>
      <c r="BW113" s="760">
        <f>'Energy NPV'!$D39</f>
        <v>0.6</v>
      </c>
      <c r="BX113" s="197">
        <f>'Energy margins'!$L$12</f>
        <v>72</v>
      </c>
      <c r="BY113" s="197">
        <f>BW113*BX113</f>
        <v>43.199999999999996</v>
      </c>
      <c r="BZ113" s="197">
        <f>'Margins summary'!$S$14</f>
        <v>175.95</v>
      </c>
      <c r="CA113" s="197">
        <f>BY113+BZ113</f>
        <v>219.14999999999998</v>
      </c>
      <c r="CB113" s="197">
        <f>'Margins summary'!$R$20</f>
        <v>2224.610784</v>
      </c>
      <c r="CC113" s="918">
        <f>'Energy NPV'!U39</f>
        <v>0</v>
      </c>
      <c r="CD113" s="197"/>
      <c r="CE113" s="197">
        <f>(CB113+CC113+CD113)*$BX$109</f>
        <v>4449.2215679999999</v>
      </c>
      <c r="CF113" s="197">
        <f t="shared" ref="CF113:CF128" si="273">BY113-CE113</f>
        <v>-4406.0215680000001</v>
      </c>
      <c r="CG113" s="197">
        <f t="shared" ref="CG113:CG128" si="274">CA113-CE113</f>
        <v>-4230.0715680000003</v>
      </c>
      <c r="CH113" s="1018">
        <f>BY113/((1+$B$4)^(BV113-1))</f>
        <v>43.199999999999996</v>
      </c>
      <c r="CI113" s="213">
        <f>BZ113/((1+$B$4)^(BV113-1))</f>
        <v>175.95</v>
      </c>
      <c r="CJ113" s="213">
        <f>CE113/((1+$B$4)^(BV113-1))</f>
        <v>4449.2215679999999</v>
      </c>
      <c r="CK113" s="213">
        <f>CF113/((1+$B$4)^(BV113-1))</f>
        <v>-4406.0215680000001</v>
      </c>
      <c r="CL113" s="929">
        <f>CG113/((1+$B$4)^(BV113-1))</f>
        <v>-4230.0715680000003</v>
      </c>
      <c r="CM113" s="196">
        <f>CH113</f>
        <v>43.199999999999996</v>
      </c>
      <c r="CN113" s="197">
        <f>CI113</f>
        <v>175.95</v>
      </c>
      <c r="CO113" s="197">
        <f>CJ113</f>
        <v>4449.2215679999999</v>
      </c>
      <c r="CP113" s="197">
        <f>CK113</f>
        <v>-4406.0215680000001</v>
      </c>
      <c r="CQ113" s="199">
        <f>CL113</f>
        <v>-4230.0715680000003</v>
      </c>
      <c r="CR113" s="197"/>
      <c r="CT113" s="204">
        <v>1</v>
      </c>
      <c r="CU113" s="760">
        <f>'Energy NPV'!$D39</f>
        <v>0.6</v>
      </c>
      <c r="CV113" s="197">
        <f>'Energy margins'!$L$12</f>
        <v>72</v>
      </c>
      <c r="CW113" s="197">
        <f>CU113*CV113</f>
        <v>43.199999999999996</v>
      </c>
      <c r="CX113" s="197">
        <f>'Margins summary'!$S$14</f>
        <v>175.95</v>
      </c>
      <c r="CY113" s="197">
        <f>CW113+CX113</f>
        <v>219.14999999999998</v>
      </c>
      <c r="CZ113" s="197">
        <f>'Margins summary'!$R$20</f>
        <v>2224.610784</v>
      </c>
      <c r="DA113" s="918">
        <f>'Energy NPV'!U39</f>
        <v>0</v>
      </c>
      <c r="DB113" s="197"/>
      <c r="DC113" s="197">
        <f>(CZ113+DA113+DB113)*$CV$109</f>
        <v>0</v>
      </c>
      <c r="DD113" s="197">
        <f t="shared" ref="DD113:DD128" si="275">CW113-DC113</f>
        <v>43.199999999999996</v>
      </c>
      <c r="DE113" s="197">
        <f t="shared" ref="DE113:DE128" si="276">CY113-DC113</f>
        <v>219.14999999999998</v>
      </c>
      <c r="DF113" s="1018">
        <f>CW113/((1+$B$4)^(CT113-1))</f>
        <v>43.199999999999996</v>
      </c>
      <c r="DG113" s="213">
        <f>CX113/((1+$B$4)^(CT113-1))</f>
        <v>175.95</v>
      </c>
      <c r="DH113" s="213">
        <f>DC113/((1+$B$4)^(CT113-1))</f>
        <v>0</v>
      </c>
      <c r="DI113" s="213">
        <f>DD113/((1+$B$4)^(CT113-1))</f>
        <v>43.199999999999996</v>
      </c>
      <c r="DJ113" s="929">
        <f>DE113/((1+$B$4)^(CT113-1))</f>
        <v>219.14999999999998</v>
      </c>
      <c r="DK113" s="196">
        <f>DF113</f>
        <v>43.199999999999996</v>
      </c>
      <c r="DL113" s="197">
        <f>DG113</f>
        <v>175.95</v>
      </c>
      <c r="DM113" s="197">
        <f>DH113</f>
        <v>0</v>
      </c>
      <c r="DN113" s="197">
        <f>DI113</f>
        <v>43.199999999999996</v>
      </c>
      <c r="DO113" s="199">
        <f>DJ113</f>
        <v>219.14999999999998</v>
      </c>
    </row>
    <row r="114" spans="2:119" x14ac:dyDescent="0.3">
      <c r="B114" s="204">
        <v>2</v>
      </c>
      <c r="C114" s="760">
        <f>'Energy NPV'!$D40</f>
        <v>3.9250000000000007</v>
      </c>
      <c r="D114" s="197">
        <f>'Energy margins'!$L$12</f>
        <v>72</v>
      </c>
      <c r="E114" s="197">
        <f>C114*D114</f>
        <v>282.60000000000002</v>
      </c>
      <c r="F114" s="197">
        <f>'Margins summary'!$S$14</f>
        <v>175.95</v>
      </c>
      <c r="G114" s="197">
        <f t="shared" ref="G114:G128" si="277">E114+F114</f>
        <v>458.55</v>
      </c>
      <c r="H114" s="197"/>
      <c r="I114" s="918">
        <f>'Energy NPV'!U40</f>
        <v>506.67238399999997</v>
      </c>
      <c r="J114" s="197"/>
      <c r="K114" s="197">
        <f t="shared" ref="K114:K128" si="278">(H114+I114+J114)*$E$109</f>
        <v>506.67238399999997</v>
      </c>
      <c r="L114" s="197">
        <f t="shared" si="267"/>
        <v>-224.07238399999994</v>
      </c>
      <c r="M114" s="197">
        <f t="shared" si="268"/>
        <v>-48.122383999999954</v>
      </c>
      <c r="N114" s="196">
        <f t="shared" ref="N114:N127" si="279">E114/((1+$B$4)^(B114-1))</f>
        <v>271.73076923076923</v>
      </c>
      <c r="O114" s="197">
        <f t="shared" ref="O114:O127" si="280">F114/((1+$B$4)^(B114-1))</f>
        <v>169.18269230769229</v>
      </c>
      <c r="P114" s="197">
        <f t="shared" ref="P114:P127" si="281">K114/((1+$B$4)^(B114-1))</f>
        <v>487.18498461538456</v>
      </c>
      <c r="Q114" s="197">
        <f t="shared" ref="Q114:Q127" si="282">L114/((1+$B$4)^(B114-1))</f>
        <v>-215.45421538461531</v>
      </c>
      <c r="R114" s="199">
        <f t="shared" ref="R114:R127" si="283">M114/((1+$B$4)^(B114-1))</f>
        <v>-46.271523076923032</v>
      </c>
      <c r="S114" s="196">
        <f>S113+N114</f>
        <v>314.93076923076922</v>
      </c>
      <c r="T114" s="197">
        <f t="shared" ref="T114:T128" si="284">T113+O114</f>
        <v>345.13269230769231</v>
      </c>
      <c r="U114" s="197">
        <f t="shared" ref="U114:U128" si="285">U113+P114</f>
        <v>2711.7957686153845</v>
      </c>
      <c r="V114" s="197">
        <f t="shared" ref="V114:V128" si="286">V113+Q114</f>
        <v>-2396.8649993846157</v>
      </c>
      <c r="W114" s="199">
        <f t="shared" ref="W114:W128" si="287">W113+R114</f>
        <v>-2051.732307076923</v>
      </c>
      <c r="X114" s="197"/>
      <c r="Z114" s="204">
        <v>2</v>
      </c>
      <c r="AA114" s="760">
        <f>'Energy NPV'!$D40</f>
        <v>3.9250000000000007</v>
      </c>
      <c r="AB114" s="197">
        <f>'Energy margins'!$L$12</f>
        <v>72</v>
      </c>
      <c r="AC114" s="197">
        <f>AA114*AB114</f>
        <v>282.60000000000002</v>
      </c>
      <c r="AD114" s="197">
        <f>'Margins summary'!$S$14</f>
        <v>175.95</v>
      </c>
      <c r="AE114" s="197">
        <f t="shared" ref="AE114:AE128" si="288">AC114+AD114</f>
        <v>458.55</v>
      </c>
      <c r="AF114" s="197"/>
      <c r="AG114" s="918">
        <f>'Energy NPV'!U40</f>
        <v>506.67238399999997</v>
      </c>
      <c r="AH114" s="197"/>
      <c r="AI114" s="197">
        <f t="shared" ref="AI114:AI128" si="289">(AF114+AG114+AH114)*$AB$109</f>
        <v>760.00857599999995</v>
      </c>
      <c r="AJ114" s="197">
        <f t="shared" si="269"/>
        <v>-477.40857599999993</v>
      </c>
      <c r="AK114" s="197">
        <f t="shared" si="270"/>
        <v>-301.45857599999994</v>
      </c>
      <c r="AL114" s="196">
        <f t="shared" ref="AL114:AL127" si="290">AC114/((1+$B$4)^(Z114-1))</f>
        <v>271.73076923076923</v>
      </c>
      <c r="AM114" s="197">
        <f t="shared" ref="AM114:AM127" si="291">AD114/((1+$B$4)^(Z114-1))</f>
        <v>169.18269230769229</v>
      </c>
      <c r="AN114" s="197">
        <f t="shared" ref="AN114:AN127" si="292">AI114/((1+$B$4)^(Z114-1))</f>
        <v>730.77747692307685</v>
      </c>
      <c r="AO114" s="197">
        <f t="shared" ref="AO114:AO127" si="293">AJ114/((1+$B$4)^(Z114-1))</f>
        <v>-459.04670769230762</v>
      </c>
      <c r="AP114" s="199">
        <f t="shared" ref="AP114:AP127" si="294">AK114/((1+$B$4)^(Z114-1))</f>
        <v>-289.8640153846153</v>
      </c>
      <c r="AQ114" s="196">
        <f>AQ113+AL114</f>
        <v>314.93076923076922</v>
      </c>
      <c r="AR114" s="197">
        <f t="shared" ref="AR114:AR128" si="295">AR113+AM114</f>
        <v>345.13269230769231</v>
      </c>
      <c r="AS114" s="197">
        <f t="shared" ref="AS114:AS128" si="296">AS113+AN114</f>
        <v>4067.6936529230766</v>
      </c>
      <c r="AT114" s="197">
        <f t="shared" ref="AT114:AT128" si="297">AT113+AO114</f>
        <v>-3752.7628836923077</v>
      </c>
      <c r="AU114" s="199">
        <f t="shared" ref="AU114:AU128" si="298">AU113+AP114</f>
        <v>-3407.630191384615</v>
      </c>
      <c r="AV114" s="197"/>
      <c r="AX114" s="204">
        <v>2</v>
      </c>
      <c r="AY114" s="760">
        <f>'Energy NPV'!$D40</f>
        <v>3.9250000000000007</v>
      </c>
      <c r="AZ114" s="197">
        <f>'Energy margins'!$L$12</f>
        <v>72</v>
      </c>
      <c r="BA114" s="197">
        <f>AY114*AZ114</f>
        <v>282.60000000000002</v>
      </c>
      <c r="BB114" s="197">
        <f>'Margins summary'!$S$14</f>
        <v>175.95</v>
      </c>
      <c r="BC114" s="197">
        <f t="shared" ref="BC114:BC128" si="299">BA114+BB114</f>
        <v>458.55</v>
      </c>
      <c r="BD114" s="197"/>
      <c r="BE114" s="918">
        <f>'Energy NPV'!U40</f>
        <v>506.67238399999997</v>
      </c>
      <c r="BF114" s="197"/>
      <c r="BG114" s="197">
        <f t="shared" ref="BG114:BG128" si="300">(BD114+BE114+BF114)*$AZ$109</f>
        <v>253.33619199999998</v>
      </c>
      <c r="BH114" s="197">
        <f t="shared" si="271"/>
        <v>29.26380800000004</v>
      </c>
      <c r="BI114" s="197">
        <f t="shared" si="272"/>
        <v>205.21380800000003</v>
      </c>
      <c r="BJ114" s="196">
        <f t="shared" ref="BJ114:BJ127" si="301">BA114/((1+$B$4)^(AX114-1))</f>
        <v>271.73076923076923</v>
      </c>
      <c r="BK114" s="197">
        <f t="shared" ref="BK114:BK127" si="302">BB114/((1+$B$4)^(AX114-1))</f>
        <v>169.18269230769229</v>
      </c>
      <c r="BL114" s="197">
        <f t="shared" ref="BL114:BL127" si="303">BG114/((1+$B$4)^(AX114-1))</f>
        <v>243.59249230769228</v>
      </c>
      <c r="BM114" s="197">
        <f t="shared" ref="BM114:BM127" si="304">BH114/((1+$B$4)^(AX114-1))</f>
        <v>28.138276923076962</v>
      </c>
      <c r="BN114" s="199">
        <f t="shared" ref="BN114:BN127" si="305">BI114/((1+$B$4)^(AX114-1))</f>
        <v>197.32096923076926</v>
      </c>
      <c r="BO114" s="196">
        <f>BO113+BJ114</f>
        <v>314.93076923076922</v>
      </c>
      <c r="BP114" s="197">
        <f t="shared" ref="BP114:BP128" si="306">BP113+BK114</f>
        <v>345.13269230769231</v>
      </c>
      <c r="BQ114" s="197">
        <f t="shared" ref="BQ114:BQ128" si="307">BQ113+BL114</f>
        <v>1355.8978843076923</v>
      </c>
      <c r="BR114" s="197">
        <f t="shared" ref="BR114:BR128" si="308">BR113+BM114</f>
        <v>-1040.9671150769229</v>
      </c>
      <c r="BS114" s="199">
        <f t="shared" ref="BS114:BS128" si="309">BS113+BN114</f>
        <v>-695.83442276923074</v>
      </c>
      <c r="BT114" s="197"/>
      <c r="BV114" s="204">
        <v>2</v>
      </c>
      <c r="BW114" s="760">
        <f>'Energy NPV'!$D40</f>
        <v>3.9250000000000007</v>
      </c>
      <c r="BX114" s="197">
        <f>'Energy margins'!$L$12</f>
        <v>72</v>
      </c>
      <c r="BY114" s="197">
        <f>BW114*BX114</f>
        <v>282.60000000000002</v>
      </c>
      <c r="BZ114" s="197">
        <f>'Margins summary'!$S$14</f>
        <v>175.95</v>
      </c>
      <c r="CA114" s="197">
        <f t="shared" ref="CA114:CA128" si="310">BY114+BZ114</f>
        <v>458.55</v>
      </c>
      <c r="CB114" s="197"/>
      <c r="CC114" s="918">
        <f>'Energy NPV'!U40</f>
        <v>506.67238399999997</v>
      </c>
      <c r="CD114" s="197"/>
      <c r="CE114" s="197">
        <f t="shared" ref="CE114:CE128" si="311">(CB114+CC114+CD114)*$BX$109</f>
        <v>1013.3447679999999</v>
      </c>
      <c r="CF114" s="197">
        <f t="shared" si="273"/>
        <v>-730.74476799999991</v>
      </c>
      <c r="CG114" s="197">
        <f t="shared" si="274"/>
        <v>-554.79476799999998</v>
      </c>
      <c r="CH114" s="196">
        <f t="shared" ref="CH114:CH127" si="312">BY114/((1+$B$4)^(BV114-1))</f>
        <v>271.73076923076923</v>
      </c>
      <c r="CI114" s="197">
        <f t="shared" ref="CI114:CI127" si="313">BZ114/((1+$B$4)^(BV114-1))</f>
        <v>169.18269230769229</v>
      </c>
      <c r="CJ114" s="197">
        <f t="shared" ref="CJ114:CJ127" si="314">CE114/((1+$B$4)^(BV114-1))</f>
        <v>974.36996923076913</v>
      </c>
      <c r="CK114" s="197">
        <f t="shared" ref="CK114:CK127" si="315">CF114/((1+$B$4)^(BV114-1))</f>
        <v>-702.63919999999985</v>
      </c>
      <c r="CL114" s="199">
        <f t="shared" ref="CL114:CL127" si="316">CG114/((1+$B$4)^(BV114-1))</f>
        <v>-533.4565076923077</v>
      </c>
      <c r="CM114" s="196">
        <f>CM113+CH114</f>
        <v>314.93076923076922</v>
      </c>
      <c r="CN114" s="197">
        <f t="shared" ref="CN114:CN128" si="317">CN113+CI114</f>
        <v>345.13269230769231</v>
      </c>
      <c r="CO114" s="197">
        <f t="shared" ref="CO114:CO128" si="318">CO113+CJ114</f>
        <v>5423.5915372307691</v>
      </c>
      <c r="CP114" s="197">
        <f t="shared" ref="CP114:CP128" si="319">CP113+CK114</f>
        <v>-5108.6607679999997</v>
      </c>
      <c r="CQ114" s="199">
        <f t="shared" ref="CQ114:CQ128" si="320">CQ113+CL114</f>
        <v>-4763.5280756923075</v>
      </c>
      <c r="CR114" s="197"/>
      <c r="CT114" s="204">
        <v>2</v>
      </c>
      <c r="CU114" s="760">
        <f>'Energy NPV'!$D40</f>
        <v>3.9250000000000007</v>
      </c>
      <c r="CV114" s="197">
        <f>'Energy margins'!$L$12</f>
        <v>72</v>
      </c>
      <c r="CW114" s="197">
        <f>CU114*CV114</f>
        <v>282.60000000000002</v>
      </c>
      <c r="CX114" s="197">
        <f>'Margins summary'!$S$14</f>
        <v>175.95</v>
      </c>
      <c r="CY114" s="197">
        <f t="shared" ref="CY114:CY128" si="321">CW114+CX114</f>
        <v>458.55</v>
      </c>
      <c r="CZ114" s="197"/>
      <c r="DA114" s="918">
        <f>'Energy NPV'!U40</f>
        <v>506.67238399999997</v>
      </c>
      <c r="DB114" s="197"/>
      <c r="DC114" s="197">
        <f t="shared" ref="DC114:DC128" si="322">(CZ114+DA114+DB114)*$CV$109</f>
        <v>0</v>
      </c>
      <c r="DD114" s="197">
        <f t="shared" si="275"/>
        <v>282.60000000000002</v>
      </c>
      <c r="DE114" s="197">
        <f t="shared" si="276"/>
        <v>458.55</v>
      </c>
      <c r="DF114" s="196">
        <f t="shared" ref="DF114:DF127" si="323">CW114/((1+$B$4)^(CT114-1))</f>
        <v>271.73076923076923</v>
      </c>
      <c r="DG114" s="197">
        <f t="shared" ref="DG114:DG127" si="324">CX114/((1+$B$4)^(CT114-1))</f>
        <v>169.18269230769229</v>
      </c>
      <c r="DH114" s="197">
        <f t="shared" ref="DH114:DH127" si="325">DC114/((1+$B$4)^(CT114-1))</f>
        <v>0</v>
      </c>
      <c r="DI114" s="197">
        <f t="shared" ref="DI114:DI127" si="326">DD114/((1+$B$4)^(CT114-1))</f>
        <v>271.73076923076923</v>
      </c>
      <c r="DJ114" s="199">
        <f t="shared" ref="DJ114:DJ127" si="327">DE114/((1+$B$4)^(CT114-1))</f>
        <v>440.91346153846155</v>
      </c>
      <c r="DK114" s="196">
        <f>DK113+DF114</f>
        <v>314.93076923076922</v>
      </c>
      <c r="DL114" s="197">
        <f t="shared" ref="DL114:DL128" si="328">DL113+DG114</f>
        <v>345.13269230769231</v>
      </c>
      <c r="DM114" s="197">
        <f t="shared" ref="DM114:DM128" si="329">DM113+DH114</f>
        <v>0</v>
      </c>
      <c r="DN114" s="197">
        <f t="shared" ref="DN114:DN128" si="330">DN113+DI114</f>
        <v>314.93076923076922</v>
      </c>
      <c r="DO114" s="199">
        <f t="shared" ref="DO114:DO128" si="331">DO113+DJ114</f>
        <v>660.06346153846152</v>
      </c>
    </row>
    <row r="115" spans="2:119" x14ac:dyDescent="0.3">
      <c r="B115" s="204">
        <f t="shared" ref="B115:B128" si="332">B114+1</f>
        <v>3</v>
      </c>
      <c r="C115" s="760">
        <f>'Energy NPV'!$D41</f>
        <v>11.099999999999998</v>
      </c>
      <c r="D115" s="197">
        <f>'Energy margins'!$L$12</f>
        <v>72</v>
      </c>
      <c r="E115" s="197">
        <f t="shared" ref="E115:E128" si="333">C115*D115</f>
        <v>799.19999999999982</v>
      </c>
      <c r="F115" s="197">
        <f>'Margins summary'!$S$14</f>
        <v>175.95</v>
      </c>
      <c r="G115" s="197">
        <f t="shared" si="277"/>
        <v>975.14999999999986</v>
      </c>
      <c r="H115" s="197"/>
      <c r="I115" s="918">
        <f>'Energy NPV'!U41</f>
        <v>506.67238399999997</v>
      </c>
      <c r="J115" s="197"/>
      <c r="K115" s="197">
        <f t="shared" si="278"/>
        <v>506.67238399999997</v>
      </c>
      <c r="L115" s="197">
        <f t="shared" si="267"/>
        <v>292.52761599999985</v>
      </c>
      <c r="M115" s="197">
        <f t="shared" si="268"/>
        <v>468.4776159999999</v>
      </c>
      <c r="N115" s="196">
        <f t="shared" si="279"/>
        <v>738.90532544378675</v>
      </c>
      <c r="O115" s="197">
        <f t="shared" si="280"/>
        <v>162.67566568047334</v>
      </c>
      <c r="P115" s="197">
        <f t="shared" si="281"/>
        <v>468.44710059171587</v>
      </c>
      <c r="Q115" s="197">
        <f t="shared" si="282"/>
        <v>270.45822485207083</v>
      </c>
      <c r="R115" s="199">
        <f t="shared" si="283"/>
        <v>433.13389053254423</v>
      </c>
      <c r="S115" s="196">
        <f t="shared" ref="S115:S128" si="334">S114+N115</f>
        <v>1053.8360946745561</v>
      </c>
      <c r="T115" s="197">
        <f t="shared" si="284"/>
        <v>507.80835798816565</v>
      </c>
      <c r="U115" s="197">
        <f t="shared" si="285"/>
        <v>3180.2428692071003</v>
      </c>
      <c r="V115" s="197">
        <f t="shared" si="286"/>
        <v>-2126.4067745325447</v>
      </c>
      <c r="W115" s="199">
        <f t="shared" si="287"/>
        <v>-1618.5984165443788</v>
      </c>
      <c r="X115" s="197"/>
      <c r="Z115" s="204">
        <f t="shared" ref="Z115:Z128" si="335">Z114+1</f>
        <v>3</v>
      </c>
      <c r="AA115" s="760">
        <f>'Energy NPV'!$D41</f>
        <v>11.099999999999998</v>
      </c>
      <c r="AB115" s="197">
        <f>'Energy margins'!$L$12</f>
        <v>72</v>
      </c>
      <c r="AC115" s="197">
        <f t="shared" ref="AC115:AC128" si="336">AA115*AB115</f>
        <v>799.19999999999982</v>
      </c>
      <c r="AD115" s="197">
        <f>'Margins summary'!$S$14</f>
        <v>175.95</v>
      </c>
      <c r="AE115" s="197">
        <f t="shared" si="288"/>
        <v>975.14999999999986</v>
      </c>
      <c r="AF115" s="197"/>
      <c r="AG115" s="918">
        <f>'Energy NPV'!U41</f>
        <v>506.67238399999997</v>
      </c>
      <c r="AH115" s="197"/>
      <c r="AI115" s="197">
        <f t="shared" si="289"/>
        <v>760.00857599999995</v>
      </c>
      <c r="AJ115" s="197">
        <f t="shared" si="269"/>
        <v>39.19142399999987</v>
      </c>
      <c r="AK115" s="197">
        <f t="shared" si="270"/>
        <v>215.14142399999992</v>
      </c>
      <c r="AL115" s="196">
        <f t="shared" si="290"/>
        <v>738.90532544378675</v>
      </c>
      <c r="AM115" s="197">
        <f t="shared" si="291"/>
        <v>162.67566568047334</v>
      </c>
      <c r="AN115" s="197">
        <f t="shared" si="292"/>
        <v>702.67065088757386</v>
      </c>
      <c r="AO115" s="197">
        <f t="shared" si="293"/>
        <v>36.234674556212894</v>
      </c>
      <c r="AP115" s="199">
        <f t="shared" si="294"/>
        <v>198.9103402366863</v>
      </c>
      <c r="AQ115" s="196">
        <f t="shared" ref="AQ115:AQ127" si="337">AQ114+AL115</f>
        <v>1053.8360946745561</v>
      </c>
      <c r="AR115" s="197">
        <f t="shared" si="295"/>
        <v>507.80835798816565</v>
      </c>
      <c r="AS115" s="197">
        <f t="shared" si="296"/>
        <v>4770.3643038106502</v>
      </c>
      <c r="AT115" s="197">
        <f t="shared" si="297"/>
        <v>-3716.528209136095</v>
      </c>
      <c r="AU115" s="199">
        <f t="shared" si="298"/>
        <v>-3208.7198511479287</v>
      </c>
      <c r="AV115" s="197"/>
      <c r="AX115" s="204">
        <f t="shared" ref="AX115:AX128" si="338">AX114+1</f>
        <v>3</v>
      </c>
      <c r="AY115" s="760">
        <f>'Energy NPV'!$D41</f>
        <v>11.099999999999998</v>
      </c>
      <c r="AZ115" s="197">
        <f>'Energy margins'!$L$12</f>
        <v>72</v>
      </c>
      <c r="BA115" s="197">
        <f t="shared" ref="BA115:BA128" si="339">AY115*AZ115</f>
        <v>799.19999999999982</v>
      </c>
      <c r="BB115" s="197">
        <f>'Margins summary'!$S$14</f>
        <v>175.95</v>
      </c>
      <c r="BC115" s="197">
        <f t="shared" si="299"/>
        <v>975.14999999999986</v>
      </c>
      <c r="BD115" s="197"/>
      <c r="BE115" s="918">
        <f>'Energy NPV'!U41</f>
        <v>506.67238399999997</v>
      </c>
      <c r="BF115" s="197"/>
      <c r="BG115" s="197">
        <f t="shared" si="300"/>
        <v>253.33619199999998</v>
      </c>
      <c r="BH115" s="197">
        <f t="shared" si="271"/>
        <v>545.86380799999984</v>
      </c>
      <c r="BI115" s="197">
        <f t="shared" si="272"/>
        <v>721.81380799999988</v>
      </c>
      <c r="BJ115" s="196">
        <f t="shared" si="301"/>
        <v>738.90532544378675</v>
      </c>
      <c r="BK115" s="197">
        <f t="shared" si="302"/>
        <v>162.67566568047334</v>
      </c>
      <c r="BL115" s="197">
        <f t="shared" si="303"/>
        <v>234.22355029585793</v>
      </c>
      <c r="BM115" s="197">
        <f t="shared" si="304"/>
        <v>504.68177514792876</v>
      </c>
      <c r="BN115" s="199">
        <f t="shared" si="305"/>
        <v>667.35744082840222</v>
      </c>
      <c r="BO115" s="196">
        <f t="shared" ref="BO115:BO128" si="340">BO114+BJ115</f>
        <v>1053.8360946745561</v>
      </c>
      <c r="BP115" s="197">
        <f t="shared" si="306"/>
        <v>507.80835798816565</v>
      </c>
      <c r="BQ115" s="197">
        <f t="shared" si="307"/>
        <v>1590.1214346035501</v>
      </c>
      <c r="BR115" s="197">
        <f t="shared" si="308"/>
        <v>-536.28533992899418</v>
      </c>
      <c r="BS115" s="199">
        <f t="shared" si="309"/>
        <v>-28.476981940828523</v>
      </c>
      <c r="BT115" s="197"/>
      <c r="BV115" s="204">
        <f t="shared" ref="BV115:BV128" si="341">BV114+1</f>
        <v>3</v>
      </c>
      <c r="BW115" s="760">
        <f>'Energy NPV'!$D41</f>
        <v>11.099999999999998</v>
      </c>
      <c r="BX115" s="197">
        <f>'Energy margins'!$L$12</f>
        <v>72</v>
      </c>
      <c r="BY115" s="197">
        <f t="shared" ref="BY115:BY128" si="342">BW115*BX115</f>
        <v>799.19999999999982</v>
      </c>
      <c r="BZ115" s="197">
        <f>'Margins summary'!$S$14</f>
        <v>175.95</v>
      </c>
      <c r="CA115" s="197">
        <f t="shared" si="310"/>
        <v>975.14999999999986</v>
      </c>
      <c r="CB115" s="197"/>
      <c r="CC115" s="918">
        <f>'Energy NPV'!U41</f>
        <v>506.67238399999997</v>
      </c>
      <c r="CD115" s="197"/>
      <c r="CE115" s="197">
        <f t="shared" si="311"/>
        <v>1013.3447679999999</v>
      </c>
      <c r="CF115" s="197">
        <f t="shared" si="273"/>
        <v>-214.14476800000011</v>
      </c>
      <c r="CG115" s="197">
        <f t="shared" si="274"/>
        <v>-38.194768000000067</v>
      </c>
      <c r="CH115" s="196">
        <f t="shared" si="312"/>
        <v>738.90532544378675</v>
      </c>
      <c r="CI115" s="197">
        <f t="shared" si="313"/>
        <v>162.67566568047334</v>
      </c>
      <c r="CJ115" s="197">
        <f t="shared" si="314"/>
        <v>936.89420118343173</v>
      </c>
      <c r="CK115" s="197">
        <f t="shared" si="315"/>
        <v>-197.98887573964507</v>
      </c>
      <c r="CL115" s="199">
        <f t="shared" si="316"/>
        <v>-35.313210059171659</v>
      </c>
      <c r="CM115" s="196">
        <f t="shared" ref="CM115:CM128" si="343">CM114+CH115</f>
        <v>1053.8360946745561</v>
      </c>
      <c r="CN115" s="197">
        <f t="shared" si="317"/>
        <v>507.80835798816565</v>
      </c>
      <c r="CO115" s="197">
        <f t="shared" si="318"/>
        <v>6360.4857384142006</v>
      </c>
      <c r="CP115" s="197">
        <f t="shared" si="319"/>
        <v>-5306.6496437396445</v>
      </c>
      <c r="CQ115" s="199">
        <f t="shared" si="320"/>
        <v>-4798.8412857514795</v>
      </c>
      <c r="CR115" s="197"/>
      <c r="CT115" s="204">
        <f t="shared" ref="CT115:CT128" si="344">CT114+1</f>
        <v>3</v>
      </c>
      <c r="CU115" s="760">
        <f>'Energy NPV'!$D41</f>
        <v>11.099999999999998</v>
      </c>
      <c r="CV115" s="197">
        <f>'Energy margins'!$L$12</f>
        <v>72</v>
      </c>
      <c r="CW115" s="197">
        <f t="shared" ref="CW115:CW128" si="345">CU115*CV115</f>
        <v>799.19999999999982</v>
      </c>
      <c r="CX115" s="197">
        <f>'Margins summary'!$S$14</f>
        <v>175.95</v>
      </c>
      <c r="CY115" s="197">
        <f t="shared" si="321"/>
        <v>975.14999999999986</v>
      </c>
      <c r="CZ115" s="197"/>
      <c r="DA115" s="918">
        <f>'Energy NPV'!U41</f>
        <v>506.67238399999997</v>
      </c>
      <c r="DB115" s="197"/>
      <c r="DC115" s="197">
        <f t="shared" si="322"/>
        <v>0</v>
      </c>
      <c r="DD115" s="197">
        <f t="shared" si="275"/>
        <v>799.19999999999982</v>
      </c>
      <c r="DE115" s="197">
        <f t="shared" si="276"/>
        <v>975.14999999999986</v>
      </c>
      <c r="DF115" s="196">
        <f t="shared" si="323"/>
        <v>738.90532544378675</v>
      </c>
      <c r="DG115" s="197">
        <f t="shared" si="324"/>
        <v>162.67566568047334</v>
      </c>
      <c r="DH115" s="197">
        <f t="shared" si="325"/>
        <v>0</v>
      </c>
      <c r="DI115" s="197">
        <f t="shared" si="326"/>
        <v>738.90532544378675</v>
      </c>
      <c r="DJ115" s="199">
        <f t="shared" si="327"/>
        <v>901.58099112426009</v>
      </c>
      <c r="DK115" s="196">
        <f t="shared" ref="DK115:DK128" si="346">DK114+DF115</f>
        <v>1053.8360946745561</v>
      </c>
      <c r="DL115" s="197">
        <f t="shared" si="328"/>
        <v>507.80835798816565</v>
      </c>
      <c r="DM115" s="197">
        <f t="shared" si="329"/>
        <v>0</v>
      </c>
      <c r="DN115" s="197">
        <f t="shared" si="330"/>
        <v>1053.8360946745561</v>
      </c>
      <c r="DO115" s="199">
        <f t="shared" si="331"/>
        <v>1561.6444526627215</v>
      </c>
    </row>
    <row r="116" spans="2:119" x14ac:dyDescent="0.3">
      <c r="B116" s="204">
        <f t="shared" si="332"/>
        <v>4</v>
      </c>
      <c r="C116" s="760">
        <f>'Energy NPV'!$D42</f>
        <v>12.54</v>
      </c>
      <c r="D116" s="197">
        <f>'Energy margins'!$L$12</f>
        <v>72</v>
      </c>
      <c r="E116" s="197">
        <f t="shared" si="333"/>
        <v>902.87999999999988</v>
      </c>
      <c r="F116" s="197">
        <f>'Margins summary'!$S$14</f>
        <v>175.95</v>
      </c>
      <c r="G116" s="197">
        <f t="shared" si="277"/>
        <v>1078.83</v>
      </c>
      <c r="H116" s="197"/>
      <c r="I116" s="918">
        <f>'Energy NPV'!U42</f>
        <v>393.31078400000001</v>
      </c>
      <c r="J116" s="197"/>
      <c r="K116" s="197">
        <f t="shared" si="278"/>
        <v>393.31078400000001</v>
      </c>
      <c r="L116" s="197">
        <f t="shared" si="267"/>
        <v>509.56921599999987</v>
      </c>
      <c r="M116" s="197">
        <f t="shared" si="268"/>
        <v>685.51921599999991</v>
      </c>
      <c r="N116" s="196">
        <f t="shared" si="279"/>
        <v>802.65703231679549</v>
      </c>
      <c r="O116" s="197">
        <f t="shared" si="280"/>
        <v>156.41890930814745</v>
      </c>
      <c r="P116" s="197">
        <f t="shared" si="281"/>
        <v>349.65185480200273</v>
      </c>
      <c r="Q116" s="197">
        <f t="shared" si="282"/>
        <v>453.00517751479276</v>
      </c>
      <c r="R116" s="199">
        <f t="shared" si="283"/>
        <v>609.42408682294024</v>
      </c>
      <c r="S116" s="196">
        <f t="shared" si="334"/>
        <v>1856.4931269913516</v>
      </c>
      <c r="T116" s="197">
        <f t="shared" si="284"/>
        <v>664.22726729631313</v>
      </c>
      <c r="U116" s="197">
        <f t="shared" si="285"/>
        <v>3529.8947240091029</v>
      </c>
      <c r="V116" s="197">
        <f t="shared" si="286"/>
        <v>-1673.401597017752</v>
      </c>
      <c r="W116" s="199">
        <f t="shared" si="287"/>
        <v>-1009.1743297214385</v>
      </c>
      <c r="X116" s="197"/>
      <c r="Z116" s="204">
        <f t="shared" si="335"/>
        <v>4</v>
      </c>
      <c r="AA116" s="760">
        <f>'Energy NPV'!$D42</f>
        <v>12.54</v>
      </c>
      <c r="AB116" s="197">
        <f>'Energy margins'!$L$12</f>
        <v>72</v>
      </c>
      <c r="AC116" s="197">
        <f t="shared" si="336"/>
        <v>902.87999999999988</v>
      </c>
      <c r="AD116" s="197">
        <f>'Margins summary'!$S$14</f>
        <v>175.95</v>
      </c>
      <c r="AE116" s="197">
        <f t="shared" si="288"/>
        <v>1078.83</v>
      </c>
      <c r="AF116" s="197"/>
      <c r="AG116" s="918">
        <f>'Energy NPV'!U42</f>
        <v>393.31078400000001</v>
      </c>
      <c r="AH116" s="197"/>
      <c r="AI116" s="197">
        <f t="shared" si="289"/>
        <v>589.96617600000002</v>
      </c>
      <c r="AJ116" s="197">
        <f t="shared" si="269"/>
        <v>312.91382399999986</v>
      </c>
      <c r="AK116" s="197">
        <f t="shared" si="270"/>
        <v>488.86382399999991</v>
      </c>
      <c r="AL116" s="196">
        <f t="shared" si="290"/>
        <v>802.65703231679549</v>
      </c>
      <c r="AM116" s="197">
        <f t="shared" si="291"/>
        <v>156.41890930814745</v>
      </c>
      <c r="AN116" s="197">
        <f t="shared" si="292"/>
        <v>524.47778220300404</v>
      </c>
      <c r="AO116" s="197">
        <f t="shared" si="293"/>
        <v>278.1792501137914</v>
      </c>
      <c r="AP116" s="199">
        <f t="shared" si="294"/>
        <v>434.59815942193887</v>
      </c>
      <c r="AQ116" s="196">
        <f t="shared" si="337"/>
        <v>1856.4931269913516</v>
      </c>
      <c r="AR116" s="197">
        <f t="shared" si="295"/>
        <v>664.22726729631313</v>
      </c>
      <c r="AS116" s="197">
        <f t="shared" si="296"/>
        <v>5294.8420860136539</v>
      </c>
      <c r="AT116" s="197">
        <f t="shared" si="297"/>
        <v>-3438.3489590223035</v>
      </c>
      <c r="AU116" s="199">
        <f t="shared" si="298"/>
        <v>-2774.1216917259899</v>
      </c>
      <c r="AV116" s="197"/>
      <c r="AX116" s="204">
        <f t="shared" si="338"/>
        <v>4</v>
      </c>
      <c r="AY116" s="760">
        <f>'Energy NPV'!$D42</f>
        <v>12.54</v>
      </c>
      <c r="AZ116" s="197">
        <f>'Energy margins'!$L$12</f>
        <v>72</v>
      </c>
      <c r="BA116" s="197">
        <f t="shared" si="339"/>
        <v>902.87999999999988</v>
      </c>
      <c r="BB116" s="197">
        <f>'Margins summary'!$S$14</f>
        <v>175.95</v>
      </c>
      <c r="BC116" s="197">
        <f t="shared" si="299"/>
        <v>1078.83</v>
      </c>
      <c r="BD116" s="197"/>
      <c r="BE116" s="918">
        <f>'Energy NPV'!U42</f>
        <v>393.31078400000001</v>
      </c>
      <c r="BF116" s="197"/>
      <c r="BG116" s="197">
        <f t="shared" si="300"/>
        <v>196.65539200000001</v>
      </c>
      <c r="BH116" s="197">
        <f t="shared" si="271"/>
        <v>706.22460799999988</v>
      </c>
      <c r="BI116" s="197">
        <f t="shared" si="272"/>
        <v>882.17460799999992</v>
      </c>
      <c r="BJ116" s="196">
        <f t="shared" si="301"/>
        <v>802.65703231679549</v>
      </c>
      <c r="BK116" s="197">
        <f t="shared" si="302"/>
        <v>156.41890930814745</v>
      </c>
      <c r="BL116" s="197">
        <f t="shared" si="303"/>
        <v>174.82592740100137</v>
      </c>
      <c r="BM116" s="197">
        <f t="shared" si="304"/>
        <v>627.83110491579407</v>
      </c>
      <c r="BN116" s="199">
        <f t="shared" si="305"/>
        <v>784.25001422394166</v>
      </c>
      <c r="BO116" s="196">
        <f t="shared" si="340"/>
        <v>1856.4931269913516</v>
      </c>
      <c r="BP116" s="197">
        <f t="shared" si="306"/>
        <v>664.22726729631313</v>
      </c>
      <c r="BQ116" s="197">
        <f t="shared" si="307"/>
        <v>1764.9473620045515</v>
      </c>
      <c r="BR116" s="197">
        <f t="shared" si="308"/>
        <v>91.545764986799895</v>
      </c>
      <c r="BS116" s="199">
        <f t="shared" si="309"/>
        <v>755.77303228311314</v>
      </c>
      <c r="BT116" s="197"/>
      <c r="BV116" s="204">
        <f t="shared" si="341"/>
        <v>4</v>
      </c>
      <c r="BW116" s="760">
        <f>'Energy NPV'!$D42</f>
        <v>12.54</v>
      </c>
      <c r="BX116" s="197">
        <f>'Energy margins'!$L$12</f>
        <v>72</v>
      </c>
      <c r="BY116" s="197">
        <f t="shared" si="342"/>
        <v>902.87999999999988</v>
      </c>
      <c r="BZ116" s="197">
        <f>'Margins summary'!$S$14</f>
        <v>175.95</v>
      </c>
      <c r="CA116" s="197">
        <f t="shared" si="310"/>
        <v>1078.83</v>
      </c>
      <c r="CB116" s="197"/>
      <c r="CC116" s="918">
        <f>'Energy NPV'!U42</f>
        <v>393.31078400000001</v>
      </c>
      <c r="CD116" s="197"/>
      <c r="CE116" s="197">
        <f t="shared" si="311"/>
        <v>786.62156800000002</v>
      </c>
      <c r="CF116" s="197">
        <f t="shared" si="273"/>
        <v>116.25843199999986</v>
      </c>
      <c r="CG116" s="197">
        <f t="shared" si="274"/>
        <v>292.2084319999999</v>
      </c>
      <c r="CH116" s="196">
        <f t="shared" si="312"/>
        <v>802.65703231679549</v>
      </c>
      <c r="CI116" s="197">
        <f t="shared" si="313"/>
        <v>156.41890930814745</v>
      </c>
      <c r="CJ116" s="197">
        <f t="shared" si="314"/>
        <v>699.30370960400546</v>
      </c>
      <c r="CK116" s="197">
        <f t="shared" si="315"/>
        <v>103.35332271279003</v>
      </c>
      <c r="CL116" s="199">
        <f t="shared" si="316"/>
        <v>259.77223202093751</v>
      </c>
      <c r="CM116" s="196">
        <f t="shared" si="343"/>
        <v>1856.4931269913516</v>
      </c>
      <c r="CN116" s="197">
        <f t="shared" si="317"/>
        <v>664.22726729631313</v>
      </c>
      <c r="CO116" s="197">
        <f t="shared" si="318"/>
        <v>7059.7894480182058</v>
      </c>
      <c r="CP116" s="197">
        <f t="shared" si="319"/>
        <v>-5203.2963210268545</v>
      </c>
      <c r="CQ116" s="199">
        <f t="shared" si="320"/>
        <v>-4539.0690537305418</v>
      </c>
      <c r="CR116" s="197"/>
      <c r="CT116" s="204">
        <f t="shared" si="344"/>
        <v>4</v>
      </c>
      <c r="CU116" s="760">
        <f>'Energy NPV'!$D42</f>
        <v>12.54</v>
      </c>
      <c r="CV116" s="197">
        <f>'Energy margins'!$L$12</f>
        <v>72</v>
      </c>
      <c r="CW116" s="197">
        <f t="shared" si="345"/>
        <v>902.87999999999988</v>
      </c>
      <c r="CX116" s="197">
        <f>'Margins summary'!$S$14</f>
        <v>175.95</v>
      </c>
      <c r="CY116" s="197">
        <f t="shared" si="321"/>
        <v>1078.83</v>
      </c>
      <c r="CZ116" s="197"/>
      <c r="DA116" s="918">
        <f>'Energy NPV'!U42</f>
        <v>393.31078400000001</v>
      </c>
      <c r="DB116" s="197"/>
      <c r="DC116" s="197">
        <f t="shared" si="322"/>
        <v>0</v>
      </c>
      <c r="DD116" s="197">
        <f t="shared" si="275"/>
        <v>902.87999999999988</v>
      </c>
      <c r="DE116" s="197">
        <f t="shared" si="276"/>
        <v>1078.83</v>
      </c>
      <c r="DF116" s="196">
        <f t="shared" si="323"/>
        <v>802.65703231679549</v>
      </c>
      <c r="DG116" s="197">
        <f t="shared" si="324"/>
        <v>156.41890930814745</v>
      </c>
      <c r="DH116" s="197">
        <f t="shared" si="325"/>
        <v>0</v>
      </c>
      <c r="DI116" s="197">
        <f t="shared" si="326"/>
        <v>802.65703231679549</v>
      </c>
      <c r="DJ116" s="199">
        <f t="shared" si="327"/>
        <v>959.07594162494297</v>
      </c>
      <c r="DK116" s="196">
        <f t="shared" si="346"/>
        <v>1856.4931269913516</v>
      </c>
      <c r="DL116" s="197">
        <f t="shared" si="328"/>
        <v>664.22726729631313</v>
      </c>
      <c r="DM116" s="197">
        <f t="shared" si="329"/>
        <v>0</v>
      </c>
      <c r="DN116" s="197">
        <f t="shared" si="330"/>
        <v>1856.4931269913516</v>
      </c>
      <c r="DO116" s="199">
        <f t="shared" si="331"/>
        <v>2520.7203942876645</v>
      </c>
    </row>
    <row r="117" spans="2:119" x14ac:dyDescent="0.3">
      <c r="B117" s="204">
        <f t="shared" si="332"/>
        <v>5</v>
      </c>
      <c r="C117" s="760">
        <f>'Energy NPV'!$D43</f>
        <v>12.54</v>
      </c>
      <c r="D117" s="197">
        <f>'Energy margins'!$L$12</f>
        <v>72</v>
      </c>
      <c r="E117" s="197">
        <f t="shared" si="333"/>
        <v>902.87999999999988</v>
      </c>
      <c r="F117" s="197">
        <f>'Margins summary'!$S$14</f>
        <v>175.95</v>
      </c>
      <c r="G117" s="197">
        <f t="shared" si="277"/>
        <v>1078.83</v>
      </c>
      <c r="H117" s="197"/>
      <c r="I117" s="918">
        <f>'Energy NPV'!U43</f>
        <v>393.31078400000001</v>
      </c>
      <c r="J117" s="197"/>
      <c r="K117" s="197">
        <f t="shared" si="278"/>
        <v>393.31078400000001</v>
      </c>
      <c r="L117" s="197">
        <f t="shared" si="267"/>
        <v>509.56921599999987</v>
      </c>
      <c r="M117" s="197">
        <f t="shared" si="268"/>
        <v>685.51921599999991</v>
      </c>
      <c r="N117" s="196">
        <f t="shared" si="279"/>
        <v>771.78560799691866</v>
      </c>
      <c r="O117" s="197">
        <f t="shared" si="280"/>
        <v>150.40279741168024</v>
      </c>
      <c r="P117" s="197">
        <f t="shared" si="281"/>
        <v>336.2037065403872</v>
      </c>
      <c r="Q117" s="197">
        <f t="shared" si="282"/>
        <v>435.58190145653145</v>
      </c>
      <c r="R117" s="199">
        <f t="shared" si="283"/>
        <v>585.98469886821169</v>
      </c>
      <c r="S117" s="196">
        <f t="shared" si="334"/>
        <v>2628.2787349882701</v>
      </c>
      <c r="T117" s="197">
        <f t="shared" si="284"/>
        <v>814.63006470799337</v>
      </c>
      <c r="U117" s="197">
        <f t="shared" si="285"/>
        <v>3866.0984305494903</v>
      </c>
      <c r="V117" s="197">
        <f t="shared" si="286"/>
        <v>-1237.8196955612207</v>
      </c>
      <c r="W117" s="199">
        <f t="shared" si="287"/>
        <v>-423.18963085322684</v>
      </c>
      <c r="X117" s="197"/>
      <c r="Z117" s="204">
        <f t="shared" si="335"/>
        <v>5</v>
      </c>
      <c r="AA117" s="760">
        <f>'Energy NPV'!$D43</f>
        <v>12.54</v>
      </c>
      <c r="AB117" s="197">
        <f>'Energy margins'!$L$12</f>
        <v>72</v>
      </c>
      <c r="AC117" s="197">
        <f t="shared" si="336"/>
        <v>902.87999999999988</v>
      </c>
      <c r="AD117" s="197">
        <f>'Margins summary'!$S$14</f>
        <v>175.95</v>
      </c>
      <c r="AE117" s="197">
        <f t="shared" si="288"/>
        <v>1078.83</v>
      </c>
      <c r="AF117" s="197"/>
      <c r="AG117" s="918">
        <f>'Energy NPV'!U43</f>
        <v>393.31078400000001</v>
      </c>
      <c r="AH117" s="197"/>
      <c r="AI117" s="197">
        <f t="shared" si="289"/>
        <v>589.96617600000002</v>
      </c>
      <c r="AJ117" s="197">
        <f t="shared" si="269"/>
        <v>312.91382399999986</v>
      </c>
      <c r="AK117" s="197">
        <f t="shared" si="270"/>
        <v>488.86382399999991</v>
      </c>
      <c r="AL117" s="196">
        <f t="shared" si="290"/>
        <v>771.78560799691866</v>
      </c>
      <c r="AM117" s="197">
        <f t="shared" si="291"/>
        <v>150.40279741168024</v>
      </c>
      <c r="AN117" s="197">
        <f t="shared" si="292"/>
        <v>504.3055598105808</v>
      </c>
      <c r="AO117" s="197">
        <f t="shared" si="293"/>
        <v>267.48004818633785</v>
      </c>
      <c r="AP117" s="199">
        <f t="shared" si="294"/>
        <v>417.88284559801815</v>
      </c>
      <c r="AQ117" s="196">
        <f t="shared" si="337"/>
        <v>2628.2787349882701</v>
      </c>
      <c r="AR117" s="197">
        <f t="shared" si="295"/>
        <v>814.63006470799337</v>
      </c>
      <c r="AS117" s="197">
        <f t="shared" si="296"/>
        <v>5799.147645824235</v>
      </c>
      <c r="AT117" s="197">
        <f t="shared" si="297"/>
        <v>-3170.8689108359658</v>
      </c>
      <c r="AU117" s="199">
        <f t="shared" si="298"/>
        <v>-2356.2388461279716</v>
      </c>
      <c r="AV117" s="197"/>
      <c r="AX117" s="204">
        <f t="shared" si="338"/>
        <v>5</v>
      </c>
      <c r="AY117" s="760">
        <f>'Energy NPV'!$D43</f>
        <v>12.54</v>
      </c>
      <c r="AZ117" s="197">
        <f>'Energy margins'!$L$12</f>
        <v>72</v>
      </c>
      <c r="BA117" s="197">
        <f t="shared" si="339"/>
        <v>902.87999999999988</v>
      </c>
      <c r="BB117" s="197">
        <f>'Margins summary'!$S$14</f>
        <v>175.95</v>
      </c>
      <c r="BC117" s="197">
        <f t="shared" si="299"/>
        <v>1078.83</v>
      </c>
      <c r="BD117" s="197"/>
      <c r="BE117" s="918">
        <f>'Energy NPV'!U43</f>
        <v>393.31078400000001</v>
      </c>
      <c r="BF117" s="197"/>
      <c r="BG117" s="197">
        <f t="shared" si="300"/>
        <v>196.65539200000001</v>
      </c>
      <c r="BH117" s="197">
        <f t="shared" si="271"/>
        <v>706.22460799999988</v>
      </c>
      <c r="BI117" s="197">
        <f t="shared" si="272"/>
        <v>882.17460799999992</v>
      </c>
      <c r="BJ117" s="196">
        <f t="shared" si="301"/>
        <v>771.78560799691866</v>
      </c>
      <c r="BK117" s="197">
        <f t="shared" si="302"/>
        <v>150.40279741168024</v>
      </c>
      <c r="BL117" s="197">
        <f t="shared" si="303"/>
        <v>168.1018532701936</v>
      </c>
      <c r="BM117" s="197">
        <f t="shared" si="304"/>
        <v>603.68375472672506</v>
      </c>
      <c r="BN117" s="199">
        <f t="shared" si="305"/>
        <v>754.0865521384053</v>
      </c>
      <c r="BO117" s="196">
        <f t="shared" si="340"/>
        <v>2628.2787349882701</v>
      </c>
      <c r="BP117" s="197">
        <f t="shared" si="306"/>
        <v>814.63006470799337</v>
      </c>
      <c r="BQ117" s="197">
        <f t="shared" si="307"/>
        <v>1933.0492152747452</v>
      </c>
      <c r="BR117" s="197">
        <f t="shared" si="308"/>
        <v>695.22951971352495</v>
      </c>
      <c r="BS117" s="199">
        <f t="shared" si="309"/>
        <v>1509.8595844215183</v>
      </c>
      <c r="BT117" s="197"/>
      <c r="BV117" s="204">
        <f t="shared" si="341"/>
        <v>5</v>
      </c>
      <c r="BW117" s="760">
        <f>'Energy NPV'!$D43</f>
        <v>12.54</v>
      </c>
      <c r="BX117" s="197">
        <f>'Energy margins'!$L$12</f>
        <v>72</v>
      </c>
      <c r="BY117" s="197">
        <f t="shared" si="342"/>
        <v>902.87999999999988</v>
      </c>
      <c r="BZ117" s="197">
        <f>'Margins summary'!$S$14</f>
        <v>175.95</v>
      </c>
      <c r="CA117" s="197">
        <f t="shared" si="310"/>
        <v>1078.83</v>
      </c>
      <c r="CB117" s="197"/>
      <c r="CC117" s="918">
        <f>'Energy NPV'!U43</f>
        <v>393.31078400000001</v>
      </c>
      <c r="CD117" s="197"/>
      <c r="CE117" s="197">
        <f t="shared" si="311"/>
        <v>786.62156800000002</v>
      </c>
      <c r="CF117" s="197">
        <f t="shared" si="273"/>
        <v>116.25843199999986</v>
      </c>
      <c r="CG117" s="197">
        <f t="shared" si="274"/>
        <v>292.2084319999999</v>
      </c>
      <c r="CH117" s="196">
        <f t="shared" si="312"/>
        <v>771.78560799691866</v>
      </c>
      <c r="CI117" s="197">
        <f t="shared" si="313"/>
        <v>150.40279741168024</v>
      </c>
      <c r="CJ117" s="197">
        <f t="shared" si="314"/>
        <v>672.4074130807744</v>
      </c>
      <c r="CK117" s="197">
        <f t="shared" si="315"/>
        <v>99.378194916144253</v>
      </c>
      <c r="CL117" s="199">
        <f t="shared" si="316"/>
        <v>249.78099232782452</v>
      </c>
      <c r="CM117" s="196">
        <f t="shared" si="343"/>
        <v>2628.2787349882701</v>
      </c>
      <c r="CN117" s="197">
        <f t="shared" si="317"/>
        <v>814.63006470799337</v>
      </c>
      <c r="CO117" s="197">
        <f t="shared" si="318"/>
        <v>7732.1968610989807</v>
      </c>
      <c r="CP117" s="197">
        <f t="shared" si="319"/>
        <v>-5103.9181261107105</v>
      </c>
      <c r="CQ117" s="199">
        <f t="shared" si="320"/>
        <v>-4289.2880614027172</v>
      </c>
      <c r="CR117" s="197"/>
      <c r="CT117" s="204">
        <f t="shared" si="344"/>
        <v>5</v>
      </c>
      <c r="CU117" s="760">
        <f>'Energy NPV'!$D43</f>
        <v>12.54</v>
      </c>
      <c r="CV117" s="197">
        <f>'Energy margins'!$L$12</f>
        <v>72</v>
      </c>
      <c r="CW117" s="197">
        <f t="shared" si="345"/>
        <v>902.87999999999988</v>
      </c>
      <c r="CX117" s="197">
        <f>'Margins summary'!$S$14</f>
        <v>175.95</v>
      </c>
      <c r="CY117" s="197">
        <f t="shared" si="321"/>
        <v>1078.83</v>
      </c>
      <c r="CZ117" s="197"/>
      <c r="DA117" s="918">
        <f>'Energy NPV'!U43</f>
        <v>393.31078400000001</v>
      </c>
      <c r="DB117" s="197"/>
      <c r="DC117" s="197">
        <f t="shared" si="322"/>
        <v>0</v>
      </c>
      <c r="DD117" s="197">
        <f t="shared" si="275"/>
        <v>902.87999999999988</v>
      </c>
      <c r="DE117" s="197">
        <f t="shared" si="276"/>
        <v>1078.83</v>
      </c>
      <c r="DF117" s="196">
        <f t="shared" si="323"/>
        <v>771.78560799691866</v>
      </c>
      <c r="DG117" s="197">
        <f t="shared" si="324"/>
        <v>150.40279741168024</v>
      </c>
      <c r="DH117" s="197">
        <f t="shared" si="325"/>
        <v>0</v>
      </c>
      <c r="DI117" s="197">
        <f t="shared" si="326"/>
        <v>771.78560799691866</v>
      </c>
      <c r="DJ117" s="199">
        <f t="shared" si="327"/>
        <v>922.1884054085989</v>
      </c>
      <c r="DK117" s="196">
        <f t="shared" si="346"/>
        <v>2628.2787349882701</v>
      </c>
      <c r="DL117" s="197">
        <f t="shared" si="328"/>
        <v>814.63006470799337</v>
      </c>
      <c r="DM117" s="197">
        <f t="shared" si="329"/>
        <v>0</v>
      </c>
      <c r="DN117" s="197">
        <f t="shared" si="330"/>
        <v>2628.2787349882701</v>
      </c>
      <c r="DO117" s="199">
        <f t="shared" si="331"/>
        <v>3442.9087996962635</v>
      </c>
    </row>
    <row r="118" spans="2:119" x14ac:dyDescent="0.3">
      <c r="B118" s="204">
        <f t="shared" si="332"/>
        <v>6</v>
      </c>
      <c r="C118" s="760">
        <f>'Energy NPV'!$D44</f>
        <v>12.54</v>
      </c>
      <c r="D118" s="197">
        <f>'Energy margins'!$L$12</f>
        <v>72</v>
      </c>
      <c r="E118" s="197">
        <f t="shared" si="333"/>
        <v>902.87999999999988</v>
      </c>
      <c r="F118" s="197">
        <f>'Margins summary'!$S$14</f>
        <v>175.95</v>
      </c>
      <c r="G118" s="197">
        <f t="shared" si="277"/>
        <v>1078.83</v>
      </c>
      <c r="H118" s="197"/>
      <c r="I118" s="918">
        <f>'Energy NPV'!U44</f>
        <v>393.31078400000001</v>
      </c>
      <c r="J118" s="197"/>
      <c r="K118" s="197">
        <f t="shared" si="278"/>
        <v>393.31078400000001</v>
      </c>
      <c r="L118" s="197">
        <f t="shared" si="267"/>
        <v>509.56921599999987</v>
      </c>
      <c r="M118" s="197">
        <f t="shared" si="268"/>
        <v>685.51921599999991</v>
      </c>
      <c r="N118" s="196">
        <f t="shared" si="279"/>
        <v>742.10154615088322</v>
      </c>
      <c r="O118" s="197">
        <f t="shared" si="280"/>
        <v>144.61807443430789</v>
      </c>
      <c r="P118" s="197">
        <f t="shared" si="281"/>
        <v>323.27279475037227</v>
      </c>
      <c r="Q118" s="197">
        <f t="shared" si="282"/>
        <v>418.82875140051095</v>
      </c>
      <c r="R118" s="199">
        <f t="shared" si="283"/>
        <v>563.44682583481892</v>
      </c>
      <c r="S118" s="196">
        <f t="shared" si="334"/>
        <v>3370.3802811391533</v>
      </c>
      <c r="T118" s="197">
        <f t="shared" si="284"/>
        <v>959.24813914230128</v>
      </c>
      <c r="U118" s="197">
        <f t="shared" si="285"/>
        <v>4189.371225299863</v>
      </c>
      <c r="V118" s="197">
        <f t="shared" si="286"/>
        <v>-818.99094416070966</v>
      </c>
      <c r="W118" s="199">
        <f t="shared" si="287"/>
        <v>140.25719498159208</v>
      </c>
      <c r="X118" s="197"/>
      <c r="Z118" s="204">
        <f t="shared" si="335"/>
        <v>6</v>
      </c>
      <c r="AA118" s="760">
        <f>'Energy NPV'!$D44</f>
        <v>12.54</v>
      </c>
      <c r="AB118" s="197">
        <f>'Energy margins'!$L$12</f>
        <v>72</v>
      </c>
      <c r="AC118" s="197">
        <f t="shared" si="336"/>
        <v>902.87999999999988</v>
      </c>
      <c r="AD118" s="197">
        <f>'Margins summary'!$S$14</f>
        <v>175.95</v>
      </c>
      <c r="AE118" s="197">
        <f t="shared" si="288"/>
        <v>1078.83</v>
      </c>
      <c r="AF118" s="197"/>
      <c r="AG118" s="918">
        <f>'Energy NPV'!U44</f>
        <v>393.31078400000001</v>
      </c>
      <c r="AH118" s="197"/>
      <c r="AI118" s="197">
        <f t="shared" si="289"/>
        <v>589.96617600000002</v>
      </c>
      <c r="AJ118" s="197">
        <f t="shared" si="269"/>
        <v>312.91382399999986</v>
      </c>
      <c r="AK118" s="197">
        <f t="shared" si="270"/>
        <v>488.86382399999991</v>
      </c>
      <c r="AL118" s="196">
        <f t="shared" si="290"/>
        <v>742.10154615088322</v>
      </c>
      <c r="AM118" s="197">
        <f t="shared" si="291"/>
        <v>144.61807443430789</v>
      </c>
      <c r="AN118" s="197">
        <f t="shared" si="292"/>
        <v>484.90919212555838</v>
      </c>
      <c r="AO118" s="197">
        <f t="shared" si="293"/>
        <v>257.19235402532485</v>
      </c>
      <c r="AP118" s="199">
        <f t="shared" si="294"/>
        <v>401.81042845963276</v>
      </c>
      <c r="AQ118" s="196">
        <f t="shared" si="337"/>
        <v>3370.3802811391533</v>
      </c>
      <c r="AR118" s="197">
        <f t="shared" si="295"/>
        <v>959.24813914230128</v>
      </c>
      <c r="AS118" s="197">
        <f t="shared" si="296"/>
        <v>6284.0568379497936</v>
      </c>
      <c r="AT118" s="197">
        <f t="shared" si="297"/>
        <v>-2913.6765568106412</v>
      </c>
      <c r="AU118" s="199">
        <f t="shared" si="298"/>
        <v>-1954.4284176683389</v>
      </c>
      <c r="AV118" s="197"/>
      <c r="AX118" s="204">
        <f t="shared" si="338"/>
        <v>6</v>
      </c>
      <c r="AY118" s="760">
        <f>'Energy NPV'!$D44</f>
        <v>12.54</v>
      </c>
      <c r="AZ118" s="197">
        <f>'Energy margins'!$L$12</f>
        <v>72</v>
      </c>
      <c r="BA118" s="197">
        <f t="shared" si="339"/>
        <v>902.87999999999988</v>
      </c>
      <c r="BB118" s="197">
        <f>'Margins summary'!$S$14</f>
        <v>175.95</v>
      </c>
      <c r="BC118" s="197">
        <f t="shared" si="299"/>
        <v>1078.83</v>
      </c>
      <c r="BD118" s="197"/>
      <c r="BE118" s="918">
        <f>'Energy NPV'!U44</f>
        <v>393.31078400000001</v>
      </c>
      <c r="BF118" s="197"/>
      <c r="BG118" s="197">
        <f t="shared" si="300"/>
        <v>196.65539200000001</v>
      </c>
      <c r="BH118" s="197">
        <f t="shared" si="271"/>
        <v>706.22460799999988</v>
      </c>
      <c r="BI118" s="197">
        <f t="shared" si="272"/>
        <v>882.17460799999992</v>
      </c>
      <c r="BJ118" s="196">
        <f t="shared" si="301"/>
        <v>742.10154615088322</v>
      </c>
      <c r="BK118" s="197">
        <f t="shared" si="302"/>
        <v>144.61807443430789</v>
      </c>
      <c r="BL118" s="197">
        <f t="shared" si="303"/>
        <v>161.63639737518614</v>
      </c>
      <c r="BM118" s="197">
        <f t="shared" si="304"/>
        <v>580.46514877569712</v>
      </c>
      <c r="BN118" s="199">
        <f t="shared" si="305"/>
        <v>725.08322321000503</v>
      </c>
      <c r="BO118" s="196">
        <f t="shared" si="340"/>
        <v>3370.3802811391533</v>
      </c>
      <c r="BP118" s="197">
        <f t="shared" si="306"/>
        <v>959.24813914230128</v>
      </c>
      <c r="BQ118" s="197">
        <f t="shared" si="307"/>
        <v>2094.6856126499315</v>
      </c>
      <c r="BR118" s="197">
        <f t="shared" si="308"/>
        <v>1275.6946684892221</v>
      </c>
      <c r="BS118" s="199">
        <f t="shared" si="309"/>
        <v>2234.9428076315235</v>
      </c>
      <c r="BT118" s="197"/>
      <c r="BV118" s="204">
        <f t="shared" si="341"/>
        <v>6</v>
      </c>
      <c r="BW118" s="760">
        <f>'Energy NPV'!$D44</f>
        <v>12.54</v>
      </c>
      <c r="BX118" s="197">
        <f>'Energy margins'!$L$12</f>
        <v>72</v>
      </c>
      <c r="BY118" s="197">
        <f t="shared" si="342"/>
        <v>902.87999999999988</v>
      </c>
      <c r="BZ118" s="197">
        <f>'Margins summary'!$S$14</f>
        <v>175.95</v>
      </c>
      <c r="CA118" s="197">
        <f t="shared" si="310"/>
        <v>1078.83</v>
      </c>
      <c r="CB118" s="197"/>
      <c r="CC118" s="918">
        <f>'Energy NPV'!U44</f>
        <v>393.31078400000001</v>
      </c>
      <c r="CD118" s="197"/>
      <c r="CE118" s="197">
        <f t="shared" si="311"/>
        <v>786.62156800000002</v>
      </c>
      <c r="CF118" s="197">
        <f t="shared" si="273"/>
        <v>116.25843199999986</v>
      </c>
      <c r="CG118" s="197">
        <f t="shared" si="274"/>
        <v>292.2084319999999</v>
      </c>
      <c r="CH118" s="196">
        <f t="shared" si="312"/>
        <v>742.10154615088322</v>
      </c>
      <c r="CI118" s="197">
        <f t="shared" si="313"/>
        <v>144.61807443430789</v>
      </c>
      <c r="CJ118" s="197">
        <f t="shared" si="314"/>
        <v>646.54558950074454</v>
      </c>
      <c r="CK118" s="197">
        <f t="shared" si="315"/>
        <v>95.555956650138697</v>
      </c>
      <c r="CL118" s="199">
        <f t="shared" si="316"/>
        <v>240.17403108444663</v>
      </c>
      <c r="CM118" s="196">
        <f t="shared" si="343"/>
        <v>3370.3802811391533</v>
      </c>
      <c r="CN118" s="197">
        <f t="shared" si="317"/>
        <v>959.24813914230128</v>
      </c>
      <c r="CO118" s="197">
        <f t="shared" si="318"/>
        <v>8378.742450599726</v>
      </c>
      <c r="CP118" s="197">
        <f t="shared" si="319"/>
        <v>-5008.3621694605717</v>
      </c>
      <c r="CQ118" s="199">
        <f t="shared" si="320"/>
        <v>-4049.1140303182706</v>
      </c>
      <c r="CR118" s="197"/>
      <c r="CT118" s="204">
        <f t="shared" si="344"/>
        <v>6</v>
      </c>
      <c r="CU118" s="760">
        <f>'Energy NPV'!$D44</f>
        <v>12.54</v>
      </c>
      <c r="CV118" s="197">
        <f>'Energy margins'!$L$12</f>
        <v>72</v>
      </c>
      <c r="CW118" s="197">
        <f t="shared" si="345"/>
        <v>902.87999999999988</v>
      </c>
      <c r="CX118" s="197">
        <f>'Margins summary'!$S$14</f>
        <v>175.95</v>
      </c>
      <c r="CY118" s="197">
        <f t="shared" si="321"/>
        <v>1078.83</v>
      </c>
      <c r="CZ118" s="197"/>
      <c r="DA118" s="918">
        <f>'Energy NPV'!U44</f>
        <v>393.31078400000001</v>
      </c>
      <c r="DB118" s="197"/>
      <c r="DC118" s="197">
        <f t="shared" si="322"/>
        <v>0</v>
      </c>
      <c r="DD118" s="197">
        <f t="shared" si="275"/>
        <v>902.87999999999988</v>
      </c>
      <c r="DE118" s="197">
        <f t="shared" si="276"/>
        <v>1078.83</v>
      </c>
      <c r="DF118" s="196">
        <f t="shared" si="323"/>
        <v>742.10154615088322</v>
      </c>
      <c r="DG118" s="197">
        <f t="shared" si="324"/>
        <v>144.61807443430789</v>
      </c>
      <c r="DH118" s="197">
        <f t="shared" si="325"/>
        <v>0</v>
      </c>
      <c r="DI118" s="197">
        <f t="shared" si="326"/>
        <v>742.10154615088322</v>
      </c>
      <c r="DJ118" s="199">
        <f t="shared" si="327"/>
        <v>886.71962058519114</v>
      </c>
      <c r="DK118" s="196">
        <f t="shared" si="346"/>
        <v>3370.3802811391533</v>
      </c>
      <c r="DL118" s="197">
        <f t="shared" si="328"/>
        <v>959.24813914230128</v>
      </c>
      <c r="DM118" s="197">
        <f t="shared" si="329"/>
        <v>0</v>
      </c>
      <c r="DN118" s="197">
        <f t="shared" si="330"/>
        <v>3370.3802811391533</v>
      </c>
      <c r="DO118" s="199">
        <f t="shared" si="331"/>
        <v>4329.628420281455</v>
      </c>
    </row>
    <row r="119" spans="2:119" x14ac:dyDescent="0.3">
      <c r="B119" s="204">
        <f t="shared" si="332"/>
        <v>7</v>
      </c>
      <c r="C119" s="760">
        <f>'Energy NPV'!$D45</f>
        <v>12.54</v>
      </c>
      <c r="D119" s="197">
        <f>'Energy margins'!$L$12</f>
        <v>72</v>
      </c>
      <c r="E119" s="197">
        <f t="shared" si="333"/>
        <v>902.87999999999988</v>
      </c>
      <c r="F119" s="197">
        <f>'Margins summary'!$S$14</f>
        <v>175.95</v>
      </c>
      <c r="G119" s="197">
        <f t="shared" si="277"/>
        <v>1078.83</v>
      </c>
      <c r="H119" s="197"/>
      <c r="I119" s="918">
        <f>'Energy NPV'!U45</f>
        <v>393.31078400000001</v>
      </c>
      <c r="J119" s="197"/>
      <c r="K119" s="197">
        <f t="shared" si="278"/>
        <v>393.31078400000001</v>
      </c>
      <c r="L119" s="197">
        <f t="shared" si="267"/>
        <v>509.56921599999987</v>
      </c>
      <c r="M119" s="197">
        <f t="shared" si="268"/>
        <v>685.51921599999991</v>
      </c>
      <c r="N119" s="196">
        <f t="shared" si="279"/>
        <v>713.55917899123392</v>
      </c>
      <c r="O119" s="197">
        <f t="shared" si="280"/>
        <v>139.05584080221914</v>
      </c>
      <c r="P119" s="197">
        <f t="shared" si="281"/>
        <v>310.83922572151181</v>
      </c>
      <c r="Q119" s="197">
        <f t="shared" si="282"/>
        <v>402.71995326972205</v>
      </c>
      <c r="R119" s="199">
        <f t="shared" si="283"/>
        <v>541.77579407194128</v>
      </c>
      <c r="S119" s="196">
        <f t="shared" si="334"/>
        <v>4083.9394601303875</v>
      </c>
      <c r="T119" s="197">
        <f t="shared" si="284"/>
        <v>1098.3039799445205</v>
      </c>
      <c r="U119" s="197">
        <f t="shared" si="285"/>
        <v>4500.2104510213749</v>
      </c>
      <c r="V119" s="197">
        <f t="shared" si="286"/>
        <v>-416.2709908909876</v>
      </c>
      <c r="W119" s="199">
        <f t="shared" si="287"/>
        <v>682.03298905353336</v>
      </c>
      <c r="X119" s="197"/>
      <c r="Z119" s="204">
        <f t="shared" si="335"/>
        <v>7</v>
      </c>
      <c r="AA119" s="760">
        <f>'Energy NPV'!$D45</f>
        <v>12.54</v>
      </c>
      <c r="AB119" s="197">
        <f>'Energy margins'!$L$12</f>
        <v>72</v>
      </c>
      <c r="AC119" s="197">
        <f t="shared" si="336"/>
        <v>902.87999999999988</v>
      </c>
      <c r="AD119" s="197">
        <f>'Margins summary'!$S$14</f>
        <v>175.95</v>
      </c>
      <c r="AE119" s="197">
        <f t="shared" si="288"/>
        <v>1078.83</v>
      </c>
      <c r="AF119" s="197"/>
      <c r="AG119" s="918">
        <f>'Energy NPV'!U45</f>
        <v>393.31078400000001</v>
      </c>
      <c r="AH119" s="197"/>
      <c r="AI119" s="197">
        <f t="shared" si="289"/>
        <v>589.96617600000002</v>
      </c>
      <c r="AJ119" s="197">
        <f t="shared" si="269"/>
        <v>312.91382399999986</v>
      </c>
      <c r="AK119" s="197">
        <f t="shared" si="270"/>
        <v>488.86382399999991</v>
      </c>
      <c r="AL119" s="196">
        <f t="shared" si="290"/>
        <v>713.55917899123392</v>
      </c>
      <c r="AM119" s="197">
        <f t="shared" si="291"/>
        <v>139.05584080221914</v>
      </c>
      <c r="AN119" s="197">
        <f t="shared" si="292"/>
        <v>466.25883858226769</v>
      </c>
      <c r="AO119" s="197">
        <f t="shared" si="293"/>
        <v>247.30034040896618</v>
      </c>
      <c r="AP119" s="199">
        <f t="shared" si="294"/>
        <v>386.35618121118534</v>
      </c>
      <c r="AQ119" s="196">
        <f t="shared" si="337"/>
        <v>4083.9394601303875</v>
      </c>
      <c r="AR119" s="197">
        <f t="shared" si="295"/>
        <v>1098.3039799445205</v>
      </c>
      <c r="AS119" s="197">
        <f t="shared" si="296"/>
        <v>6750.3156765320609</v>
      </c>
      <c r="AT119" s="197">
        <f t="shared" si="297"/>
        <v>-2666.3762164016748</v>
      </c>
      <c r="AU119" s="199">
        <f t="shared" si="298"/>
        <v>-1568.0722364571534</v>
      </c>
      <c r="AV119" s="197"/>
      <c r="AX119" s="204">
        <f t="shared" si="338"/>
        <v>7</v>
      </c>
      <c r="AY119" s="760">
        <f>'Energy NPV'!$D45</f>
        <v>12.54</v>
      </c>
      <c r="AZ119" s="197">
        <f>'Energy margins'!$L$12</f>
        <v>72</v>
      </c>
      <c r="BA119" s="197">
        <f t="shared" si="339"/>
        <v>902.87999999999988</v>
      </c>
      <c r="BB119" s="197">
        <f>'Margins summary'!$S$14</f>
        <v>175.95</v>
      </c>
      <c r="BC119" s="197">
        <f t="shared" si="299"/>
        <v>1078.83</v>
      </c>
      <c r="BD119" s="197"/>
      <c r="BE119" s="918">
        <f>'Energy NPV'!U45</f>
        <v>393.31078400000001</v>
      </c>
      <c r="BF119" s="197"/>
      <c r="BG119" s="197">
        <f t="shared" si="300"/>
        <v>196.65539200000001</v>
      </c>
      <c r="BH119" s="197">
        <f t="shared" si="271"/>
        <v>706.22460799999988</v>
      </c>
      <c r="BI119" s="197">
        <f t="shared" si="272"/>
        <v>882.17460799999992</v>
      </c>
      <c r="BJ119" s="196">
        <f t="shared" si="301"/>
        <v>713.55917899123392</v>
      </c>
      <c r="BK119" s="197">
        <f t="shared" si="302"/>
        <v>139.05584080221914</v>
      </c>
      <c r="BL119" s="197">
        <f t="shared" si="303"/>
        <v>155.4196128607559</v>
      </c>
      <c r="BM119" s="197">
        <f t="shared" si="304"/>
        <v>558.13956613047799</v>
      </c>
      <c r="BN119" s="199">
        <f t="shared" si="305"/>
        <v>697.1954069326971</v>
      </c>
      <c r="BO119" s="196">
        <f t="shared" si="340"/>
        <v>4083.9394601303875</v>
      </c>
      <c r="BP119" s="197">
        <f t="shared" si="306"/>
        <v>1098.3039799445205</v>
      </c>
      <c r="BQ119" s="197">
        <f t="shared" si="307"/>
        <v>2250.1052255106874</v>
      </c>
      <c r="BR119" s="197">
        <f t="shared" si="308"/>
        <v>1833.8342346197001</v>
      </c>
      <c r="BS119" s="199">
        <f t="shared" si="309"/>
        <v>2932.1382145642206</v>
      </c>
      <c r="BT119" s="197"/>
      <c r="BV119" s="204">
        <f t="shared" si="341"/>
        <v>7</v>
      </c>
      <c r="BW119" s="760">
        <f>'Energy NPV'!$D45</f>
        <v>12.54</v>
      </c>
      <c r="BX119" s="197">
        <f>'Energy margins'!$L$12</f>
        <v>72</v>
      </c>
      <c r="BY119" s="197">
        <f t="shared" si="342"/>
        <v>902.87999999999988</v>
      </c>
      <c r="BZ119" s="197">
        <f>'Margins summary'!$S$14</f>
        <v>175.95</v>
      </c>
      <c r="CA119" s="197">
        <f t="shared" si="310"/>
        <v>1078.83</v>
      </c>
      <c r="CB119" s="197"/>
      <c r="CC119" s="918">
        <f>'Energy NPV'!U45</f>
        <v>393.31078400000001</v>
      </c>
      <c r="CD119" s="197"/>
      <c r="CE119" s="197">
        <f t="shared" si="311"/>
        <v>786.62156800000002</v>
      </c>
      <c r="CF119" s="197">
        <f t="shared" si="273"/>
        <v>116.25843199999986</v>
      </c>
      <c r="CG119" s="197">
        <f t="shared" si="274"/>
        <v>292.2084319999999</v>
      </c>
      <c r="CH119" s="196">
        <f t="shared" si="312"/>
        <v>713.55917899123392</v>
      </c>
      <c r="CI119" s="197">
        <f t="shared" si="313"/>
        <v>139.05584080221914</v>
      </c>
      <c r="CJ119" s="197">
        <f t="shared" si="314"/>
        <v>621.67845144302362</v>
      </c>
      <c r="CK119" s="197">
        <f t="shared" si="315"/>
        <v>91.880727548210288</v>
      </c>
      <c r="CL119" s="199">
        <f t="shared" si="316"/>
        <v>230.93656835042947</v>
      </c>
      <c r="CM119" s="196">
        <f t="shared" si="343"/>
        <v>4083.9394601303875</v>
      </c>
      <c r="CN119" s="197">
        <f t="shared" si="317"/>
        <v>1098.3039799445205</v>
      </c>
      <c r="CO119" s="197">
        <f t="shared" si="318"/>
        <v>9000.4209020427497</v>
      </c>
      <c r="CP119" s="197">
        <f t="shared" si="319"/>
        <v>-4916.4814419123613</v>
      </c>
      <c r="CQ119" s="199">
        <f t="shared" si="320"/>
        <v>-3818.1774619678413</v>
      </c>
      <c r="CR119" s="197"/>
      <c r="CT119" s="204">
        <f t="shared" si="344"/>
        <v>7</v>
      </c>
      <c r="CU119" s="760">
        <f>'Energy NPV'!$D45</f>
        <v>12.54</v>
      </c>
      <c r="CV119" s="197">
        <f>'Energy margins'!$L$12</f>
        <v>72</v>
      </c>
      <c r="CW119" s="197">
        <f t="shared" si="345"/>
        <v>902.87999999999988</v>
      </c>
      <c r="CX119" s="197">
        <f>'Margins summary'!$S$14</f>
        <v>175.95</v>
      </c>
      <c r="CY119" s="197">
        <f t="shared" si="321"/>
        <v>1078.83</v>
      </c>
      <c r="CZ119" s="197"/>
      <c r="DA119" s="918">
        <f>'Energy NPV'!U45</f>
        <v>393.31078400000001</v>
      </c>
      <c r="DB119" s="197"/>
      <c r="DC119" s="197">
        <f t="shared" si="322"/>
        <v>0</v>
      </c>
      <c r="DD119" s="197">
        <f t="shared" si="275"/>
        <v>902.87999999999988</v>
      </c>
      <c r="DE119" s="197">
        <f t="shared" si="276"/>
        <v>1078.83</v>
      </c>
      <c r="DF119" s="196">
        <f t="shared" si="323"/>
        <v>713.55917899123392</v>
      </c>
      <c r="DG119" s="197">
        <f t="shared" si="324"/>
        <v>139.05584080221914</v>
      </c>
      <c r="DH119" s="197">
        <f t="shared" si="325"/>
        <v>0</v>
      </c>
      <c r="DI119" s="197">
        <f t="shared" si="326"/>
        <v>713.55917899123392</v>
      </c>
      <c r="DJ119" s="199">
        <f t="shared" si="327"/>
        <v>852.61501979345303</v>
      </c>
      <c r="DK119" s="196">
        <f t="shared" si="346"/>
        <v>4083.9394601303875</v>
      </c>
      <c r="DL119" s="197">
        <f t="shared" si="328"/>
        <v>1098.3039799445205</v>
      </c>
      <c r="DM119" s="197">
        <f t="shared" si="329"/>
        <v>0</v>
      </c>
      <c r="DN119" s="197">
        <f t="shared" si="330"/>
        <v>4083.9394601303875</v>
      </c>
      <c r="DO119" s="199">
        <f t="shared" si="331"/>
        <v>5182.243440074908</v>
      </c>
    </row>
    <row r="120" spans="2:119" x14ac:dyDescent="0.3">
      <c r="B120" s="204">
        <f t="shared" si="332"/>
        <v>8</v>
      </c>
      <c r="C120" s="760">
        <f>'Energy NPV'!$D46</f>
        <v>12.54</v>
      </c>
      <c r="D120" s="197">
        <f>'Energy margins'!$L$12</f>
        <v>72</v>
      </c>
      <c r="E120" s="197">
        <f t="shared" si="333"/>
        <v>902.87999999999988</v>
      </c>
      <c r="F120" s="197">
        <f>'Margins summary'!$S$14</f>
        <v>175.95</v>
      </c>
      <c r="G120" s="197">
        <f t="shared" si="277"/>
        <v>1078.83</v>
      </c>
      <c r="H120" s="197"/>
      <c r="I120" s="918">
        <f>'Energy NPV'!U46</f>
        <v>393.31078400000001</v>
      </c>
      <c r="J120" s="197"/>
      <c r="K120" s="197">
        <f t="shared" si="278"/>
        <v>393.31078400000001</v>
      </c>
      <c r="L120" s="197">
        <f t="shared" si="267"/>
        <v>509.56921599999987</v>
      </c>
      <c r="M120" s="197">
        <f t="shared" si="268"/>
        <v>685.51921599999991</v>
      </c>
      <c r="N120" s="196">
        <f t="shared" si="279"/>
        <v>686.11459518387881</v>
      </c>
      <c r="O120" s="197">
        <f t="shared" si="280"/>
        <v>133.70753923290303</v>
      </c>
      <c r="P120" s="197">
        <f t="shared" si="281"/>
        <v>298.88387088606908</v>
      </c>
      <c r="Q120" s="197">
        <f t="shared" si="282"/>
        <v>387.23072429780973</v>
      </c>
      <c r="R120" s="199">
        <f t="shared" si="283"/>
        <v>520.93826353071279</v>
      </c>
      <c r="S120" s="196">
        <f t="shared" si="334"/>
        <v>4770.0540553142664</v>
      </c>
      <c r="T120" s="197">
        <f t="shared" si="284"/>
        <v>1232.0115191774235</v>
      </c>
      <c r="U120" s="197">
        <f t="shared" si="285"/>
        <v>4799.0943219074443</v>
      </c>
      <c r="V120" s="197">
        <f t="shared" si="286"/>
        <v>-29.040266593177876</v>
      </c>
      <c r="W120" s="199">
        <f t="shared" si="287"/>
        <v>1202.971252584246</v>
      </c>
      <c r="X120" s="197"/>
      <c r="Z120" s="204">
        <f t="shared" si="335"/>
        <v>8</v>
      </c>
      <c r="AA120" s="760">
        <f>'Energy NPV'!$D46</f>
        <v>12.54</v>
      </c>
      <c r="AB120" s="197">
        <f>'Energy margins'!$L$12</f>
        <v>72</v>
      </c>
      <c r="AC120" s="197">
        <f t="shared" si="336"/>
        <v>902.87999999999988</v>
      </c>
      <c r="AD120" s="197">
        <f>'Margins summary'!$S$14</f>
        <v>175.95</v>
      </c>
      <c r="AE120" s="197">
        <f t="shared" si="288"/>
        <v>1078.83</v>
      </c>
      <c r="AF120" s="197"/>
      <c r="AG120" s="918">
        <f>'Energy NPV'!U46</f>
        <v>393.31078400000001</v>
      </c>
      <c r="AH120" s="197"/>
      <c r="AI120" s="197">
        <f t="shared" si="289"/>
        <v>589.96617600000002</v>
      </c>
      <c r="AJ120" s="197">
        <f t="shared" si="269"/>
        <v>312.91382399999986</v>
      </c>
      <c r="AK120" s="197">
        <f t="shared" si="270"/>
        <v>488.86382399999991</v>
      </c>
      <c r="AL120" s="196">
        <f t="shared" si="290"/>
        <v>686.11459518387881</v>
      </c>
      <c r="AM120" s="197">
        <f t="shared" si="291"/>
        <v>133.70753923290303</v>
      </c>
      <c r="AN120" s="197">
        <f t="shared" si="292"/>
        <v>448.32580632910361</v>
      </c>
      <c r="AO120" s="197">
        <f t="shared" si="293"/>
        <v>237.78878885477519</v>
      </c>
      <c r="AP120" s="199">
        <f t="shared" si="294"/>
        <v>371.49632808767825</v>
      </c>
      <c r="AQ120" s="196">
        <f t="shared" si="337"/>
        <v>4770.0540553142664</v>
      </c>
      <c r="AR120" s="197">
        <f t="shared" si="295"/>
        <v>1232.0115191774235</v>
      </c>
      <c r="AS120" s="197">
        <f t="shared" si="296"/>
        <v>7198.6414828611641</v>
      </c>
      <c r="AT120" s="197">
        <f t="shared" si="297"/>
        <v>-2428.5874275468996</v>
      </c>
      <c r="AU120" s="199">
        <f t="shared" si="298"/>
        <v>-1196.5759083694752</v>
      </c>
      <c r="AV120" s="197"/>
      <c r="AX120" s="204">
        <f t="shared" si="338"/>
        <v>8</v>
      </c>
      <c r="AY120" s="760">
        <f>'Energy NPV'!$D46</f>
        <v>12.54</v>
      </c>
      <c r="AZ120" s="197">
        <f>'Energy margins'!$L$12</f>
        <v>72</v>
      </c>
      <c r="BA120" s="197">
        <f t="shared" si="339"/>
        <v>902.87999999999988</v>
      </c>
      <c r="BB120" s="197">
        <f>'Margins summary'!$S$14</f>
        <v>175.95</v>
      </c>
      <c r="BC120" s="197">
        <f t="shared" si="299"/>
        <v>1078.83</v>
      </c>
      <c r="BD120" s="197"/>
      <c r="BE120" s="918">
        <f>'Energy NPV'!U46</f>
        <v>393.31078400000001</v>
      </c>
      <c r="BF120" s="197"/>
      <c r="BG120" s="197">
        <f t="shared" si="300"/>
        <v>196.65539200000001</v>
      </c>
      <c r="BH120" s="197">
        <f t="shared" si="271"/>
        <v>706.22460799999988</v>
      </c>
      <c r="BI120" s="197">
        <f t="shared" si="272"/>
        <v>882.17460799999992</v>
      </c>
      <c r="BJ120" s="196">
        <f t="shared" si="301"/>
        <v>686.11459518387881</v>
      </c>
      <c r="BK120" s="197">
        <f t="shared" si="302"/>
        <v>133.70753923290303</v>
      </c>
      <c r="BL120" s="197">
        <f t="shared" si="303"/>
        <v>149.44193544303454</v>
      </c>
      <c r="BM120" s="197">
        <f t="shared" si="304"/>
        <v>536.67265974084421</v>
      </c>
      <c r="BN120" s="199">
        <f t="shared" si="305"/>
        <v>670.38019897374727</v>
      </c>
      <c r="BO120" s="196">
        <f t="shared" si="340"/>
        <v>4770.0540553142664</v>
      </c>
      <c r="BP120" s="197">
        <f t="shared" si="306"/>
        <v>1232.0115191774235</v>
      </c>
      <c r="BQ120" s="197">
        <f t="shared" si="307"/>
        <v>2399.5471609537221</v>
      </c>
      <c r="BR120" s="197">
        <f t="shared" si="308"/>
        <v>2370.5068943605443</v>
      </c>
      <c r="BS120" s="199">
        <f t="shared" si="309"/>
        <v>3602.5184135379677</v>
      </c>
      <c r="BT120" s="197"/>
      <c r="BV120" s="204">
        <f t="shared" si="341"/>
        <v>8</v>
      </c>
      <c r="BW120" s="760">
        <f>'Energy NPV'!$D46</f>
        <v>12.54</v>
      </c>
      <c r="BX120" s="197">
        <f>'Energy margins'!$L$12</f>
        <v>72</v>
      </c>
      <c r="BY120" s="197">
        <f t="shared" si="342"/>
        <v>902.87999999999988</v>
      </c>
      <c r="BZ120" s="197">
        <f>'Margins summary'!$S$14</f>
        <v>175.95</v>
      </c>
      <c r="CA120" s="197">
        <f t="shared" si="310"/>
        <v>1078.83</v>
      </c>
      <c r="CB120" s="197"/>
      <c r="CC120" s="918">
        <f>'Energy NPV'!U46</f>
        <v>393.31078400000001</v>
      </c>
      <c r="CD120" s="197"/>
      <c r="CE120" s="197">
        <f t="shared" si="311"/>
        <v>786.62156800000002</v>
      </c>
      <c r="CF120" s="197">
        <f t="shared" si="273"/>
        <v>116.25843199999986</v>
      </c>
      <c r="CG120" s="197">
        <f t="shared" si="274"/>
        <v>292.2084319999999</v>
      </c>
      <c r="CH120" s="196">
        <f t="shared" si="312"/>
        <v>686.11459518387881</v>
      </c>
      <c r="CI120" s="197">
        <f t="shared" si="313"/>
        <v>133.70753923290303</v>
      </c>
      <c r="CJ120" s="197">
        <f t="shared" si="314"/>
        <v>597.76774177213815</v>
      </c>
      <c r="CK120" s="197">
        <f t="shared" si="315"/>
        <v>88.346853411740668</v>
      </c>
      <c r="CL120" s="199">
        <f t="shared" si="316"/>
        <v>222.05439264464374</v>
      </c>
      <c r="CM120" s="196">
        <f t="shared" si="343"/>
        <v>4770.0540553142664</v>
      </c>
      <c r="CN120" s="197">
        <f t="shared" si="317"/>
        <v>1232.0115191774235</v>
      </c>
      <c r="CO120" s="197">
        <f t="shared" si="318"/>
        <v>9598.1886438148886</v>
      </c>
      <c r="CP120" s="197">
        <f t="shared" si="319"/>
        <v>-4828.1345885006203</v>
      </c>
      <c r="CQ120" s="199">
        <f t="shared" si="320"/>
        <v>-3596.1230693231973</v>
      </c>
      <c r="CR120" s="197"/>
      <c r="CT120" s="204">
        <f t="shared" si="344"/>
        <v>8</v>
      </c>
      <c r="CU120" s="760">
        <f>'Energy NPV'!$D46</f>
        <v>12.54</v>
      </c>
      <c r="CV120" s="197">
        <f>'Energy margins'!$L$12</f>
        <v>72</v>
      </c>
      <c r="CW120" s="197">
        <f t="shared" si="345"/>
        <v>902.87999999999988</v>
      </c>
      <c r="CX120" s="197">
        <f>'Margins summary'!$S$14</f>
        <v>175.95</v>
      </c>
      <c r="CY120" s="197">
        <f t="shared" si="321"/>
        <v>1078.83</v>
      </c>
      <c r="CZ120" s="197"/>
      <c r="DA120" s="918">
        <f>'Energy NPV'!U46</f>
        <v>393.31078400000001</v>
      </c>
      <c r="DB120" s="197"/>
      <c r="DC120" s="197">
        <f t="shared" si="322"/>
        <v>0</v>
      </c>
      <c r="DD120" s="197">
        <f t="shared" si="275"/>
        <v>902.87999999999988</v>
      </c>
      <c r="DE120" s="197">
        <f t="shared" si="276"/>
        <v>1078.83</v>
      </c>
      <c r="DF120" s="196">
        <f t="shared" si="323"/>
        <v>686.11459518387881</v>
      </c>
      <c r="DG120" s="197">
        <f t="shared" si="324"/>
        <v>133.70753923290303</v>
      </c>
      <c r="DH120" s="197">
        <f t="shared" si="325"/>
        <v>0</v>
      </c>
      <c r="DI120" s="197">
        <f t="shared" si="326"/>
        <v>686.11459518387881</v>
      </c>
      <c r="DJ120" s="199">
        <f t="shared" si="327"/>
        <v>819.82213441678186</v>
      </c>
      <c r="DK120" s="196">
        <f t="shared" si="346"/>
        <v>4770.0540553142664</v>
      </c>
      <c r="DL120" s="197">
        <f t="shared" si="328"/>
        <v>1232.0115191774235</v>
      </c>
      <c r="DM120" s="197">
        <f t="shared" si="329"/>
        <v>0</v>
      </c>
      <c r="DN120" s="197">
        <f t="shared" si="330"/>
        <v>4770.0540553142664</v>
      </c>
      <c r="DO120" s="199">
        <f t="shared" si="331"/>
        <v>6002.0655744916894</v>
      </c>
    </row>
    <row r="121" spans="2:119" x14ac:dyDescent="0.3">
      <c r="B121" s="204">
        <f t="shared" si="332"/>
        <v>9</v>
      </c>
      <c r="C121" s="760">
        <f>'Energy NPV'!$D47</f>
        <v>12.54</v>
      </c>
      <c r="D121" s="197">
        <f>'Energy margins'!$L$12</f>
        <v>72</v>
      </c>
      <c r="E121" s="197">
        <f t="shared" si="333"/>
        <v>902.87999999999988</v>
      </c>
      <c r="F121" s="197">
        <f>'Margins summary'!$S$14</f>
        <v>175.95</v>
      </c>
      <c r="G121" s="197">
        <f t="shared" si="277"/>
        <v>1078.83</v>
      </c>
      <c r="H121" s="197"/>
      <c r="I121" s="918">
        <f>'Energy NPV'!U47</f>
        <v>393.31078400000001</v>
      </c>
      <c r="J121" s="197"/>
      <c r="K121" s="197">
        <f t="shared" si="278"/>
        <v>393.31078400000001</v>
      </c>
      <c r="L121" s="197">
        <f t="shared" si="267"/>
        <v>509.56921599999987</v>
      </c>
      <c r="M121" s="197">
        <f t="shared" si="268"/>
        <v>685.51921599999991</v>
      </c>
      <c r="N121" s="196">
        <f t="shared" si="279"/>
        <v>659.72557229219103</v>
      </c>
      <c r="O121" s="197">
        <f t="shared" si="280"/>
        <v>128.56494157009902</v>
      </c>
      <c r="P121" s="197">
        <f t="shared" si="281"/>
        <v>287.38833739045094</v>
      </c>
      <c r="Q121" s="197">
        <f t="shared" si="282"/>
        <v>372.33723490174003</v>
      </c>
      <c r="R121" s="199">
        <f t="shared" si="283"/>
        <v>500.90217647183914</v>
      </c>
      <c r="S121" s="196">
        <f t="shared" si="334"/>
        <v>5429.7796276064573</v>
      </c>
      <c r="T121" s="197">
        <f t="shared" si="284"/>
        <v>1360.5764607475226</v>
      </c>
      <c r="U121" s="197">
        <f t="shared" si="285"/>
        <v>5086.4826592978952</v>
      </c>
      <c r="V121" s="197">
        <f t="shared" si="286"/>
        <v>343.29696830856216</v>
      </c>
      <c r="W121" s="199">
        <f t="shared" si="287"/>
        <v>1703.8734290560851</v>
      </c>
      <c r="X121" s="197"/>
      <c r="Z121" s="204">
        <f t="shared" si="335"/>
        <v>9</v>
      </c>
      <c r="AA121" s="760">
        <f>'Energy NPV'!$D47</f>
        <v>12.54</v>
      </c>
      <c r="AB121" s="197">
        <f>'Energy margins'!$L$12</f>
        <v>72</v>
      </c>
      <c r="AC121" s="197">
        <f t="shared" si="336"/>
        <v>902.87999999999988</v>
      </c>
      <c r="AD121" s="197">
        <f>'Margins summary'!$S$14</f>
        <v>175.95</v>
      </c>
      <c r="AE121" s="197">
        <f t="shared" si="288"/>
        <v>1078.83</v>
      </c>
      <c r="AF121" s="197"/>
      <c r="AG121" s="918">
        <f>'Energy NPV'!U47</f>
        <v>393.31078400000001</v>
      </c>
      <c r="AH121" s="197"/>
      <c r="AI121" s="197">
        <f t="shared" si="289"/>
        <v>589.96617600000002</v>
      </c>
      <c r="AJ121" s="197">
        <f t="shared" si="269"/>
        <v>312.91382399999986</v>
      </c>
      <c r="AK121" s="197">
        <f t="shared" si="270"/>
        <v>488.86382399999991</v>
      </c>
      <c r="AL121" s="196">
        <f t="shared" si="290"/>
        <v>659.72557229219103</v>
      </c>
      <c r="AM121" s="197">
        <f t="shared" si="291"/>
        <v>128.56494157009902</v>
      </c>
      <c r="AN121" s="197">
        <f t="shared" si="292"/>
        <v>431.08250608567647</v>
      </c>
      <c r="AO121" s="197">
        <f t="shared" si="293"/>
        <v>228.64306620651456</v>
      </c>
      <c r="AP121" s="199">
        <f t="shared" si="294"/>
        <v>357.20800777661367</v>
      </c>
      <c r="AQ121" s="196">
        <f t="shared" si="337"/>
        <v>5429.7796276064573</v>
      </c>
      <c r="AR121" s="197">
        <f t="shared" si="295"/>
        <v>1360.5764607475226</v>
      </c>
      <c r="AS121" s="197">
        <f t="shared" si="296"/>
        <v>7629.723988946841</v>
      </c>
      <c r="AT121" s="197">
        <f t="shared" si="297"/>
        <v>-2199.9443613403851</v>
      </c>
      <c r="AU121" s="199">
        <f t="shared" si="298"/>
        <v>-839.36790059286159</v>
      </c>
      <c r="AV121" s="197"/>
      <c r="AX121" s="204">
        <f t="shared" si="338"/>
        <v>9</v>
      </c>
      <c r="AY121" s="760">
        <f>'Energy NPV'!$D47</f>
        <v>12.54</v>
      </c>
      <c r="AZ121" s="197">
        <f>'Energy margins'!$L$12</f>
        <v>72</v>
      </c>
      <c r="BA121" s="197">
        <f t="shared" si="339"/>
        <v>902.87999999999988</v>
      </c>
      <c r="BB121" s="197">
        <f>'Margins summary'!$S$14</f>
        <v>175.95</v>
      </c>
      <c r="BC121" s="197">
        <f t="shared" si="299"/>
        <v>1078.83</v>
      </c>
      <c r="BD121" s="197"/>
      <c r="BE121" s="918">
        <f>'Energy NPV'!U47</f>
        <v>393.31078400000001</v>
      </c>
      <c r="BF121" s="197"/>
      <c r="BG121" s="197">
        <f t="shared" si="300"/>
        <v>196.65539200000001</v>
      </c>
      <c r="BH121" s="197">
        <f t="shared" si="271"/>
        <v>706.22460799999988</v>
      </c>
      <c r="BI121" s="197">
        <f t="shared" si="272"/>
        <v>882.17460799999992</v>
      </c>
      <c r="BJ121" s="196">
        <f t="shared" si="301"/>
        <v>659.72557229219103</v>
      </c>
      <c r="BK121" s="197">
        <f t="shared" si="302"/>
        <v>128.56494157009902</v>
      </c>
      <c r="BL121" s="197">
        <f t="shared" si="303"/>
        <v>143.69416869522547</v>
      </c>
      <c r="BM121" s="197">
        <f t="shared" si="304"/>
        <v>516.03140359696556</v>
      </c>
      <c r="BN121" s="199">
        <f t="shared" si="305"/>
        <v>644.59634516706467</v>
      </c>
      <c r="BO121" s="196">
        <f t="shared" si="340"/>
        <v>5429.7796276064573</v>
      </c>
      <c r="BP121" s="197">
        <f t="shared" si="306"/>
        <v>1360.5764607475226</v>
      </c>
      <c r="BQ121" s="197">
        <f t="shared" si="307"/>
        <v>2543.2413296489476</v>
      </c>
      <c r="BR121" s="197">
        <f t="shared" si="308"/>
        <v>2886.5382979575097</v>
      </c>
      <c r="BS121" s="199">
        <f t="shared" si="309"/>
        <v>4247.1147587050327</v>
      </c>
      <c r="BT121" s="197"/>
      <c r="BV121" s="204">
        <f t="shared" si="341"/>
        <v>9</v>
      </c>
      <c r="BW121" s="760">
        <f>'Energy NPV'!$D47</f>
        <v>12.54</v>
      </c>
      <c r="BX121" s="197">
        <f>'Energy margins'!$L$12</f>
        <v>72</v>
      </c>
      <c r="BY121" s="197">
        <f t="shared" si="342"/>
        <v>902.87999999999988</v>
      </c>
      <c r="BZ121" s="197">
        <f>'Margins summary'!$S$14</f>
        <v>175.95</v>
      </c>
      <c r="CA121" s="197">
        <f t="shared" si="310"/>
        <v>1078.83</v>
      </c>
      <c r="CB121" s="197"/>
      <c r="CC121" s="918">
        <f>'Energy NPV'!U47</f>
        <v>393.31078400000001</v>
      </c>
      <c r="CD121" s="197"/>
      <c r="CE121" s="197">
        <f t="shared" si="311"/>
        <v>786.62156800000002</v>
      </c>
      <c r="CF121" s="197">
        <f t="shared" si="273"/>
        <v>116.25843199999986</v>
      </c>
      <c r="CG121" s="197">
        <f t="shared" si="274"/>
        <v>292.2084319999999</v>
      </c>
      <c r="CH121" s="196">
        <f t="shared" si="312"/>
        <v>659.72557229219103</v>
      </c>
      <c r="CI121" s="197">
        <f t="shared" si="313"/>
        <v>128.56494157009902</v>
      </c>
      <c r="CJ121" s="197">
        <f t="shared" si="314"/>
        <v>574.77667478090189</v>
      </c>
      <c r="CK121" s="197">
        <f t="shared" si="315"/>
        <v>84.94889751128909</v>
      </c>
      <c r="CL121" s="199">
        <f t="shared" si="316"/>
        <v>213.51383908138817</v>
      </c>
      <c r="CM121" s="196">
        <f t="shared" si="343"/>
        <v>5429.7796276064573</v>
      </c>
      <c r="CN121" s="197">
        <f t="shared" si="317"/>
        <v>1360.5764607475226</v>
      </c>
      <c r="CO121" s="197">
        <f t="shared" si="318"/>
        <v>10172.96531859579</v>
      </c>
      <c r="CP121" s="197">
        <f t="shared" si="319"/>
        <v>-4743.1856909893313</v>
      </c>
      <c r="CQ121" s="199">
        <f t="shared" si="320"/>
        <v>-3382.6092302418092</v>
      </c>
      <c r="CR121" s="197"/>
      <c r="CT121" s="204">
        <f t="shared" si="344"/>
        <v>9</v>
      </c>
      <c r="CU121" s="760">
        <f>'Energy NPV'!$D47</f>
        <v>12.54</v>
      </c>
      <c r="CV121" s="197">
        <f>'Energy margins'!$L$12</f>
        <v>72</v>
      </c>
      <c r="CW121" s="197">
        <f t="shared" si="345"/>
        <v>902.87999999999988</v>
      </c>
      <c r="CX121" s="197">
        <f>'Margins summary'!$S$14</f>
        <v>175.95</v>
      </c>
      <c r="CY121" s="197">
        <f t="shared" si="321"/>
        <v>1078.83</v>
      </c>
      <c r="CZ121" s="197"/>
      <c r="DA121" s="918">
        <f>'Energy NPV'!U47</f>
        <v>393.31078400000001</v>
      </c>
      <c r="DB121" s="197"/>
      <c r="DC121" s="197">
        <f t="shared" si="322"/>
        <v>0</v>
      </c>
      <c r="DD121" s="197">
        <f t="shared" si="275"/>
        <v>902.87999999999988</v>
      </c>
      <c r="DE121" s="197">
        <f t="shared" si="276"/>
        <v>1078.83</v>
      </c>
      <c r="DF121" s="196">
        <f t="shared" si="323"/>
        <v>659.72557229219103</v>
      </c>
      <c r="DG121" s="197">
        <f t="shared" si="324"/>
        <v>128.56494157009902</v>
      </c>
      <c r="DH121" s="197">
        <f t="shared" si="325"/>
        <v>0</v>
      </c>
      <c r="DI121" s="197">
        <f t="shared" si="326"/>
        <v>659.72557229219103</v>
      </c>
      <c r="DJ121" s="199">
        <f t="shared" si="327"/>
        <v>788.29051386229014</v>
      </c>
      <c r="DK121" s="196">
        <f t="shared" si="346"/>
        <v>5429.7796276064573</v>
      </c>
      <c r="DL121" s="197">
        <f t="shared" si="328"/>
        <v>1360.5764607475226</v>
      </c>
      <c r="DM121" s="197">
        <f t="shared" si="329"/>
        <v>0</v>
      </c>
      <c r="DN121" s="197">
        <f t="shared" si="330"/>
        <v>5429.7796276064573</v>
      </c>
      <c r="DO121" s="199">
        <f t="shared" si="331"/>
        <v>6790.3560883539794</v>
      </c>
    </row>
    <row r="122" spans="2:119" x14ac:dyDescent="0.3">
      <c r="B122" s="204">
        <f t="shared" si="332"/>
        <v>10</v>
      </c>
      <c r="C122" s="760">
        <f>'Energy NPV'!$D48</f>
        <v>12.54</v>
      </c>
      <c r="D122" s="197">
        <f>'Energy margins'!$L$12</f>
        <v>72</v>
      </c>
      <c r="E122" s="197">
        <f t="shared" si="333"/>
        <v>902.87999999999988</v>
      </c>
      <c r="F122" s="197">
        <f>'Margins summary'!$S$14</f>
        <v>175.95</v>
      </c>
      <c r="G122" s="197">
        <f t="shared" si="277"/>
        <v>1078.83</v>
      </c>
      <c r="H122" s="197"/>
      <c r="I122" s="918">
        <f>'Energy NPV'!U48</f>
        <v>393.31078400000001</v>
      </c>
      <c r="J122" s="197"/>
      <c r="K122" s="197">
        <f t="shared" si="278"/>
        <v>393.31078400000001</v>
      </c>
      <c r="L122" s="197">
        <f t="shared" si="267"/>
        <v>509.56921599999987</v>
      </c>
      <c r="M122" s="197">
        <f t="shared" si="268"/>
        <v>685.51921599999991</v>
      </c>
      <c r="N122" s="196">
        <f t="shared" si="279"/>
        <v>634.35151181941444</v>
      </c>
      <c r="O122" s="197">
        <f t="shared" si="280"/>
        <v>123.62013612509521</v>
      </c>
      <c r="P122" s="197">
        <f t="shared" si="281"/>
        <v>276.3349397985105</v>
      </c>
      <c r="Q122" s="197">
        <f t="shared" si="282"/>
        <v>358.01657202090388</v>
      </c>
      <c r="R122" s="199">
        <f t="shared" si="283"/>
        <v>481.63670814599914</v>
      </c>
      <c r="S122" s="196">
        <f t="shared" si="334"/>
        <v>6064.1311394258719</v>
      </c>
      <c r="T122" s="197">
        <f t="shared" si="284"/>
        <v>1484.1965968726179</v>
      </c>
      <c r="U122" s="197">
        <f t="shared" si="285"/>
        <v>5362.8175990964055</v>
      </c>
      <c r="V122" s="197">
        <f t="shared" si="286"/>
        <v>701.31354032946604</v>
      </c>
      <c r="W122" s="199">
        <f t="shared" si="287"/>
        <v>2185.5101372020845</v>
      </c>
      <c r="X122" s="197"/>
      <c r="Z122" s="204">
        <f t="shared" si="335"/>
        <v>10</v>
      </c>
      <c r="AA122" s="760">
        <f>'Energy NPV'!$D48</f>
        <v>12.54</v>
      </c>
      <c r="AB122" s="197">
        <f>'Energy margins'!$L$12</f>
        <v>72</v>
      </c>
      <c r="AC122" s="197">
        <f t="shared" si="336"/>
        <v>902.87999999999988</v>
      </c>
      <c r="AD122" s="197">
        <f>'Margins summary'!$S$14</f>
        <v>175.95</v>
      </c>
      <c r="AE122" s="197">
        <f t="shared" si="288"/>
        <v>1078.83</v>
      </c>
      <c r="AF122" s="197"/>
      <c r="AG122" s="918">
        <f>'Energy NPV'!U48</f>
        <v>393.31078400000001</v>
      </c>
      <c r="AH122" s="197"/>
      <c r="AI122" s="197">
        <f t="shared" si="289"/>
        <v>589.96617600000002</v>
      </c>
      <c r="AJ122" s="197">
        <f t="shared" si="269"/>
        <v>312.91382399999986</v>
      </c>
      <c r="AK122" s="197">
        <f t="shared" si="270"/>
        <v>488.86382399999991</v>
      </c>
      <c r="AL122" s="196">
        <f t="shared" si="290"/>
        <v>634.35151181941444</v>
      </c>
      <c r="AM122" s="197">
        <f t="shared" si="291"/>
        <v>123.62013612509521</v>
      </c>
      <c r="AN122" s="197">
        <f t="shared" si="292"/>
        <v>414.50240969776581</v>
      </c>
      <c r="AO122" s="197">
        <f t="shared" si="293"/>
        <v>219.8491021216486</v>
      </c>
      <c r="AP122" s="199">
        <f t="shared" si="294"/>
        <v>343.46923824674388</v>
      </c>
      <c r="AQ122" s="196">
        <f t="shared" si="337"/>
        <v>6064.1311394258719</v>
      </c>
      <c r="AR122" s="197">
        <f t="shared" si="295"/>
        <v>1484.1965968726179</v>
      </c>
      <c r="AS122" s="197">
        <f t="shared" si="296"/>
        <v>8044.2263986446069</v>
      </c>
      <c r="AT122" s="197">
        <f t="shared" si="297"/>
        <v>-1980.0952592187364</v>
      </c>
      <c r="AU122" s="199">
        <f t="shared" si="298"/>
        <v>-495.8986623461177</v>
      </c>
      <c r="AV122" s="197"/>
      <c r="AX122" s="204">
        <f t="shared" si="338"/>
        <v>10</v>
      </c>
      <c r="AY122" s="760">
        <f>'Energy NPV'!$D48</f>
        <v>12.54</v>
      </c>
      <c r="AZ122" s="197">
        <f>'Energy margins'!$L$12</f>
        <v>72</v>
      </c>
      <c r="BA122" s="197">
        <f t="shared" si="339"/>
        <v>902.87999999999988</v>
      </c>
      <c r="BB122" s="197">
        <f>'Margins summary'!$S$14</f>
        <v>175.95</v>
      </c>
      <c r="BC122" s="197">
        <f t="shared" si="299"/>
        <v>1078.83</v>
      </c>
      <c r="BD122" s="197"/>
      <c r="BE122" s="918">
        <f>'Energy NPV'!U48</f>
        <v>393.31078400000001</v>
      </c>
      <c r="BF122" s="197"/>
      <c r="BG122" s="197">
        <f t="shared" si="300"/>
        <v>196.65539200000001</v>
      </c>
      <c r="BH122" s="197">
        <f t="shared" si="271"/>
        <v>706.22460799999988</v>
      </c>
      <c r="BI122" s="197">
        <f t="shared" si="272"/>
        <v>882.17460799999992</v>
      </c>
      <c r="BJ122" s="196">
        <f t="shared" si="301"/>
        <v>634.35151181941444</v>
      </c>
      <c r="BK122" s="197">
        <f t="shared" si="302"/>
        <v>123.62013612509521</v>
      </c>
      <c r="BL122" s="197">
        <f t="shared" si="303"/>
        <v>138.16746989925525</v>
      </c>
      <c r="BM122" s="197">
        <f t="shared" si="304"/>
        <v>496.18404192015913</v>
      </c>
      <c r="BN122" s="199">
        <f t="shared" si="305"/>
        <v>619.80417804525439</v>
      </c>
      <c r="BO122" s="196">
        <f t="shared" si="340"/>
        <v>6064.1311394258719</v>
      </c>
      <c r="BP122" s="197">
        <f t="shared" si="306"/>
        <v>1484.1965968726179</v>
      </c>
      <c r="BQ122" s="197">
        <f t="shared" si="307"/>
        <v>2681.4087995482028</v>
      </c>
      <c r="BR122" s="197">
        <f t="shared" si="308"/>
        <v>3382.7223398776687</v>
      </c>
      <c r="BS122" s="199">
        <f t="shared" si="309"/>
        <v>4866.9189367502868</v>
      </c>
      <c r="BT122" s="197"/>
      <c r="BV122" s="204">
        <f t="shared" si="341"/>
        <v>10</v>
      </c>
      <c r="BW122" s="760">
        <f>'Energy NPV'!$D48</f>
        <v>12.54</v>
      </c>
      <c r="BX122" s="197">
        <f>'Energy margins'!$L$12</f>
        <v>72</v>
      </c>
      <c r="BY122" s="197">
        <f t="shared" si="342"/>
        <v>902.87999999999988</v>
      </c>
      <c r="BZ122" s="197">
        <f>'Margins summary'!$S$14</f>
        <v>175.95</v>
      </c>
      <c r="CA122" s="197">
        <f t="shared" si="310"/>
        <v>1078.83</v>
      </c>
      <c r="CB122" s="197"/>
      <c r="CC122" s="918">
        <f>'Energy NPV'!U48</f>
        <v>393.31078400000001</v>
      </c>
      <c r="CD122" s="197"/>
      <c r="CE122" s="197">
        <f t="shared" si="311"/>
        <v>786.62156800000002</v>
      </c>
      <c r="CF122" s="197">
        <f t="shared" si="273"/>
        <v>116.25843199999986</v>
      </c>
      <c r="CG122" s="197">
        <f t="shared" si="274"/>
        <v>292.2084319999999</v>
      </c>
      <c r="CH122" s="196">
        <f t="shared" si="312"/>
        <v>634.35151181941444</v>
      </c>
      <c r="CI122" s="197">
        <f t="shared" si="313"/>
        <v>123.62013612509521</v>
      </c>
      <c r="CJ122" s="197">
        <f t="shared" si="314"/>
        <v>552.66987959702101</v>
      </c>
      <c r="CK122" s="197">
        <f t="shared" si="315"/>
        <v>81.681632222393347</v>
      </c>
      <c r="CL122" s="199">
        <f t="shared" si="316"/>
        <v>205.3017683474886</v>
      </c>
      <c r="CM122" s="196">
        <f t="shared" si="343"/>
        <v>6064.1311394258719</v>
      </c>
      <c r="CN122" s="197">
        <f t="shared" si="317"/>
        <v>1484.1965968726179</v>
      </c>
      <c r="CO122" s="197">
        <f t="shared" si="318"/>
        <v>10725.635198192811</v>
      </c>
      <c r="CP122" s="197">
        <f t="shared" si="319"/>
        <v>-4661.5040587669382</v>
      </c>
      <c r="CQ122" s="199">
        <f t="shared" si="320"/>
        <v>-3177.3074618943206</v>
      </c>
      <c r="CR122" s="197"/>
      <c r="CT122" s="204">
        <f t="shared" si="344"/>
        <v>10</v>
      </c>
      <c r="CU122" s="760">
        <f>'Energy NPV'!$D48</f>
        <v>12.54</v>
      </c>
      <c r="CV122" s="197">
        <f>'Energy margins'!$L$12</f>
        <v>72</v>
      </c>
      <c r="CW122" s="197">
        <f t="shared" si="345"/>
        <v>902.87999999999988</v>
      </c>
      <c r="CX122" s="197">
        <f>'Margins summary'!$S$14</f>
        <v>175.95</v>
      </c>
      <c r="CY122" s="197">
        <f t="shared" si="321"/>
        <v>1078.83</v>
      </c>
      <c r="CZ122" s="197"/>
      <c r="DA122" s="918">
        <f>'Energy NPV'!U48</f>
        <v>393.31078400000001</v>
      </c>
      <c r="DB122" s="197"/>
      <c r="DC122" s="197">
        <f t="shared" si="322"/>
        <v>0</v>
      </c>
      <c r="DD122" s="197">
        <f t="shared" si="275"/>
        <v>902.87999999999988</v>
      </c>
      <c r="DE122" s="197">
        <f t="shared" si="276"/>
        <v>1078.83</v>
      </c>
      <c r="DF122" s="196">
        <f t="shared" si="323"/>
        <v>634.35151181941444</v>
      </c>
      <c r="DG122" s="197">
        <f t="shared" si="324"/>
        <v>123.62013612509521</v>
      </c>
      <c r="DH122" s="197">
        <f t="shared" si="325"/>
        <v>0</v>
      </c>
      <c r="DI122" s="197">
        <f t="shared" si="326"/>
        <v>634.35151181941444</v>
      </c>
      <c r="DJ122" s="199">
        <f t="shared" si="327"/>
        <v>757.97164794450964</v>
      </c>
      <c r="DK122" s="196">
        <f t="shared" si="346"/>
        <v>6064.1311394258719</v>
      </c>
      <c r="DL122" s="197">
        <f t="shared" si="328"/>
        <v>1484.1965968726179</v>
      </c>
      <c r="DM122" s="197">
        <f t="shared" si="329"/>
        <v>0</v>
      </c>
      <c r="DN122" s="197">
        <f t="shared" si="330"/>
        <v>6064.1311394258719</v>
      </c>
      <c r="DO122" s="199">
        <f t="shared" si="331"/>
        <v>7548.3277362984891</v>
      </c>
    </row>
    <row r="123" spans="2:119" x14ac:dyDescent="0.3">
      <c r="B123" s="204">
        <f t="shared" si="332"/>
        <v>11</v>
      </c>
      <c r="C123" s="760">
        <f>'Energy NPV'!$D49</f>
        <v>12.54</v>
      </c>
      <c r="D123" s="197">
        <f>'Energy margins'!$L$12</f>
        <v>72</v>
      </c>
      <c r="E123" s="197">
        <f t="shared" si="333"/>
        <v>902.87999999999988</v>
      </c>
      <c r="F123" s="197">
        <f>'Margins summary'!$S$14</f>
        <v>175.95</v>
      </c>
      <c r="G123" s="197">
        <f t="shared" si="277"/>
        <v>1078.83</v>
      </c>
      <c r="H123" s="197"/>
      <c r="I123" s="918">
        <f>'Energy NPV'!U49</f>
        <v>393.31078400000001</v>
      </c>
      <c r="J123" s="197"/>
      <c r="K123" s="197">
        <f t="shared" si="278"/>
        <v>393.31078400000001</v>
      </c>
      <c r="L123" s="197">
        <f t="shared" si="267"/>
        <v>509.56921599999987</v>
      </c>
      <c r="M123" s="197">
        <f t="shared" si="268"/>
        <v>685.51921599999991</v>
      </c>
      <c r="N123" s="196">
        <f t="shared" si="279"/>
        <v>609.95337674943687</v>
      </c>
      <c r="O123" s="197">
        <f t="shared" si="280"/>
        <v>118.86551550489925</v>
      </c>
      <c r="P123" s="197">
        <f t="shared" si="281"/>
        <v>265.70667288318322</v>
      </c>
      <c r="Q123" s="197">
        <f t="shared" si="282"/>
        <v>344.24670386625371</v>
      </c>
      <c r="R123" s="199">
        <f t="shared" si="283"/>
        <v>463.112219371153</v>
      </c>
      <c r="S123" s="196">
        <f t="shared" si="334"/>
        <v>6674.0845161753086</v>
      </c>
      <c r="T123" s="197">
        <f t="shared" si="284"/>
        <v>1603.0621123775172</v>
      </c>
      <c r="U123" s="197">
        <f t="shared" si="285"/>
        <v>5628.5242719795888</v>
      </c>
      <c r="V123" s="197">
        <f t="shared" si="286"/>
        <v>1045.5602441957199</v>
      </c>
      <c r="W123" s="199">
        <f t="shared" si="287"/>
        <v>2648.6223565732375</v>
      </c>
      <c r="X123" s="197"/>
      <c r="Z123" s="204">
        <f t="shared" si="335"/>
        <v>11</v>
      </c>
      <c r="AA123" s="760">
        <f>'Energy NPV'!$D49</f>
        <v>12.54</v>
      </c>
      <c r="AB123" s="197">
        <f>'Energy margins'!$L$12</f>
        <v>72</v>
      </c>
      <c r="AC123" s="197">
        <f t="shared" si="336"/>
        <v>902.87999999999988</v>
      </c>
      <c r="AD123" s="197">
        <f>'Margins summary'!$S$14</f>
        <v>175.95</v>
      </c>
      <c r="AE123" s="197">
        <f t="shared" si="288"/>
        <v>1078.83</v>
      </c>
      <c r="AF123" s="197"/>
      <c r="AG123" s="918">
        <f>'Energy NPV'!U49</f>
        <v>393.31078400000001</v>
      </c>
      <c r="AH123" s="197"/>
      <c r="AI123" s="197">
        <f t="shared" si="289"/>
        <v>589.96617600000002</v>
      </c>
      <c r="AJ123" s="197">
        <f t="shared" si="269"/>
        <v>312.91382399999986</v>
      </c>
      <c r="AK123" s="197">
        <f t="shared" si="270"/>
        <v>488.86382399999991</v>
      </c>
      <c r="AL123" s="196">
        <f t="shared" si="290"/>
        <v>609.95337674943687</v>
      </c>
      <c r="AM123" s="197">
        <f t="shared" si="291"/>
        <v>118.86551550489925</v>
      </c>
      <c r="AN123" s="197">
        <f t="shared" si="292"/>
        <v>398.5600093247748</v>
      </c>
      <c r="AO123" s="197">
        <f t="shared" si="293"/>
        <v>211.39336742466213</v>
      </c>
      <c r="AP123" s="199">
        <f t="shared" si="294"/>
        <v>330.25888292956142</v>
      </c>
      <c r="AQ123" s="196">
        <f t="shared" si="337"/>
        <v>6674.0845161753086</v>
      </c>
      <c r="AR123" s="197">
        <f t="shared" si="295"/>
        <v>1603.0621123775172</v>
      </c>
      <c r="AS123" s="197">
        <f t="shared" si="296"/>
        <v>8442.7864079693809</v>
      </c>
      <c r="AT123" s="197">
        <f t="shared" si="297"/>
        <v>-1768.7018917940743</v>
      </c>
      <c r="AU123" s="199">
        <f t="shared" si="298"/>
        <v>-165.63977941655628</v>
      </c>
      <c r="AV123" s="197"/>
      <c r="AX123" s="204">
        <f t="shared" si="338"/>
        <v>11</v>
      </c>
      <c r="AY123" s="760">
        <f>'Energy NPV'!$D49</f>
        <v>12.54</v>
      </c>
      <c r="AZ123" s="197">
        <f>'Energy margins'!$L$12</f>
        <v>72</v>
      </c>
      <c r="BA123" s="197">
        <f t="shared" si="339"/>
        <v>902.87999999999988</v>
      </c>
      <c r="BB123" s="197">
        <f>'Margins summary'!$S$14</f>
        <v>175.95</v>
      </c>
      <c r="BC123" s="197">
        <f t="shared" si="299"/>
        <v>1078.83</v>
      </c>
      <c r="BD123" s="197"/>
      <c r="BE123" s="918">
        <f>'Energy NPV'!U49</f>
        <v>393.31078400000001</v>
      </c>
      <c r="BF123" s="197"/>
      <c r="BG123" s="197">
        <f t="shared" si="300"/>
        <v>196.65539200000001</v>
      </c>
      <c r="BH123" s="197">
        <f t="shared" si="271"/>
        <v>706.22460799999988</v>
      </c>
      <c r="BI123" s="197">
        <f t="shared" si="272"/>
        <v>882.17460799999992</v>
      </c>
      <c r="BJ123" s="196">
        <f t="shared" si="301"/>
        <v>609.95337674943687</v>
      </c>
      <c r="BK123" s="197">
        <f t="shared" si="302"/>
        <v>118.86551550489925</v>
      </c>
      <c r="BL123" s="197">
        <f t="shared" si="303"/>
        <v>132.85333644159161</v>
      </c>
      <c r="BM123" s="197">
        <f t="shared" si="304"/>
        <v>477.10004030784535</v>
      </c>
      <c r="BN123" s="199">
        <f t="shared" si="305"/>
        <v>595.96555581274458</v>
      </c>
      <c r="BO123" s="196">
        <f t="shared" si="340"/>
        <v>6674.0845161753086</v>
      </c>
      <c r="BP123" s="197">
        <f t="shared" si="306"/>
        <v>1603.0621123775172</v>
      </c>
      <c r="BQ123" s="197">
        <f t="shared" si="307"/>
        <v>2814.2621359897944</v>
      </c>
      <c r="BR123" s="197">
        <f t="shared" si="308"/>
        <v>3859.8223801855138</v>
      </c>
      <c r="BS123" s="199">
        <f t="shared" si="309"/>
        <v>5462.884492563031</v>
      </c>
      <c r="BT123" s="197"/>
      <c r="BV123" s="204">
        <f t="shared" si="341"/>
        <v>11</v>
      </c>
      <c r="BW123" s="760">
        <f>'Energy NPV'!$D49</f>
        <v>12.54</v>
      </c>
      <c r="BX123" s="197">
        <f>'Energy margins'!$L$12</f>
        <v>72</v>
      </c>
      <c r="BY123" s="197">
        <f t="shared" si="342"/>
        <v>902.87999999999988</v>
      </c>
      <c r="BZ123" s="197">
        <f>'Margins summary'!$S$14</f>
        <v>175.95</v>
      </c>
      <c r="CA123" s="197">
        <f t="shared" si="310"/>
        <v>1078.83</v>
      </c>
      <c r="CB123" s="197"/>
      <c r="CC123" s="918">
        <f>'Energy NPV'!U49</f>
        <v>393.31078400000001</v>
      </c>
      <c r="CD123" s="197"/>
      <c r="CE123" s="197">
        <f t="shared" si="311"/>
        <v>786.62156800000002</v>
      </c>
      <c r="CF123" s="197">
        <f t="shared" si="273"/>
        <v>116.25843199999986</v>
      </c>
      <c r="CG123" s="197">
        <f t="shared" si="274"/>
        <v>292.2084319999999</v>
      </c>
      <c r="CH123" s="196">
        <f t="shared" si="312"/>
        <v>609.95337674943687</v>
      </c>
      <c r="CI123" s="197">
        <f t="shared" si="313"/>
        <v>118.86551550489925</v>
      </c>
      <c r="CJ123" s="197">
        <f t="shared" si="314"/>
        <v>531.41334576636643</v>
      </c>
      <c r="CK123" s="197">
        <f t="shared" si="315"/>
        <v>78.540030983070523</v>
      </c>
      <c r="CL123" s="199">
        <f t="shared" si="316"/>
        <v>197.40554648796981</v>
      </c>
      <c r="CM123" s="196">
        <f t="shared" si="343"/>
        <v>6674.0845161753086</v>
      </c>
      <c r="CN123" s="197">
        <f t="shared" si="317"/>
        <v>1603.0621123775172</v>
      </c>
      <c r="CO123" s="197">
        <f t="shared" si="318"/>
        <v>11257.048543959178</v>
      </c>
      <c r="CP123" s="197">
        <f t="shared" si="319"/>
        <v>-4582.964027783868</v>
      </c>
      <c r="CQ123" s="199">
        <f t="shared" si="320"/>
        <v>-2979.9019154063508</v>
      </c>
      <c r="CR123" s="197"/>
      <c r="CT123" s="204">
        <f t="shared" si="344"/>
        <v>11</v>
      </c>
      <c r="CU123" s="760">
        <f>'Energy NPV'!$D49</f>
        <v>12.54</v>
      </c>
      <c r="CV123" s="197">
        <f>'Energy margins'!$L$12</f>
        <v>72</v>
      </c>
      <c r="CW123" s="197">
        <f t="shared" si="345"/>
        <v>902.87999999999988</v>
      </c>
      <c r="CX123" s="197">
        <f>'Margins summary'!$S$14</f>
        <v>175.95</v>
      </c>
      <c r="CY123" s="197">
        <f t="shared" si="321"/>
        <v>1078.83</v>
      </c>
      <c r="CZ123" s="197"/>
      <c r="DA123" s="918">
        <f>'Energy NPV'!U49</f>
        <v>393.31078400000001</v>
      </c>
      <c r="DB123" s="197"/>
      <c r="DC123" s="197">
        <f t="shared" si="322"/>
        <v>0</v>
      </c>
      <c r="DD123" s="197">
        <f t="shared" si="275"/>
        <v>902.87999999999988</v>
      </c>
      <c r="DE123" s="197">
        <f t="shared" si="276"/>
        <v>1078.83</v>
      </c>
      <c r="DF123" s="196">
        <f t="shared" si="323"/>
        <v>609.95337674943687</v>
      </c>
      <c r="DG123" s="197">
        <f t="shared" si="324"/>
        <v>118.86551550489925</v>
      </c>
      <c r="DH123" s="197">
        <f t="shared" si="325"/>
        <v>0</v>
      </c>
      <c r="DI123" s="197">
        <f t="shared" si="326"/>
        <v>609.95337674943687</v>
      </c>
      <c r="DJ123" s="199">
        <f t="shared" si="327"/>
        <v>728.81889225433622</v>
      </c>
      <c r="DK123" s="196">
        <f t="shared" si="346"/>
        <v>6674.0845161753086</v>
      </c>
      <c r="DL123" s="197">
        <f t="shared" si="328"/>
        <v>1603.0621123775172</v>
      </c>
      <c r="DM123" s="197">
        <f t="shared" si="329"/>
        <v>0</v>
      </c>
      <c r="DN123" s="197">
        <f t="shared" si="330"/>
        <v>6674.0845161753086</v>
      </c>
      <c r="DO123" s="199">
        <f t="shared" si="331"/>
        <v>8277.1466285528259</v>
      </c>
    </row>
    <row r="124" spans="2:119" x14ac:dyDescent="0.3">
      <c r="B124" s="204">
        <f t="shared" si="332"/>
        <v>12</v>
      </c>
      <c r="C124" s="760">
        <f>'Energy NPV'!$D50</f>
        <v>12.54</v>
      </c>
      <c r="D124" s="197">
        <f>'Energy margins'!$L$12</f>
        <v>72</v>
      </c>
      <c r="E124" s="197">
        <f t="shared" si="333"/>
        <v>902.87999999999988</v>
      </c>
      <c r="F124" s="197">
        <f>'Margins summary'!$S$14</f>
        <v>175.95</v>
      </c>
      <c r="G124" s="197">
        <f t="shared" si="277"/>
        <v>1078.83</v>
      </c>
      <c r="H124" s="197"/>
      <c r="I124" s="918">
        <f>'Energy NPV'!U50</f>
        <v>393.31078400000001</v>
      </c>
      <c r="J124" s="197"/>
      <c r="K124" s="197">
        <f t="shared" si="278"/>
        <v>393.31078400000001</v>
      </c>
      <c r="L124" s="197">
        <f t="shared" si="267"/>
        <v>509.56921599999987</v>
      </c>
      <c r="M124" s="197">
        <f t="shared" si="268"/>
        <v>685.51921599999991</v>
      </c>
      <c r="N124" s="196">
        <f t="shared" si="279"/>
        <v>586.49363148984321</v>
      </c>
      <c r="O124" s="197">
        <f t="shared" si="280"/>
        <v>114.29376490855698</v>
      </c>
      <c r="P124" s="197">
        <f t="shared" si="281"/>
        <v>255.48718546459924</v>
      </c>
      <c r="Q124" s="197">
        <f t="shared" si="282"/>
        <v>331.00644602524397</v>
      </c>
      <c r="R124" s="199">
        <f t="shared" si="283"/>
        <v>445.300210933801</v>
      </c>
      <c r="S124" s="196">
        <f t="shared" si="334"/>
        <v>7260.5781476651518</v>
      </c>
      <c r="T124" s="197">
        <f t="shared" si="284"/>
        <v>1717.3558772860742</v>
      </c>
      <c r="U124" s="197">
        <f t="shared" si="285"/>
        <v>5884.0114574441877</v>
      </c>
      <c r="V124" s="197">
        <f t="shared" si="286"/>
        <v>1376.5666902209639</v>
      </c>
      <c r="W124" s="199">
        <f t="shared" si="287"/>
        <v>3093.9225675070384</v>
      </c>
      <c r="X124" s="197"/>
      <c r="Z124" s="204">
        <f t="shared" si="335"/>
        <v>12</v>
      </c>
      <c r="AA124" s="760">
        <f>'Energy NPV'!$D50</f>
        <v>12.54</v>
      </c>
      <c r="AB124" s="197">
        <f>'Energy margins'!$L$12</f>
        <v>72</v>
      </c>
      <c r="AC124" s="197">
        <f t="shared" si="336"/>
        <v>902.87999999999988</v>
      </c>
      <c r="AD124" s="197">
        <f>'Margins summary'!$S$14</f>
        <v>175.95</v>
      </c>
      <c r="AE124" s="197">
        <f t="shared" si="288"/>
        <v>1078.83</v>
      </c>
      <c r="AF124" s="197"/>
      <c r="AG124" s="918">
        <f>'Energy NPV'!U50</f>
        <v>393.31078400000001</v>
      </c>
      <c r="AH124" s="197"/>
      <c r="AI124" s="197">
        <f t="shared" si="289"/>
        <v>589.96617600000002</v>
      </c>
      <c r="AJ124" s="197">
        <f t="shared" si="269"/>
        <v>312.91382399999986</v>
      </c>
      <c r="AK124" s="197">
        <f t="shared" si="270"/>
        <v>488.86382399999991</v>
      </c>
      <c r="AL124" s="196">
        <f t="shared" si="290"/>
        <v>586.49363148984321</v>
      </c>
      <c r="AM124" s="197">
        <f t="shared" si="291"/>
        <v>114.29376490855698</v>
      </c>
      <c r="AN124" s="197">
        <f t="shared" si="292"/>
        <v>383.23077819689888</v>
      </c>
      <c r="AO124" s="197">
        <f t="shared" si="293"/>
        <v>203.26285329294436</v>
      </c>
      <c r="AP124" s="199">
        <f t="shared" si="294"/>
        <v>317.55661820150135</v>
      </c>
      <c r="AQ124" s="196">
        <f t="shared" si="337"/>
        <v>7260.5781476651518</v>
      </c>
      <c r="AR124" s="197">
        <f t="shared" si="295"/>
        <v>1717.3558772860742</v>
      </c>
      <c r="AS124" s="197">
        <f t="shared" si="296"/>
        <v>8826.0171861662802</v>
      </c>
      <c r="AT124" s="197">
        <f t="shared" si="297"/>
        <v>-1565.43903850113</v>
      </c>
      <c r="AU124" s="199">
        <f t="shared" si="298"/>
        <v>151.91683878494507</v>
      </c>
      <c r="AV124" s="197"/>
      <c r="AX124" s="204">
        <f t="shared" si="338"/>
        <v>12</v>
      </c>
      <c r="AY124" s="760">
        <f>'Energy NPV'!$D50</f>
        <v>12.54</v>
      </c>
      <c r="AZ124" s="197">
        <f>'Energy margins'!$L$12</f>
        <v>72</v>
      </c>
      <c r="BA124" s="197">
        <f t="shared" si="339"/>
        <v>902.87999999999988</v>
      </c>
      <c r="BB124" s="197">
        <f>'Margins summary'!$S$14</f>
        <v>175.95</v>
      </c>
      <c r="BC124" s="197">
        <f t="shared" si="299"/>
        <v>1078.83</v>
      </c>
      <c r="BD124" s="197"/>
      <c r="BE124" s="918">
        <f>'Energy NPV'!U50</f>
        <v>393.31078400000001</v>
      </c>
      <c r="BF124" s="197"/>
      <c r="BG124" s="197">
        <f t="shared" si="300"/>
        <v>196.65539200000001</v>
      </c>
      <c r="BH124" s="197">
        <f t="shared" si="271"/>
        <v>706.22460799999988</v>
      </c>
      <c r="BI124" s="197">
        <f t="shared" si="272"/>
        <v>882.17460799999992</v>
      </c>
      <c r="BJ124" s="196">
        <f t="shared" si="301"/>
        <v>586.49363148984321</v>
      </c>
      <c r="BK124" s="197">
        <f t="shared" si="302"/>
        <v>114.29376490855698</v>
      </c>
      <c r="BL124" s="197">
        <f t="shared" si="303"/>
        <v>127.74359273229962</v>
      </c>
      <c r="BM124" s="197">
        <f t="shared" si="304"/>
        <v>458.75003875754362</v>
      </c>
      <c r="BN124" s="199">
        <f t="shared" si="305"/>
        <v>573.04380366610064</v>
      </c>
      <c r="BO124" s="196">
        <f t="shared" si="340"/>
        <v>7260.5781476651518</v>
      </c>
      <c r="BP124" s="197">
        <f t="shared" si="306"/>
        <v>1717.3558772860742</v>
      </c>
      <c r="BQ124" s="197">
        <f t="shared" si="307"/>
        <v>2942.0057287220939</v>
      </c>
      <c r="BR124" s="197">
        <f t="shared" si="308"/>
        <v>4318.5724189430575</v>
      </c>
      <c r="BS124" s="199">
        <f t="shared" si="309"/>
        <v>6035.9282962291318</v>
      </c>
      <c r="BT124" s="197"/>
      <c r="BV124" s="204">
        <f t="shared" si="341"/>
        <v>12</v>
      </c>
      <c r="BW124" s="760">
        <f>'Energy NPV'!$D50</f>
        <v>12.54</v>
      </c>
      <c r="BX124" s="197">
        <f>'Energy margins'!$L$12</f>
        <v>72</v>
      </c>
      <c r="BY124" s="197">
        <f t="shared" si="342"/>
        <v>902.87999999999988</v>
      </c>
      <c r="BZ124" s="197">
        <f>'Margins summary'!$S$14</f>
        <v>175.95</v>
      </c>
      <c r="CA124" s="197">
        <f t="shared" si="310"/>
        <v>1078.83</v>
      </c>
      <c r="CB124" s="197"/>
      <c r="CC124" s="918">
        <f>'Energy NPV'!U50</f>
        <v>393.31078400000001</v>
      </c>
      <c r="CD124" s="197"/>
      <c r="CE124" s="197">
        <f t="shared" si="311"/>
        <v>786.62156800000002</v>
      </c>
      <c r="CF124" s="197">
        <f t="shared" si="273"/>
        <v>116.25843199999986</v>
      </c>
      <c r="CG124" s="197">
        <f t="shared" si="274"/>
        <v>292.2084319999999</v>
      </c>
      <c r="CH124" s="196">
        <f t="shared" si="312"/>
        <v>586.49363148984321</v>
      </c>
      <c r="CI124" s="197">
        <f t="shared" si="313"/>
        <v>114.29376490855698</v>
      </c>
      <c r="CJ124" s="197">
        <f t="shared" si="314"/>
        <v>510.97437092919847</v>
      </c>
      <c r="CK124" s="197">
        <f t="shared" si="315"/>
        <v>75.519260560644739</v>
      </c>
      <c r="CL124" s="199">
        <f t="shared" si="316"/>
        <v>189.81302546920176</v>
      </c>
      <c r="CM124" s="196">
        <f t="shared" si="343"/>
        <v>7260.5781476651518</v>
      </c>
      <c r="CN124" s="197">
        <f t="shared" si="317"/>
        <v>1717.3558772860742</v>
      </c>
      <c r="CO124" s="197">
        <f t="shared" si="318"/>
        <v>11768.022914888375</v>
      </c>
      <c r="CP124" s="197">
        <f t="shared" si="319"/>
        <v>-4507.4447672232236</v>
      </c>
      <c r="CQ124" s="199">
        <f t="shared" si="320"/>
        <v>-2790.0888899371489</v>
      </c>
      <c r="CR124" s="197"/>
      <c r="CT124" s="204">
        <f t="shared" si="344"/>
        <v>12</v>
      </c>
      <c r="CU124" s="760">
        <f>'Energy NPV'!$D50</f>
        <v>12.54</v>
      </c>
      <c r="CV124" s="197">
        <f>'Energy margins'!$L$12</f>
        <v>72</v>
      </c>
      <c r="CW124" s="197">
        <f t="shared" si="345"/>
        <v>902.87999999999988</v>
      </c>
      <c r="CX124" s="197">
        <f>'Margins summary'!$S$14</f>
        <v>175.95</v>
      </c>
      <c r="CY124" s="197">
        <f t="shared" si="321"/>
        <v>1078.83</v>
      </c>
      <c r="CZ124" s="197"/>
      <c r="DA124" s="918">
        <f>'Energy NPV'!U50</f>
        <v>393.31078400000001</v>
      </c>
      <c r="DB124" s="197"/>
      <c r="DC124" s="197">
        <f t="shared" si="322"/>
        <v>0</v>
      </c>
      <c r="DD124" s="197">
        <f t="shared" si="275"/>
        <v>902.87999999999988</v>
      </c>
      <c r="DE124" s="197">
        <f t="shared" si="276"/>
        <v>1078.83</v>
      </c>
      <c r="DF124" s="196">
        <f t="shared" si="323"/>
        <v>586.49363148984321</v>
      </c>
      <c r="DG124" s="197">
        <f t="shared" si="324"/>
        <v>114.29376490855698</v>
      </c>
      <c r="DH124" s="197">
        <f t="shared" si="325"/>
        <v>0</v>
      </c>
      <c r="DI124" s="197">
        <f t="shared" si="326"/>
        <v>586.49363148984321</v>
      </c>
      <c r="DJ124" s="199">
        <f t="shared" si="327"/>
        <v>700.78739639840023</v>
      </c>
      <c r="DK124" s="196">
        <f t="shared" si="346"/>
        <v>7260.5781476651518</v>
      </c>
      <c r="DL124" s="197">
        <f t="shared" si="328"/>
        <v>1717.3558772860742</v>
      </c>
      <c r="DM124" s="197">
        <f t="shared" si="329"/>
        <v>0</v>
      </c>
      <c r="DN124" s="197">
        <f t="shared" si="330"/>
        <v>7260.5781476651518</v>
      </c>
      <c r="DO124" s="199">
        <f t="shared" si="331"/>
        <v>8977.9340249512261</v>
      </c>
    </row>
    <row r="125" spans="2:119" x14ac:dyDescent="0.3">
      <c r="B125" s="204">
        <f t="shared" si="332"/>
        <v>13</v>
      </c>
      <c r="C125" s="760">
        <f>'Energy NPV'!$D51</f>
        <v>12.54</v>
      </c>
      <c r="D125" s="197">
        <f>'Energy margins'!$L$12</f>
        <v>72</v>
      </c>
      <c r="E125" s="197">
        <f t="shared" si="333"/>
        <v>902.87999999999988</v>
      </c>
      <c r="F125" s="197">
        <f>'Margins summary'!$S$14</f>
        <v>175.95</v>
      </c>
      <c r="G125" s="197">
        <f t="shared" si="277"/>
        <v>1078.83</v>
      </c>
      <c r="H125" s="197"/>
      <c r="I125" s="918">
        <f>'Energy NPV'!U51</f>
        <v>393.31078400000001</v>
      </c>
      <c r="J125" s="197"/>
      <c r="K125" s="197">
        <f t="shared" si="278"/>
        <v>393.31078400000001</v>
      </c>
      <c r="L125" s="197">
        <f t="shared" si="267"/>
        <v>509.56921599999987</v>
      </c>
      <c r="M125" s="197">
        <f t="shared" si="268"/>
        <v>685.51921599999991</v>
      </c>
      <c r="N125" s="196">
        <f t="shared" si="279"/>
        <v>563.93618412484909</v>
      </c>
      <c r="O125" s="197">
        <f t="shared" si="280"/>
        <v>109.89785087361246</v>
      </c>
      <c r="P125" s="197">
        <f t="shared" si="281"/>
        <v>245.6607552544223</v>
      </c>
      <c r="Q125" s="197">
        <f t="shared" si="282"/>
        <v>318.27542887042682</v>
      </c>
      <c r="R125" s="199">
        <f t="shared" si="283"/>
        <v>428.17327974403935</v>
      </c>
      <c r="S125" s="196">
        <f t="shared" si="334"/>
        <v>7824.5143317900011</v>
      </c>
      <c r="T125" s="197">
        <f t="shared" si="284"/>
        <v>1827.2537281596867</v>
      </c>
      <c r="U125" s="197">
        <f t="shared" si="285"/>
        <v>6129.6722126986097</v>
      </c>
      <c r="V125" s="197">
        <f t="shared" si="286"/>
        <v>1694.8421190913907</v>
      </c>
      <c r="W125" s="199">
        <f t="shared" si="287"/>
        <v>3522.0958472510779</v>
      </c>
      <c r="X125" s="197"/>
      <c r="Z125" s="204">
        <f t="shared" si="335"/>
        <v>13</v>
      </c>
      <c r="AA125" s="760">
        <f>'Energy NPV'!$D51</f>
        <v>12.54</v>
      </c>
      <c r="AB125" s="197">
        <f>'Energy margins'!$L$12</f>
        <v>72</v>
      </c>
      <c r="AC125" s="197">
        <f t="shared" si="336"/>
        <v>902.87999999999988</v>
      </c>
      <c r="AD125" s="197">
        <f>'Margins summary'!$S$14</f>
        <v>175.95</v>
      </c>
      <c r="AE125" s="197">
        <f t="shared" si="288"/>
        <v>1078.83</v>
      </c>
      <c r="AF125" s="197"/>
      <c r="AG125" s="918">
        <f>'Energy NPV'!U51</f>
        <v>393.31078400000001</v>
      </c>
      <c r="AH125" s="197"/>
      <c r="AI125" s="197">
        <f t="shared" si="289"/>
        <v>589.96617600000002</v>
      </c>
      <c r="AJ125" s="197">
        <f t="shared" si="269"/>
        <v>312.91382399999986</v>
      </c>
      <c r="AK125" s="197">
        <f t="shared" si="270"/>
        <v>488.86382399999991</v>
      </c>
      <c r="AL125" s="196">
        <f t="shared" si="290"/>
        <v>563.93618412484909</v>
      </c>
      <c r="AM125" s="197">
        <f t="shared" si="291"/>
        <v>109.89785087361246</v>
      </c>
      <c r="AN125" s="197">
        <f t="shared" si="292"/>
        <v>368.49113288163346</v>
      </c>
      <c r="AO125" s="197">
        <f t="shared" si="293"/>
        <v>195.44505124321569</v>
      </c>
      <c r="AP125" s="199">
        <f t="shared" si="294"/>
        <v>305.34290211682816</v>
      </c>
      <c r="AQ125" s="196">
        <f t="shared" si="337"/>
        <v>7824.5143317900011</v>
      </c>
      <c r="AR125" s="197">
        <f t="shared" si="295"/>
        <v>1827.2537281596867</v>
      </c>
      <c r="AS125" s="197">
        <f t="shared" si="296"/>
        <v>9194.5083190479145</v>
      </c>
      <c r="AT125" s="197">
        <f t="shared" si="297"/>
        <v>-1369.9939872579143</v>
      </c>
      <c r="AU125" s="199">
        <f t="shared" si="298"/>
        <v>457.25974090177323</v>
      </c>
      <c r="AV125" s="197"/>
      <c r="AX125" s="204">
        <f t="shared" si="338"/>
        <v>13</v>
      </c>
      <c r="AY125" s="760">
        <f>'Energy NPV'!$D51</f>
        <v>12.54</v>
      </c>
      <c r="AZ125" s="197">
        <f>'Energy margins'!$L$12</f>
        <v>72</v>
      </c>
      <c r="BA125" s="197">
        <f t="shared" si="339"/>
        <v>902.87999999999988</v>
      </c>
      <c r="BB125" s="197">
        <f>'Margins summary'!$S$14</f>
        <v>175.95</v>
      </c>
      <c r="BC125" s="197">
        <f t="shared" si="299"/>
        <v>1078.83</v>
      </c>
      <c r="BD125" s="197"/>
      <c r="BE125" s="918">
        <f>'Energy NPV'!U51</f>
        <v>393.31078400000001</v>
      </c>
      <c r="BF125" s="197"/>
      <c r="BG125" s="197">
        <f t="shared" si="300"/>
        <v>196.65539200000001</v>
      </c>
      <c r="BH125" s="197">
        <f t="shared" si="271"/>
        <v>706.22460799999988</v>
      </c>
      <c r="BI125" s="197">
        <f t="shared" si="272"/>
        <v>882.17460799999992</v>
      </c>
      <c r="BJ125" s="196">
        <f t="shared" si="301"/>
        <v>563.93618412484909</v>
      </c>
      <c r="BK125" s="197">
        <f t="shared" si="302"/>
        <v>109.89785087361246</v>
      </c>
      <c r="BL125" s="197">
        <f t="shared" si="303"/>
        <v>122.83037762721115</v>
      </c>
      <c r="BM125" s="197">
        <f t="shared" si="304"/>
        <v>441.10580649763801</v>
      </c>
      <c r="BN125" s="199">
        <f t="shared" si="305"/>
        <v>551.00365737125048</v>
      </c>
      <c r="BO125" s="196">
        <f t="shared" si="340"/>
        <v>7824.5143317900011</v>
      </c>
      <c r="BP125" s="197">
        <f t="shared" si="306"/>
        <v>1827.2537281596867</v>
      </c>
      <c r="BQ125" s="197">
        <f t="shared" si="307"/>
        <v>3064.8361063493048</v>
      </c>
      <c r="BR125" s="197">
        <f t="shared" si="308"/>
        <v>4759.6782254406953</v>
      </c>
      <c r="BS125" s="199">
        <f t="shared" si="309"/>
        <v>6586.9319536003823</v>
      </c>
      <c r="BT125" s="197"/>
      <c r="BV125" s="204">
        <f t="shared" si="341"/>
        <v>13</v>
      </c>
      <c r="BW125" s="760">
        <f>'Energy NPV'!$D51</f>
        <v>12.54</v>
      </c>
      <c r="BX125" s="197">
        <f>'Energy margins'!$L$12</f>
        <v>72</v>
      </c>
      <c r="BY125" s="197">
        <f t="shared" si="342"/>
        <v>902.87999999999988</v>
      </c>
      <c r="BZ125" s="197">
        <f>'Margins summary'!$S$14</f>
        <v>175.95</v>
      </c>
      <c r="CA125" s="197">
        <f t="shared" si="310"/>
        <v>1078.83</v>
      </c>
      <c r="CB125" s="197"/>
      <c r="CC125" s="918">
        <f>'Energy NPV'!U51</f>
        <v>393.31078400000001</v>
      </c>
      <c r="CD125" s="197"/>
      <c r="CE125" s="197">
        <f t="shared" si="311"/>
        <v>786.62156800000002</v>
      </c>
      <c r="CF125" s="197">
        <f t="shared" si="273"/>
        <v>116.25843199999986</v>
      </c>
      <c r="CG125" s="197">
        <f t="shared" si="274"/>
        <v>292.2084319999999</v>
      </c>
      <c r="CH125" s="196">
        <f t="shared" si="312"/>
        <v>563.93618412484909</v>
      </c>
      <c r="CI125" s="197">
        <f t="shared" si="313"/>
        <v>109.89785087361246</v>
      </c>
      <c r="CJ125" s="197">
        <f t="shared" si="314"/>
        <v>491.3215105088446</v>
      </c>
      <c r="CK125" s="197">
        <f t="shared" si="315"/>
        <v>72.614673616004538</v>
      </c>
      <c r="CL125" s="199">
        <f t="shared" si="316"/>
        <v>182.51252448961702</v>
      </c>
      <c r="CM125" s="196">
        <f t="shared" si="343"/>
        <v>7824.5143317900011</v>
      </c>
      <c r="CN125" s="197">
        <f t="shared" si="317"/>
        <v>1827.2537281596867</v>
      </c>
      <c r="CO125" s="197">
        <f t="shared" si="318"/>
        <v>12259.344425397219</v>
      </c>
      <c r="CP125" s="197">
        <f t="shared" si="319"/>
        <v>-4434.8300936072192</v>
      </c>
      <c r="CQ125" s="199">
        <f t="shared" si="320"/>
        <v>-2607.5763654475318</v>
      </c>
      <c r="CR125" s="197"/>
      <c r="CT125" s="204">
        <f t="shared" si="344"/>
        <v>13</v>
      </c>
      <c r="CU125" s="760">
        <f>'Energy NPV'!$D51</f>
        <v>12.54</v>
      </c>
      <c r="CV125" s="197">
        <f>'Energy margins'!$L$12</f>
        <v>72</v>
      </c>
      <c r="CW125" s="197">
        <f t="shared" si="345"/>
        <v>902.87999999999988</v>
      </c>
      <c r="CX125" s="197">
        <f>'Margins summary'!$S$14</f>
        <v>175.95</v>
      </c>
      <c r="CY125" s="197">
        <f t="shared" si="321"/>
        <v>1078.83</v>
      </c>
      <c r="CZ125" s="197"/>
      <c r="DA125" s="918">
        <f>'Energy NPV'!U51</f>
        <v>393.31078400000001</v>
      </c>
      <c r="DB125" s="197"/>
      <c r="DC125" s="197">
        <f t="shared" si="322"/>
        <v>0</v>
      </c>
      <c r="DD125" s="197">
        <f t="shared" si="275"/>
        <v>902.87999999999988</v>
      </c>
      <c r="DE125" s="197">
        <f t="shared" si="276"/>
        <v>1078.83</v>
      </c>
      <c r="DF125" s="196">
        <f t="shared" si="323"/>
        <v>563.93618412484909</v>
      </c>
      <c r="DG125" s="197">
        <f t="shared" si="324"/>
        <v>109.89785087361246</v>
      </c>
      <c r="DH125" s="197">
        <f t="shared" si="325"/>
        <v>0</v>
      </c>
      <c r="DI125" s="197">
        <f t="shared" si="326"/>
        <v>563.93618412484909</v>
      </c>
      <c r="DJ125" s="199">
        <f t="shared" si="327"/>
        <v>673.83403499846168</v>
      </c>
      <c r="DK125" s="196">
        <f t="shared" si="346"/>
        <v>7824.5143317900011</v>
      </c>
      <c r="DL125" s="197">
        <f t="shared" si="328"/>
        <v>1827.2537281596867</v>
      </c>
      <c r="DM125" s="197">
        <f t="shared" si="329"/>
        <v>0</v>
      </c>
      <c r="DN125" s="197">
        <f t="shared" si="330"/>
        <v>7824.5143317900011</v>
      </c>
      <c r="DO125" s="199">
        <f t="shared" si="331"/>
        <v>9651.7680599496871</v>
      </c>
    </row>
    <row r="126" spans="2:119" x14ac:dyDescent="0.3">
      <c r="B126" s="204">
        <f t="shared" si="332"/>
        <v>14</v>
      </c>
      <c r="C126" s="760">
        <f>'Energy NPV'!$D52</f>
        <v>12.54</v>
      </c>
      <c r="D126" s="197">
        <f>'Energy margins'!$L$12</f>
        <v>72</v>
      </c>
      <c r="E126" s="197">
        <f t="shared" si="333"/>
        <v>902.87999999999988</v>
      </c>
      <c r="F126" s="197">
        <f>'Margins summary'!$S$14</f>
        <v>175.95</v>
      </c>
      <c r="G126" s="197">
        <f t="shared" si="277"/>
        <v>1078.83</v>
      </c>
      <c r="H126" s="197"/>
      <c r="I126" s="918">
        <f>'Energy NPV'!U52</f>
        <v>393.31078400000001</v>
      </c>
      <c r="J126" s="197"/>
      <c r="K126" s="197">
        <f t="shared" si="278"/>
        <v>393.31078400000001</v>
      </c>
      <c r="L126" s="197">
        <f t="shared" si="267"/>
        <v>509.56921599999987</v>
      </c>
      <c r="M126" s="197">
        <f t="shared" si="268"/>
        <v>685.51921599999991</v>
      </c>
      <c r="N126" s="196">
        <f t="shared" si="279"/>
        <v>542.24633088927806</v>
      </c>
      <c r="O126" s="197">
        <f t="shared" si="280"/>
        <v>105.67101045539658</v>
      </c>
      <c r="P126" s="197">
        <f t="shared" si="281"/>
        <v>236.21226466771375</v>
      </c>
      <c r="Q126" s="197">
        <f t="shared" si="282"/>
        <v>306.03406622156427</v>
      </c>
      <c r="R126" s="199">
        <f t="shared" si="283"/>
        <v>411.70507667696086</v>
      </c>
      <c r="S126" s="196">
        <f t="shared" si="334"/>
        <v>8366.7606626792785</v>
      </c>
      <c r="T126" s="197">
        <f t="shared" si="284"/>
        <v>1932.9247386150832</v>
      </c>
      <c r="U126" s="197">
        <f t="shared" si="285"/>
        <v>6365.8844773663232</v>
      </c>
      <c r="V126" s="197">
        <f t="shared" si="286"/>
        <v>2000.8761853129549</v>
      </c>
      <c r="W126" s="199">
        <f t="shared" si="287"/>
        <v>3933.8009239280386</v>
      </c>
      <c r="X126" s="197"/>
      <c r="Z126" s="204">
        <f t="shared" si="335"/>
        <v>14</v>
      </c>
      <c r="AA126" s="760">
        <f>'Energy NPV'!$D52</f>
        <v>12.54</v>
      </c>
      <c r="AB126" s="197">
        <f>'Energy margins'!$L$12</f>
        <v>72</v>
      </c>
      <c r="AC126" s="197">
        <f t="shared" si="336"/>
        <v>902.87999999999988</v>
      </c>
      <c r="AD126" s="197">
        <f>'Margins summary'!$S$14</f>
        <v>175.95</v>
      </c>
      <c r="AE126" s="197">
        <f t="shared" si="288"/>
        <v>1078.83</v>
      </c>
      <c r="AF126" s="197"/>
      <c r="AG126" s="918">
        <f>'Energy NPV'!U52</f>
        <v>393.31078400000001</v>
      </c>
      <c r="AH126" s="197"/>
      <c r="AI126" s="197">
        <f t="shared" si="289"/>
        <v>589.96617600000002</v>
      </c>
      <c r="AJ126" s="197">
        <f t="shared" si="269"/>
        <v>312.91382399999986</v>
      </c>
      <c r="AK126" s="197">
        <f t="shared" si="270"/>
        <v>488.86382399999991</v>
      </c>
      <c r="AL126" s="196">
        <f t="shared" si="290"/>
        <v>542.24633088927806</v>
      </c>
      <c r="AM126" s="197">
        <f t="shared" si="291"/>
        <v>105.67101045539658</v>
      </c>
      <c r="AN126" s="197">
        <f t="shared" si="292"/>
        <v>354.31839700157059</v>
      </c>
      <c r="AO126" s="197">
        <f t="shared" si="293"/>
        <v>187.92793388770738</v>
      </c>
      <c r="AP126" s="199">
        <f t="shared" si="294"/>
        <v>293.59894434310399</v>
      </c>
      <c r="AQ126" s="196">
        <f t="shared" si="337"/>
        <v>8366.7606626792785</v>
      </c>
      <c r="AR126" s="197">
        <f t="shared" si="295"/>
        <v>1932.9247386150832</v>
      </c>
      <c r="AS126" s="197">
        <f t="shared" si="296"/>
        <v>9548.8267160494852</v>
      </c>
      <c r="AT126" s="197">
        <f t="shared" si="297"/>
        <v>-1182.0660533702069</v>
      </c>
      <c r="AU126" s="199">
        <f t="shared" si="298"/>
        <v>750.85868524487728</v>
      </c>
      <c r="AV126" s="197"/>
      <c r="AX126" s="204">
        <f t="shared" si="338"/>
        <v>14</v>
      </c>
      <c r="AY126" s="760">
        <f>'Energy NPV'!$D52</f>
        <v>12.54</v>
      </c>
      <c r="AZ126" s="197">
        <f>'Energy margins'!$L$12</f>
        <v>72</v>
      </c>
      <c r="BA126" s="197">
        <f t="shared" si="339"/>
        <v>902.87999999999988</v>
      </c>
      <c r="BB126" s="197">
        <f>'Margins summary'!$S$14</f>
        <v>175.95</v>
      </c>
      <c r="BC126" s="197">
        <f t="shared" si="299"/>
        <v>1078.83</v>
      </c>
      <c r="BD126" s="197"/>
      <c r="BE126" s="918">
        <f>'Energy NPV'!U52</f>
        <v>393.31078400000001</v>
      </c>
      <c r="BF126" s="197"/>
      <c r="BG126" s="197">
        <f t="shared" si="300"/>
        <v>196.65539200000001</v>
      </c>
      <c r="BH126" s="197">
        <f t="shared" si="271"/>
        <v>706.22460799999988</v>
      </c>
      <c r="BI126" s="197">
        <f t="shared" si="272"/>
        <v>882.17460799999992</v>
      </c>
      <c r="BJ126" s="196">
        <f t="shared" si="301"/>
        <v>542.24633088927806</v>
      </c>
      <c r="BK126" s="197">
        <f t="shared" si="302"/>
        <v>105.67101045539658</v>
      </c>
      <c r="BL126" s="197">
        <f t="shared" si="303"/>
        <v>118.10613233385688</v>
      </c>
      <c r="BM126" s="197">
        <f t="shared" si="304"/>
        <v>424.14019855542114</v>
      </c>
      <c r="BN126" s="199">
        <f t="shared" si="305"/>
        <v>529.81120901081772</v>
      </c>
      <c r="BO126" s="196">
        <f t="shared" si="340"/>
        <v>8366.7606626792785</v>
      </c>
      <c r="BP126" s="197">
        <f t="shared" si="306"/>
        <v>1932.9247386150832</v>
      </c>
      <c r="BQ126" s="197">
        <f t="shared" si="307"/>
        <v>3182.9422386831616</v>
      </c>
      <c r="BR126" s="197">
        <f t="shared" si="308"/>
        <v>5183.8184239961165</v>
      </c>
      <c r="BS126" s="199">
        <f t="shared" si="309"/>
        <v>7116.7431626112002</v>
      </c>
      <c r="BT126" s="197"/>
      <c r="BV126" s="204">
        <f t="shared" si="341"/>
        <v>14</v>
      </c>
      <c r="BW126" s="760">
        <f>'Energy NPV'!$D52</f>
        <v>12.54</v>
      </c>
      <c r="BX126" s="197">
        <f>'Energy margins'!$L$12</f>
        <v>72</v>
      </c>
      <c r="BY126" s="197">
        <f t="shared" si="342"/>
        <v>902.87999999999988</v>
      </c>
      <c r="BZ126" s="197">
        <f>'Margins summary'!$S$14</f>
        <v>175.95</v>
      </c>
      <c r="CA126" s="197">
        <f t="shared" si="310"/>
        <v>1078.83</v>
      </c>
      <c r="CB126" s="197"/>
      <c r="CC126" s="918">
        <f>'Energy NPV'!U52</f>
        <v>393.31078400000001</v>
      </c>
      <c r="CD126" s="197"/>
      <c r="CE126" s="197">
        <f t="shared" si="311"/>
        <v>786.62156800000002</v>
      </c>
      <c r="CF126" s="197">
        <f t="shared" si="273"/>
        <v>116.25843199999986</v>
      </c>
      <c r="CG126" s="197">
        <f t="shared" si="274"/>
        <v>292.2084319999999</v>
      </c>
      <c r="CH126" s="196">
        <f t="shared" si="312"/>
        <v>542.24633088927806</v>
      </c>
      <c r="CI126" s="197">
        <f t="shared" si="313"/>
        <v>105.67101045539658</v>
      </c>
      <c r="CJ126" s="197">
        <f t="shared" si="314"/>
        <v>472.42452933542751</v>
      </c>
      <c r="CK126" s="197">
        <f t="shared" si="315"/>
        <v>69.82180155385052</v>
      </c>
      <c r="CL126" s="199">
        <f t="shared" si="316"/>
        <v>175.49281200924713</v>
      </c>
      <c r="CM126" s="196">
        <f t="shared" si="343"/>
        <v>8366.7606626792785</v>
      </c>
      <c r="CN126" s="197">
        <f t="shared" si="317"/>
        <v>1932.9247386150832</v>
      </c>
      <c r="CO126" s="197">
        <f t="shared" si="318"/>
        <v>12731.768954732646</v>
      </c>
      <c r="CP126" s="197">
        <f t="shared" si="319"/>
        <v>-4365.0082920533687</v>
      </c>
      <c r="CQ126" s="199">
        <f t="shared" si="320"/>
        <v>-2432.0835534382845</v>
      </c>
      <c r="CR126" s="197"/>
      <c r="CT126" s="204">
        <f t="shared" si="344"/>
        <v>14</v>
      </c>
      <c r="CU126" s="760">
        <f>'Energy NPV'!$D52</f>
        <v>12.54</v>
      </c>
      <c r="CV126" s="197">
        <f>'Energy margins'!$L$12</f>
        <v>72</v>
      </c>
      <c r="CW126" s="197">
        <f t="shared" si="345"/>
        <v>902.87999999999988</v>
      </c>
      <c r="CX126" s="197">
        <f>'Margins summary'!$S$14</f>
        <v>175.95</v>
      </c>
      <c r="CY126" s="197">
        <f t="shared" si="321"/>
        <v>1078.83</v>
      </c>
      <c r="CZ126" s="197"/>
      <c r="DA126" s="918">
        <f>'Energy NPV'!U52</f>
        <v>393.31078400000001</v>
      </c>
      <c r="DB126" s="197"/>
      <c r="DC126" s="197">
        <f t="shared" si="322"/>
        <v>0</v>
      </c>
      <c r="DD126" s="197">
        <f t="shared" si="275"/>
        <v>902.87999999999988</v>
      </c>
      <c r="DE126" s="197">
        <f t="shared" si="276"/>
        <v>1078.83</v>
      </c>
      <c r="DF126" s="196">
        <f t="shared" si="323"/>
        <v>542.24633088927806</v>
      </c>
      <c r="DG126" s="197">
        <f t="shared" si="324"/>
        <v>105.67101045539658</v>
      </c>
      <c r="DH126" s="197">
        <f t="shared" si="325"/>
        <v>0</v>
      </c>
      <c r="DI126" s="197">
        <f t="shared" si="326"/>
        <v>542.24633088927806</v>
      </c>
      <c r="DJ126" s="199">
        <f t="shared" si="327"/>
        <v>647.91734134467458</v>
      </c>
      <c r="DK126" s="196">
        <f t="shared" si="346"/>
        <v>8366.7606626792785</v>
      </c>
      <c r="DL126" s="197">
        <f t="shared" si="328"/>
        <v>1932.9247386150832</v>
      </c>
      <c r="DM126" s="197">
        <f t="shared" si="329"/>
        <v>0</v>
      </c>
      <c r="DN126" s="197">
        <f t="shared" si="330"/>
        <v>8366.7606626792785</v>
      </c>
      <c r="DO126" s="199">
        <f t="shared" si="331"/>
        <v>10299.685401294362</v>
      </c>
    </row>
    <row r="127" spans="2:119" x14ac:dyDescent="0.3">
      <c r="B127" s="204">
        <f t="shared" si="332"/>
        <v>15</v>
      </c>
      <c r="C127" s="760">
        <f>'Energy NPV'!$D53</f>
        <v>12.54</v>
      </c>
      <c r="D127" s="197">
        <f>'Energy margins'!$L$12</f>
        <v>72</v>
      </c>
      <c r="E127" s="197">
        <f t="shared" si="333"/>
        <v>902.87999999999988</v>
      </c>
      <c r="F127" s="197">
        <f>'Margins summary'!$S$14</f>
        <v>175.95</v>
      </c>
      <c r="G127" s="197">
        <f t="shared" si="277"/>
        <v>1078.83</v>
      </c>
      <c r="H127" s="197"/>
      <c r="I127" s="918">
        <f>'Energy NPV'!U53</f>
        <v>393.31078400000001</v>
      </c>
      <c r="J127" s="197"/>
      <c r="K127" s="197">
        <f t="shared" si="278"/>
        <v>393.31078400000001</v>
      </c>
      <c r="L127" s="197">
        <f t="shared" si="267"/>
        <v>509.56921599999987</v>
      </c>
      <c r="M127" s="197">
        <f t="shared" si="268"/>
        <v>685.51921599999991</v>
      </c>
      <c r="N127" s="196">
        <f t="shared" si="279"/>
        <v>521.39070277815199</v>
      </c>
      <c r="O127" s="197">
        <f t="shared" si="280"/>
        <v>101.60674082249672</v>
      </c>
      <c r="P127" s="197">
        <f t="shared" si="281"/>
        <v>227.12717756510938</v>
      </c>
      <c r="Q127" s="197">
        <f t="shared" si="282"/>
        <v>294.26352521304256</v>
      </c>
      <c r="R127" s="199">
        <f t="shared" si="283"/>
        <v>395.87026603553932</v>
      </c>
      <c r="S127" s="196">
        <f t="shared" si="334"/>
        <v>8888.1513654574301</v>
      </c>
      <c r="T127" s="197">
        <f t="shared" si="284"/>
        <v>2034.5314794375799</v>
      </c>
      <c r="U127" s="197">
        <f t="shared" si="285"/>
        <v>6593.0116549314325</v>
      </c>
      <c r="V127" s="197">
        <f t="shared" si="286"/>
        <v>2295.1397105259975</v>
      </c>
      <c r="W127" s="199">
        <f t="shared" si="287"/>
        <v>4329.6711899635775</v>
      </c>
      <c r="X127" s="197"/>
      <c r="Z127" s="204">
        <f t="shared" si="335"/>
        <v>15</v>
      </c>
      <c r="AA127" s="760">
        <f>'Energy NPV'!$D53</f>
        <v>12.54</v>
      </c>
      <c r="AB127" s="197">
        <f>'Energy margins'!$L$12</f>
        <v>72</v>
      </c>
      <c r="AC127" s="197">
        <f t="shared" si="336"/>
        <v>902.87999999999988</v>
      </c>
      <c r="AD127" s="197">
        <f>'Margins summary'!$S$14</f>
        <v>175.95</v>
      </c>
      <c r="AE127" s="197">
        <f t="shared" si="288"/>
        <v>1078.83</v>
      </c>
      <c r="AF127" s="197"/>
      <c r="AG127" s="918">
        <f>'Energy NPV'!U53</f>
        <v>393.31078400000001</v>
      </c>
      <c r="AH127" s="197"/>
      <c r="AI127" s="197">
        <f t="shared" si="289"/>
        <v>589.96617600000002</v>
      </c>
      <c r="AJ127" s="197">
        <f t="shared" si="269"/>
        <v>312.91382399999986</v>
      </c>
      <c r="AK127" s="197">
        <f t="shared" si="270"/>
        <v>488.86382399999991</v>
      </c>
      <c r="AL127" s="196">
        <f t="shared" si="290"/>
        <v>521.39070277815199</v>
      </c>
      <c r="AM127" s="197">
        <f t="shared" si="291"/>
        <v>101.60674082249672</v>
      </c>
      <c r="AN127" s="197">
        <f t="shared" si="292"/>
        <v>340.69076634766407</v>
      </c>
      <c r="AO127" s="197">
        <f t="shared" si="293"/>
        <v>180.69993643048787</v>
      </c>
      <c r="AP127" s="199">
        <f t="shared" si="294"/>
        <v>282.30667725298463</v>
      </c>
      <c r="AQ127" s="196">
        <f t="shared" si="337"/>
        <v>8888.1513654574301</v>
      </c>
      <c r="AR127" s="197">
        <f t="shared" si="295"/>
        <v>2034.5314794375799</v>
      </c>
      <c r="AS127" s="197">
        <f t="shared" si="296"/>
        <v>9889.5174823971502</v>
      </c>
      <c r="AT127" s="197">
        <f t="shared" si="297"/>
        <v>-1001.3661169397189</v>
      </c>
      <c r="AU127" s="199">
        <f t="shared" si="298"/>
        <v>1033.1653624978619</v>
      </c>
      <c r="AV127" s="197"/>
      <c r="AX127" s="204">
        <f t="shared" si="338"/>
        <v>15</v>
      </c>
      <c r="AY127" s="760">
        <f>'Energy NPV'!$D53</f>
        <v>12.54</v>
      </c>
      <c r="AZ127" s="197">
        <f>'Energy margins'!$L$12</f>
        <v>72</v>
      </c>
      <c r="BA127" s="197">
        <f t="shared" si="339"/>
        <v>902.87999999999988</v>
      </c>
      <c r="BB127" s="197">
        <f>'Margins summary'!$S$14</f>
        <v>175.95</v>
      </c>
      <c r="BC127" s="197">
        <f t="shared" si="299"/>
        <v>1078.83</v>
      </c>
      <c r="BD127" s="197"/>
      <c r="BE127" s="918">
        <f>'Energy NPV'!U53</f>
        <v>393.31078400000001</v>
      </c>
      <c r="BF127" s="197"/>
      <c r="BG127" s="197">
        <f t="shared" si="300"/>
        <v>196.65539200000001</v>
      </c>
      <c r="BH127" s="197">
        <f t="shared" si="271"/>
        <v>706.22460799999988</v>
      </c>
      <c r="BI127" s="197">
        <f t="shared" si="272"/>
        <v>882.17460799999992</v>
      </c>
      <c r="BJ127" s="196">
        <f t="shared" si="301"/>
        <v>521.39070277815199</v>
      </c>
      <c r="BK127" s="197">
        <f t="shared" si="302"/>
        <v>101.60674082249672</v>
      </c>
      <c r="BL127" s="197">
        <f t="shared" si="303"/>
        <v>113.56358878255469</v>
      </c>
      <c r="BM127" s="197">
        <f t="shared" si="304"/>
        <v>407.82711399559724</v>
      </c>
      <c r="BN127" s="199">
        <f t="shared" si="305"/>
        <v>509.43385481809401</v>
      </c>
      <c r="BO127" s="196">
        <f t="shared" si="340"/>
        <v>8888.1513654574301</v>
      </c>
      <c r="BP127" s="197">
        <f t="shared" si="306"/>
        <v>2034.5314794375799</v>
      </c>
      <c r="BQ127" s="197">
        <f t="shared" si="307"/>
        <v>3296.5058274657163</v>
      </c>
      <c r="BR127" s="197">
        <f t="shared" si="308"/>
        <v>5591.6455379917134</v>
      </c>
      <c r="BS127" s="199">
        <f t="shared" si="309"/>
        <v>7626.1770174292942</v>
      </c>
      <c r="BT127" s="197"/>
      <c r="BV127" s="204">
        <f t="shared" si="341"/>
        <v>15</v>
      </c>
      <c r="BW127" s="760">
        <f>'Energy NPV'!$D53</f>
        <v>12.54</v>
      </c>
      <c r="BX127" s="197">
        <f>'Energy margins'!$L$12</f>
        <v>72</v>
      </c>
      <c r="BY127" s="197">
        <f t="shared" si="342"/>
        <v>902.87999999999988</v>
      </c>
      <c r="BZ127" s="197">
        <f>'Margins summary'!$S$14</f>
        <v>175.95</v>
      </c>
      <c r="CA127" s="197">
        <f t="shared" si="310"/>
        <v>1078.83</v>
      </c>
      <c r="CB127" s="197"/>
      <c r="CC127" s="918">
        <f>'Energy NPV'!U53</f>
        <v>393.31078400000001</v>
      </c>
      <c r="CD127" s="197"/>
      <c r="CE127" s="197">
        <f t="shared" si="311"/>
        <v>786.62156800000002</v>
      </c>
      <c r="CF127" s="197">
        <f t="shared" si="273"/>
        <v>116.25843199999986</v>
      </c>
      <c r="CG127" s="197">
        <f t="shared" si="274"/>
        <v>292.2084319999999</v>
      </c>
      <c r="CH127" s="196">
        <f t="shared" si="312"/>
        <v>521.39070277815199</v>
      </c>
      <c r="CI127" s="197">
        <f t="shared" si="313"/>
        <v>101.60674082249672</v>
      </c>
      <c r="CJ127" s="197">
        <f t="shared" si="314"/>
        <v>454.25435513021876</v>
      </c>
      <c r="CK127" s="197">
        <f t="shared" si="315"/>
        <v>67.136347647933192</v>
      </c>
      <c r="CL127" s="199">
        <f t="shared" si="316"/>
        <v>168.74308847042994</v>
      </c>
      <c r="CM127" s="196">
        <f t="shared" si="343"/>
        <v>8888.1513654574301</v>
      </c>
      <c r="CN127" s="197">
        <f t="shared" si="317"/>
        <v>2034.5314794375799</v>
      </c>
      <c r="CO127" s="197">
        <f t="shared" si="318"/>
        <v>13186.023309862865</v>
      </c>
      <c r="CP127" s="197">
        <f t="shared" si="319"/>
        <v>-4297.8719444054359</v>
      </c>
      <c r="CQ127" s="199">
        <f t="shared" si="320"/>
        <v>-2263.3404649678546</v>
      </c>
      <c r="CR127" s="197"/>
      <c r="CT127" s="204">
        <f t="shared" si="344"/>
        <v>15</v>
      </c>
      <c r="CU127" s="760">
        <f>'Energy NPV'!$D53</f>
        <v>12.54</v>
      </c>
      <c r="CV127" s="197">
        <f>'Energy margins'!$L$12</f>
        <v>72</v>
      </c>
      <c r="CW127" s="197">
        <f t="shared" si="345"/>
        <v>902.87999999999988</v>
      </c>
      <c r="CX127" s="197">
        <f>'Margins summary'!$S$14</f>
        <v>175.95</v>
      </c>
      <c r="CY127" s="197">
        <f t="shared" si="321"/>
        <v>1078.83</v>
      </c>
      <c r="CZ127" s="197"/>
      <c r="DA127" s="918">
        <f>'Energy NPV'!U53</f>
        <v>393.31078400000001</v>
      </c>
      <c r="DB127" s="197"/>
      <c r="DC127" s="197">
        <f t="shared" si="322"/>
        <v>0</v>
      </c>
      <c r="DD127" s="197">
        <f t="shared" si="275"/>
        <v>902.87999999999988</v>
      </c>
      <c r="DE127" s="197">
        <f t="shared" si="276"/>
        <v>1078.83</v>
      </c>
      <c r="DF127" s="196">
        <f t="shared" si="323"/>
        <v>521.39070277815199</v>
      </c>
      <c r="DG127" s="197">
        <f t="shared" si="324"/>
        <v>101.60674082249672</v>
      </c>
      <c r="DH127" s="197">
        <f t="shared" si="325"/>
        <v>0</v>
      </c>
      <c r="DI127" s="197">
        <f t="shared" si="326"/>
        <v>521.39070277815199</v>
      </c>
      <c r="DJ127" s="199">
        <f t="shared" si="327"/>
        <v>622.99744360064869</v>
      </c>
      <c r="DK127" s="196">
        <f t="shared" si="346"/>
        <v>8888.1513654574301</v>
      </c>
      <c r="DL127" s="197">
        <f t="shared" si="328"/>
        <v>2034.5314794375799</v>
      </c>
      <c r="DM127" s="197">
        <f t="shared" si="329"/>
        <v>0</v>
      </c>
      <c r="DN127" s="197">
        <f t="shared" si="330"/>
        <v>8888.1513654574301</v>
      </c>
      <c r="DO127" s="199">
        <f t="shared" si="331"/>
        <v>10922.682844895011</v>
      </c>
    </row>
    <row r="128" spans="2:119" x14ac:dyDescent="0.3">
      <c r="B128" s="206">
        <f t="shared" si="332"/>
        <v>16</v>
      </c>
      <c r="C128" s="761">
        <f>'Energy NPV'!$D54</f>
        <v>12.54</v>
      </c>
      <c r="D128" s="207">
        <f>'Energy margins'!$L$12</f>
        <v>72</v>
      </c>
      <c r="E128" s="207">
        <f t="shared" si="333"/>
        <v>902.87999999999988</v>
      </c>
      <c r="F128" s="207">
        <f>'Margins summary'!$S$14</f>
        <v>175.95</v>
      </c>
      <c r="G128" s="207">
        <f t="shared" si="277"/>
        <v>1078.83</v>
      </c>
      <c r="H128" s="207"/>
      <c r="I128" s="919">
        <f>'Energy NPV'!U54</f>
        <v>393.31078400000001</v>
      </c>
      <c r="J128" s="207">
        <f>'Energy margins'!$Q$67</f>
        <v>192.1</v>
      </c>
      <c r="K128" s="207">
        <f t="shared" si="278"/>
        <v>585.41078400000004</v>
      </c>
      <c r="L128" s="207">
        <f t="shared" si="267"/>
        <v>317.46921599999985</v>
      </c>
      <c r="M128" s="207">
        <f t="shared" si="268"/>
        <v>493.41921599999989</v>
      </c>
      <c r="N128" s="208">
        <f>E128/((1+$B$4)^(B128-1))</f>
        <v>501.3372142097615</v>
      </c>
      <c r="O128" s="207">
        <f>F128/((1+$B$4)^(B128-1))</f>
        <v>97.698789252400701</v>
      </c>
      <c r="P128" s="207">
        <f>K128/((1+$B$4)^(B128-1))</f>
        <v>325.05782786074838</v>
      </c>
      <c r="Q128" s="207">
        <f>L128/((1+$B$4)^(B128-1))</f>
        <v>176.27938634901315</v>
      </c>
      <c r="R128" s="209">
        <f>M128/((1+$B$4)^(B128-1))</f>
        <v>273.97817560141385</v>
      </c>
      <c r="S128" s="208">
        <f t="shared" si="334"/>
        <v>9389.4885796671915</v>
      </c>
      <c r="T128" s="207">
        <f t="shared" si="284"/>
        <v>2132.2302686899807</v>
      </c>
      <c r="U128" s="207">
        <f t="shared" si="285"/>
        <v>6918.0694827921807</v>
      </c>
      <c r="V128" s="207">
        <f t="shared" si="286"/>
        <v>2471.4190968750108</v>
      </c>
      <c r="W128" s="209">
        <f t="shared" si="287"/>
        <v>4603.6493655649911</v>
      </c>
      <c r="X128" s="197"/>
      <c r="Z128" s="206">
        <f t="shared" si="335"/>
        <v>16</v>
      </c>
      <c r="AA128" s="761">
        <f>'Energy NPV'!$D54</f>
        <v>12.54</v>
      </c>
      <c r="AB128" s="207">
        <f>'Energy margins'!$L$12</f>
        <v>72</v>
      </c>
      <c r="AC128" s="207">
        <f t="shared" si="336"/>
        <v>902.87999999999988</v>
      </c>
      <c r="AD128" s="207">
        <f>'Margins summary'!$S$14</f>
        <v>175.95</v>
      </c>
      <c r="AE128" s="207">
        <f t="shared" si="288"/>
        <v>1078.83</v>
      </c>
      <c r="AF128" s="207"/>
      <c r="AG128" s="919">
        <f>'Energy NPV'!U54</f>
        <v>393.31078400000001</v>
      </c>
      <c r="AH128" s="207">
        <f>'Energy margins'!$Q$67</f>
        <v>192.1</v>
      </c>
      <c r="AI128" s="207">
        <f t="shared" si="289"/>
        <v>878.116176</v>
      </c>
      <c r="AJ128" s="207">
        <f t="shared" si="269"/>
        <v>24.763823999999886</v>
      </c>
      <c r="AK128" s="207">
        <f t="shared" si="270"/>
        <v>200.71382399999993</v>
      </c>
      <c r="AL128" s="208">
        <f>AC128/((1+$B$4)^(Z128-1))</f>
        <v>501.3372142097615</v>
      </c>
      <c r="AM128" s="207">
        <f>AD128/((1+$B$4)^(Z128-1))</f>
        <v>97.698789252400701</v>
      </c>
      <c r="AN128" s="207">
        <f>AI128/((1+$B$4)^(Z128-1))</f>
        <v>487.58674179112251</v>
      </c>
      <c r="AO128" s="207">
        <f>AJ128/((1+$B$4)^(Z128-1))</f>
        <v>13.750472418638996</v>
      </c>
      <c r="AP128" s="209">
        <f>AK128/((1+$B$4)^(Z128-1))</f>
        <v>111.44926167103972</v>
      </c>
      <c r="AQ128" s="208">
        <f>AQ127+AL128</f>
        <v>9389.4885796671915</v>
      </c>
      <c r="AR128" s="207">
        <f t="shared" si="295"/>
        <v>2132.2302686899807</v>
      </c>
      <c r="AS128" s="207">
        <f t="shared" si="296"/>
        <v>10377.104224188273</v>
      </c>
      <c r="AT128" s="207">
        <f t="shared" si="297"/>
        <v>-987.61564452107996</v>
      </c>
      <c r="AU128" s="209">
        <f t="shared" si="298"/>
        <v>1144.6146241689016</v>
      </c>
      <c r="AV128" s="197"/>
      <c r="AX128" s="206">
        <f t="shared" si="338"/>
        <v>16</v>
      </c>
      <c r="AY128" s="761">
        <f>'Energy NPV'!$D54</f>
        <v>12.54</v>
      </c>
      <c r="AZ128" s="207">
        <f>'Energy margins'!$L$12</f>
        <v>72</v>
      </c>
      <c r="BA128" s="207">
        <f t="shared" si="339"/>
        <v>902.87999999999988</v>
      </c>
      <c r="BB128" s="207">
        <f>'Margins summary'!$S$14</f>
        <v>175.95</v>
      </c>
      <c r="BC128" s="207">
        <f t="shared" si="299"/>
        <v>1078.83</v>
      </c>
      <c r="BD128" s="207"/>
      <c r="BE128" s="919">
        <f>'Energy NPV'!U54</f>
        <v>393.31078400000001</v>
      </c>
      <c r="BF128" s="207">
        <f>'Energy margins'!$Q$67</f>
        <v>192.1</v>
      </c>
      <c r="BG128" s="207">
        <f t="shared" si="300"/>
        <v>292.70539200000002</v>
      </c>
      <c r="BH128" s="207">
        <f t="shared" si="271"/>
        <v>610.17460799999981</v>
      </c>
      <c r="BI128" s="207">
        <f t="shared" si="272"/>
        <v>786.12460799999985</v>
      </c>
      <c r="BJ128" s="208">
        <f>BA128/((1+$B$4)^(AX128-1))</f>
        <v>501.3372142097615</v>
      </c>
      <c r="BK128" s="207">
        <f>BB128/((1+$B$4)^(AX128-1))</f>
        <v>97.698789252400701</v>
      </c>
      <c r="BL128" s="207">
        <f>BG128/((1+$B$4)^(AX128-1))</f>
        <v>162.52891393037419</v>
      </c>
      <c r="BM128" s="207">
        <f>BH128/((1+$B$4)^(AX128-1))</f>
        <v>338.80830027938731</v>
      </c>
      <c r="BN128" s="209">
        <f>BI128/((1+$B$4)^(AX128-1))</f>
        <v>436.50708953178798</v>
      </c>
      <c r="BO128" s="208">
        <f t="shared" si="340"/>
        <v>9389.4885796671915</v>
      </c>
      <c r="BP128" s="207">
        <f t="shared" si="306"/>
        <v>2132.2302686899807</v>
      </c>
      <c r="BQ128" s="207">
        <f t="shared" si="307"/>
        <v>3459.0347413960903</v>
      </c>
      <c r="BR128" s="207">
        <f t="shared" si="308"/>
        <v>5930.4538382711007</v>
      </c>
      <c r="BS128" s="209">
        <f t="shared" si="309"/>
        <v>8062.6841069610819</v>
      </c>
      <c r="BT128" s="197"/>
      <c r="BV128" s="206">
        <f t="shared" si="341"/>
        <v>16</v>
      </c>
      <c r="BW128" s="761">
        <f>'Energy NPV'!$D54</f>
        <v>12.54</v>
      </c>
      <c r="BX128" s="207">
        <f>'Energy margins'!$L$12</f>
        <v>72</v>
      </c>
      <c r="BY128" s="207">
        <f t="shared" si="342"/>
        <v>902.87999999999988</v>
      </c>
      <c r="BZ128" s="207">
        <f>'Margins summary'!$S$14</f>
        <v>175.95</v>
      </c>
      <c r="CA128" s="207">
        <f t="shared" si="310"/>
        <v>1078.83</v>
      </c>
      <c r="CB128" s="207"/>
      <c r="CC128" s="919">
        <f>'Energy NPV'!U54</f>
        <v>393.31078400000001</v>
      </c>
      <c r="CD128" s="207">
        <f>'Energy margins'!$Q$67</f>
        <v>192.1</v>
      </c>
      <c r="CE128" s="207">
        <f t="shared" si="311"/>
        <v>1170.8215680000001</v>
      </c>
      <c r="CF128" s="207">
        <f t="shared" si="273"/>
        <v>-267.94156800000019</v>
      </c>
      <c r="CG128" s="207">
        <f t="shared" si="274"/>
        <v>-91.991568000000143</v>
      </c>
      <c r="CH128" s="208">
        <f>BY128/((1+$B$4)^(BV128-1))</f>
        <v>501.3372142097615</v>
      </c>
      <c r="CI128" s="207">
        <f>BZ128/((1+$B$4)^(BV128-1))</f>
        <v>97.698789252400701</v>
      </c>
      <c r="CJ128" s="207">
        <f>CE128/((1+$B$4)^(BV128-1))</f>
        <v>650.11565572149675</v>
      </c>
      <c r="CK128" s="207">
        <f>CF128/((1+$B$4)^(BV128-1))</f>
        <v>-148.77844151173522</v>
      </c>
      <c r="CL128" s="209">
        <f>CG128/((1+$B$4)^(BV128-1))</f>
        <v>-51.07965225933448</v>
      </c>
      <c r="CM128" s="208">
        <f t="shared" si="343"/>
        <v>9389.4885796671915</v>
      </c>
      <c r="CN128" s="207">
        <f t="shared" si="317"/>
        <v>2132.2302686899807</v>
      </c>
      <c r="CO128" s="207">
        <f t="shared" si="318"/>
        <v>13836.138965584361</v>
      </c>
      <c r="CP128" s="207">
        <f t="shared" si="319"/>
        <v>-4446.6503859171708</v>
      </c>
      <c r="CQ128" s="209">
        <f t="shared" si="320"/>
        <v>-2314.4201172271892</v>
      </c>
      <c r="CR128" s="197"/>
      <c r="CT128" s="206">
        <f t="shared" si="344"/>
        <v>16</v>
      </c>
      <c r="CU128" s="761">
        <f>'Energy NPV'!$D54</f>
        <v>12.54</v>
      </c>
      <c r="CV128" s="207">
        <f>'Energy margins'!$L$12</f>
        <v>72</v>
      </c>
      <c r="CW128" s="207">
        <f t="shared" si="345"/>
        <v>902.87999999999988</v>
      </c>
      <c r="CX128" s="207">
        <f>'Margins summary'!$S$14</f>
        <v>175.95</v>
      </c>
      <c r="CY128" s="207">
        <f t="shared" si="321"/>
        <v>1078.83</v>
      </c>
      <c r="CZ128" s="207"/>
      <c r="DA128" s="919">
        <f>'Energy NPV'!U54</f>
        <v>393.31078400000001</v>
      </c>
      <c r="DB128" s="207">
        <f>'Energy margins'!$Q$67</f>
        <v>192.1</v>
      </c>
      <c r="DC128" s="207">
        <f t="shared" si="322"/>
        <v>0</v>
      </c>
      <c r="DD128" s="207">
        <f t="shared" si="275"/>
        <v>902.87999999999988</v>
      </c>
      <c r="DE128" s="207">
        <f t="shared" si="276"/>
        <v>1078.83</v>
      </c>
      <c r="DF128" s="208">
        <f>CW128/((1+$B$4)^(CT128-1))</f>
        <v>501.3372142097615</v>
      </c>
      <c r="DG128" s="207">
        <f>CX128/((1+$B$4)^(CT128-1))</f>
        <v>97.698789252400701</v>
      </c>
      <c r="DH128" s="207">
        <f>DC128/((1+$B$4)^(CT128-1))</f>
        <v>0</v>
      </c>
      <c r="DI128" s="207">
        <f>DD128/((1+$B$4)^(CT128-1))</f>
        <v>501.3372142097615</v>
      </c>
      <c r="DJ128" s="209">
        <f>DE128/((1+$B$4)^(CT128-1))</f>
        <v>599.03600346216217</v>
      </c>
      <c r="DK128" s="208">
        <f t="shared" si="346"/>
        <v>9389.4885796671915</v>
      </c>
      <c r="DL128" s="207">
        <f t="shared" si="328"/>
        <v>2132.2302686899807</v>
      </c>
      <c r="DM128" s="207">
        <f t="shared" si="329"/>
        <v>0</v>
      </c>
      <c r="DN128" s="207">
        <f t="shared" si="330"/>
        <v>9389.4885796671915</v>
      </c>
      <c r="DO128" s="209">
        <f t="shared" si="331"/>
        <v>11521.718848357174</v>
      </c>
    </row>
    <row r="134" spans="2:118" x14ac:dyDescent="0.3">
      <c r="B134" s="212" t="s">
        <v>260</v>
      </c>
      <c r="C134" s="763" t="s">
        <v>414</v>
      </c>
      <c r="D134" s="269" t="s">
        <v>405</v>
      </c>
      <c r="E134" s="913">
        <v>1</v>
      </c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Z134" s="212" t="s">
        <v>260</v>
      </c>
      <c r="AA134" s="763" t="s">
        <v>415</v>
      </c>
      <c r="AB134" s="269" t="s">
        <v>405</v>
      </c>
      <c r="AC134" s="913">
        <v>1.5</v>
      </c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X134" s="212" t="s">
        <v>260</v>
      </c>
      <c r="AY134" s="763" t="s">
        <v>416</v>
      </c>
      <c r="AZ134" s="269" t="s">
        <v>405</v>
      </c>
      <c r="BA134" s="913">
        <v>0.5</v>
      </c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V134" s="212" t="s">
        <v>260</v>
      </c>
      <c r="BW134" s="763" t="s">
        <v>417</v>
      </c>
      <c r="BX134" s="269" t="s">
        <v>405</v>
      </c>
      <c r="BY134" s="913">
        <v>2</v>
      </c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T134" s="212" t="s">
        <v>260</v>
      </c>
      <c r="CU134" s="763" t="s">
        <v>448</v>
      </c>
      <c r="CV134" s="269" t="s">
        <v>405</v>
      </c>
      <c r="CW134" s="913">
        <v>0</v>
      </c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</row>
    <row r="135" spans="2:118" x14ac:dyDescent="0.3">
      <c r="B135" s="203"/>
      <c r="D135" s="158"/>
      <c r="E135" s="758"/>
      <c r="F135" s="758"/>
      <c r="G135" s="758"/>
      <c r="H135" s="148"/>
      <c r="I135" s="148"/>
      <c r="J135" s="758"/>
      <c r="K135" s="148"/>
      <c r="L135" s="148"/>
      <c r="M135" s="894" t="s">
        <v>275</v>
      </c>
      <c r="N135" s="895"/>
      <c r="O135" s="895"/>
      <c r="P135" s="895"/>
      <c r="Q135" s="896"/>
      <c r="R135" s="894" t="s">
        <v>276</v>
      </c>
      <c r="S135" s="895"/>
      <c r="T135" s="895"/>
      <c r="U135" s="895"/>
      <c r="V135" s="896"/>
      <c r="Z135" s="203"/>
      <c r="AB135" s="158"/>
      <c r="AC135" s="758"/>
      <c r="AD135" s="758"/>
      <c r="AE135" s="758"/>
      <c r="AF135" s="148"/>
      <c r="AG135" s="148"/>
      <c r="AH135" s="758"/>
      <c r="AI135" s="148"/>
      <c r="AJ135" s="148"/>
      <c r="AK135" s="894" t="s">
        <v>275</v>
      </c>
      <c r="AL135" s="895"/>
      <c r="AM135" s="895"/>
      <c r="AN135" s="895"/>
      <c r="AO135" s="896"/>
      <c r="AP135" s="894" t="s">
        <v>276</v>
      </c>
      <c r="AQ135" s="895"/>
      <c r="AR135" s="895"/>
      <c r="AS135" s="895"/>
      <c r="AT135" s="896"/>
      <c r="AX135" s="203"/>
      <c r="AZ135" s="158"/>
      <c r="BA135" s="758"/>
      <c r="BB135" s="758"/>
      <c r="BC135" s="758"/>
      <c r="BD135" s="148"/>
      <c r="BE135" s="148"/>
      <c r="BF135" s="758"/>
      <c r="BG135" s="148"/>
      <c r="BH135" s="148"/>
      <c r="BI135" s="894" t="s">
        <v>275</v>
      </c>
      <c r="BJ135" s="895"/>
      <c r="BK135" s="895"/>
      <c r="BL135" s="895"/>
      <c r="BM135" s="896"/>
      <c r="BN135" s="894" t="s">
        <v>276</v>
      </c>
      <c r="BO135" s="895"/>
      <c r="BP135" s="895"/>
      <c r="BQ135" s="895"/>
      <c r="BR135" s="896"/>
      <c r="BV135" s="203"/>
      <c r="BX135" s="158"/>
      <c r="BY135" s="758"/>
      <c r="BZ135" s="758"/>
      <c r="CA135" s="758"/>
      <c r="CB135" s="148"/>
      <c r="CC135" s="148"/>
      <c r="CD135" s="758"/>
      <c r="CE135" s="148"/>
      <c r="CF135" s="148"/>
      <c r="CG135" s="894" t="s">
        <v>275</v>
      </c>
      <c r="CH135" s="895"/>
      <c r="CI135" s="895"/>
      <c r="CJ135" s="895"/>
      <c r="CK135" s="896"/>
      <c r="CL135" s="894" t="s">
        <v>276</v>
      </c>
      <c r="CM135" s="895"/>
      <c r="CN135" s="895"/>
      <c r="CO135" s="895"/>
      <c r="CP135" s="896"/>
      <c r="CT135" s="203"/>
      <c r="CV135" s="158"/>
      <c r="CW135" s="758"/>
      <c r="CX135" s="758"/>
      <c r="CY135" s="758"/>
      <c r="CZ135" s="148"/>
      <c r="DA135" s="148"/>
      <c r="DB135" s="758"/>
      <c r="DC135" s="148"/>
      <c r="DD135" s="148"/>
      <c r="DE135" s="894" t="s">
        <v>275</v>
      </c>
      <c r="DF135" s="895"/>
      <c r="DG135" s="895"/>
      <c r="DH135" s="895"/>
      <c r="DI135" s="896"/>
      <c r="DJ135" s="894" t="s">
        <v>276</v>
      </c>
      <c r="DK135" s="895"/>
      <c r="DL135" s="895"/>
      <c r="DM135" s="895"/>
      <c r="DN135" s="896"/>
    </row>
    <row r="136" spans="2:118" ht="51" x14ac:dyDescent="0.3">
      <c r="B136" s="204" t="s">
        <v>277</v>
      </c>
      <c r="C136" s="205" t="s">
        <v>303</v>
      </c>
      <c r="D136" s="205" t="s">
        <v>304</v>
      </c>
      <c r="E136" s="171" t="s">
        <v>675</v>
      </c>
      <c r="F136" s="171" t="s">
        <v>666</v>
      </c>
      <c r="G136" s="171" t="s">
        <v>676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283</v>
      </c>
      <c r="K136" s="171" t="s">
        <v>677</v>
      </c>
      <c r="L136" s="171" t="s">
        <v>678</v>
      </c>
      <c r="M136" s="195" t="s">
        <v>286</v>
      </c>
      <c r="N136" s="171" t="s">
        <v>679</v>
      </c>
      <c r="O136" s="171" t="s">
        <v>288</v>
      </c>
      <c r="P136" s="171" t="s">
        <v>680</v>
      </c>
      <c r="Q136" s="198" t="s">
        <v>290</v>
      </c>
      <c r="R136" s="195" t="s">
        <v>291</v>
      </c>
      <c r="S136" s="171" t="s">
        <v>681</v>
      </c>
      <c r="T136" s="171" t="s">
        <v>293</v>
      </c>
      <c r="U136" s="171" t="s">
        <v>682</v>
      </c>
      <c r="V136" s="198" t="s">
        <v>295</v>
      </c>
      <c r="Z136" s="204" t="s">
        <v>277</v>
      </c>
      <c r="AA136" s="205" t="s">
        <v>303</v>
      </c>
      <c r="AB136" s="205" t="s">
        <v>304</v>
      </c>
      <c r="AC136" s="171" t="s">
        <v>675</v>
      </c>
      <c r="AD136" s="171" t="s">
        <v>666</v>
      </c>
      <c r="AE136" s="171" t="s">
        <v>676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283</v>
      </c>
      <c r="AI136" s="171" t="s">
        <v>677</v>
      </c>
      <c r="AJ136" s="171" t="s">
        <v>678</v>
      </c>
      <c r="AK136" s="195" t="s">
        <v>286</v>
      </c>
      <c r="AL136" s="171" t="s">
        <v>679</v>
      </c>
      <c r="AM136" s="171" t="s">
        <v>288</v>
      </c>
      <c r="AN136" s="171" t="s">
        <v>680</v>
      </c>
      <c r="AO136" s="198" t="s">
        <v>290</v>
      </c>
      <c r="AP136" s="195" t="s">
        <v>291</v>
      </c>
      <c r="AQ136" s="171" t="s">
        <v>681</v>
      </c>
      <c r="AR136" s="171" t="s">
        <v>293</v>
      </c>
      <c r="AS136" s="171" t="s">
        <v>682</v>
      </c>
      <c r="AT136" s="198" t="s">
        <v>295</v>
      </c>
      <c r="AX136" s="204" t="s">
        <v>277</v>
      </c>
      <c r="AY136" s="205" t="s">
        <v>303</v>
      </c>
      <c r="AZ136" s="205" t="s">
        <v>304</v>
      </c>
      <c r="BA136" s="171" t="s">
        <v>675</v>
      </c>
      <c r="BB136" s="171" t="s">
        <v>666</v>
      </c>
      <c r="BC136" s="171" t="s">
        <v>676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283</v>
      </c>
      <c r="BG136" s="171" t="s">
        <v>677</v>
      </c>
      <c r="BH136" s="171" t="s">
        <v>678</v>
      </c>
      <c r="BI136" s="195" t="s">
        <v>286</v>
      </c>
      <c r="BJ136" s="171" t="s">
        <v>679</v>
      </c>
      <c r="BK136" s="171" t="s">
        <v>288</v>
      </c>
      <c r="BL136" s="171" t="s">
        <v>680</v>
      </c>
      <c r="BM136" s="198" t="s">
        <v>290</v>
      </c>
      <c r="BN136" s="195" t="s">
        <v>291</v>
      </c>
      <c r="BO136" s="171" t="s">
        <v>681</v>
      </c>
      <c r="BP136" s="171" t="s">
        <v>293</v>
      </c>
      <c r="BQ136" s="171" t="s">
        <v>682</v>
      </c>
      <c r="BR136" s="198" t="s">
        <v>295</v>
      </c>
      <c r="BV136" s="204" t="s">
        <v>277</v>
      </c>
      <c r="BW136" s="205" t="s">
        <v>303</v>
      </c>
      <c r="BX136" s="205" t="s">
        <v>304</v>
      </c>
      <c r="BY136" s="171" t="s">
        <v>675</v>
      </c>
      <c r="BZ136" s="171" t="s">
        <v>666</v>
      </c>
      <c r="CA136" s="171" t="s">
        <v>676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283</v>
      </c>
      <c r="CE136" s="171" t="s">
        <v>677</v>
      </c>
      <c r="CF136" s="171" t="s">
        <v>678</v>
      </c>
      <c r="CG136" s="195" t="s">
        <v>286</v>
      </c>
      <c r="CH136" s="171" t="s">
        <v>679</v>
      </c>
      <c r="CI136" s="171" t="s">
        <v>288</v>
      </c>
      <c r="CJ136" s="171" t="s">
        <v>680</v>
      </c>
      <c r="CK136" s="198" t="s">
        <v>290</v>
      </c>
      <c r="CL136" s="195" t="s">
        <v>291</v>
      </c>
      <c r="CM136" s="171" t="s">
        <v>681</v>
      </c>
      <c r="CN136" s="171" t="s">
        <v>293</v>
      </c>
      <c r="CO136" s="171" t="s">
        <v>682</v>
      </c>
      <c r="CP136" s="198" t="s">
        <v>295</v>
      </c>
      <c r="CT136" s="204" t="s">
        <v>277</v>
      </c>
      <c r="CU136" s="205" t="s">
        <v>303</v>
      </c>
      <c r="CV136" s="205" t="s">
        <v>304</v>
      </c>
      <c r="CW136" s="171" t="s">
        <v>675</v>
      </c>
      <c r="CX136" s="171" t="s">
        <v>666</v>
      </c>
      <c r="CY136" s="171" t="s">
        <v>676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283</v>
      </c>
      <c r="DC136" s="171" t="s">
        <v>677</v>
      </c>
      <c r="DD136" s="171" t="s">
        <v>678</v>
      </c>
      <c r="DE136" s="195" t="s">
        <v>286</v>
      </c>
      <c r="DF136" s="171" t="s">
        <v>679</v>
      </c>
      <c r="DG136" s="171" t="s">
        <v>288</v>
      </c>
      <c r="DH136" s="171" t="s">
        <v>680</v>
      </c>
      <c r="DI136" s="198" t="s">
        <v>290</v>
      </c>
      <c r="DJ136" s="195" t="s">
        <v>291</v>
      </c>
      <c r="DK136" s="171" t="s">
        <v>681</v>
      </c>
      <c r="DL136" s="171" t="s">
        <v>293</v>
      </c>
      <c r="DM136" s="171" t="s">
        <v>682</v>
      </c>
      <c r="DN136" s="198" t="s">
        <v>295</v>
      </c>
    </row>
    <row r="137" spans="2:118" x14ac:dyDescent="0.3">
      <c r="B137" s="173"/>
      <c r="C137" s="226" t="s">
        <v>341</v>
      </c>
      <c r="D137" s="226" t="s">
        <v>601</v>
      </c>
      <c r="E137" s="201" t="s">
        <v>599</v>
      </c>
      <c r="F137" s="201" t="s">
        <v>599</v>
      </c>
      <c r="G137" s="201" t="s">
        <v>599</v>
      </c>
      <c r="H137" s="201" t="s">
        <v>599</v>
      </c>
      <c r="I137" s="201" t="s">
        <v>599</v>
      </c>
      <c r="J137" s="201" t="s">
        <v>599</v>
      </c>
      <c r="K137" s="201" t="s">
        <v>599</v>
      </c>
      <c r="L137" s="202" t="s">
        <v>599</v>
      </c>
      <c r="M137" s="201" t="s">
        <v>599</v>
      </c>
      <c r="N137" s="201" t="s">
        <v>599</v>
      </c>
      <c r="O137" s="201" t="s">
        <v>599</v>
      </c>
      <c r="P137" s="201" t="s">
        <v>599</v>
      </c>
      <c r="Q137" s="202" t="s">
        <v>599</v>
      </c>
      <c r="R137" s="201" t="s">
        <v>599</v>
      </c>
      <c r="S137" s="201" t="s">
        <v>599</v>
      </c>
      <c r="T137" s="201" t="s">
        <v>599</v>
      </c>
      <c r="U137" s="201" t="s">
        <v>599</v>
      </c>
      <c r="V137" s="202" t="s">
        <v>599</v>
      </c>
      <c r="Z137" s="173"/>
      <c r="AA137" s="226" t="s">
        <v>341</v>
      </c>
      <c r="AB137" s="226" t="s">
        <v>601</v>
      </c>
      <c r="AC137" s="201" t="s">
        <v>599</v>
      </c>
      <c r="AD137" s="201" t="s">
        <v>599</v>
      </c>
      <c r="AE137" s="201" t="s">
        <v>599</v>
      </c>
      <c r="AF137" s="201" t="s">
        <v>599</v>
      </c>
      <c r="AG137" s="201" t="s">
        <v>599</v>
      </c>
      <c r="AH137" s="201" t="s">
        <v>599</v>
      </c>
      <c r="AI137" s="201" t="s">
        <v>599</v>
      </c>
      <c r="AJ137" s="202" t="s">
        <v>599</v>
      </c>
      <c r="AK137" s="201" t="s">
        <v>599</v>
      </c>
      <c r="AL137" s="201" t="s">
        <v>599</v>
      </c>
      <c r="AM137" s="201" t="s">
        <v>599</v>
      </c>
      <c r="AN137" s="201" t="s">
        <v>599</v>
      </c>
      <c r="AO137" s="202" t="s">
        <v>599</v>
      </c>
      <c r="AP137" s="201" t="s">
        <v>599</v>
      </c>
      <c r="AQ137" s="201" t="s">
        <v>599</v>
      </c>
      <c r="AR137" s="201" t="s">
        <v>599</v>
      </c>
      <c r="AS137" s="201" t="s">
        <v>599</v>
      </c>
      <c r="AT137" s="202" t="s">
        <v>599</v>
      </c>
      <c r="AX137" s="173"/>
      <c r="AY137" s="226" t="s">
        <v>341</v>
      </c>
      <c r="AZ137" s="226" t="s">
        <v>601</v>
      </c>
      <c r="BA137" s="201" t="s">
        <v>599</v>
      </c>
      <c r="BB137" s="201" t="s">
        <v>599</v>
      </c>
      <c r="BC137" s="201" t="s">
        <v>599</v>
      </c>
      <c r="BD137" s="201" t="s">
        <v>599</v>
      </c>
      <c r="BE137" s="201" t="s">
        <v>599</v>
      </c>
      <c r="BF137" s="201" t="s">
        <v>599</v>
      </c>
      <c r="BG137" s="201" t="s">
        <v>599</v>
      </c>
      <c r="BH137" s="202" t="s">
        <v>599</v>
      </c>
      <c r="BI137" s="201" t="s">
        <v>599</v>
      </c>
      <c r="BJ137" s="201" t="s">
        <v>599</v>
      </c>
      <c r="BK137" s="201" t="s">
        <v>599</v>
      </c>
      <c r="BL137" s="201" t="s">
        <v>599</v>
      </c>
      <c r="BM137" s="202" t="s">
        <v>599</v>
      </c>
      <c r="BN137" s="201" t="s">
        <v>599</v>
      </c>
      <c r="BO137" s="201" t="s">
        <v>599</v>
      </c>
      <c r="BP137" s="201" t="s">
        <v>599</v>
      </c>
      <c r="BQ137" s="201" t="s">
        <v>599</v>
      </c>
      <c r="BR137" s="202" t="s">
        <v>599</v>
      </c>
      <c r="BV137" s="173"/>
      <c r="BW137" s="226" t="s">
        <v>341</v>
      </c>
      <c r="BX137" s="226" t="s">
        <v>601</v>
      </c>
      <c r="BY137" s="201" t="s">
        <v>599</v>
      </c>
      <c r="BZ137" s="201" t="s">
        <v>599</v>
      </c>
      <c r="CA137" s="201" t="s">
        <v>599</v>
      </c>
      <c r="CB137" s="201" t="s">
        <v>599</v>
      </c>
      <c r="CC137" s="201" t="s">
        <v>599</v>
      </c>
      <c r="CD137" s="201" t="s">
        <v>599</v>
      </c>
      <c r="CE137" s="201" t="s">
        <v>599</v>
      </c>
      <c r="CF137" s="202" t="s">
        <v>599</v>
      </c>
      <c r="CG137" s="201" t="s">
        <v>599</v>
      </c>
      <c r="CH137" s="201" t="s">
        <v>599</v>
      </c>
      <c r="CI137" s="201" t="s">
        <v>599</v>
      </c>
      <c r="CJ137" s="201" t="s">
        <v>599</v>
      </c>
      <c r="CK137" s="202" t="s">
        <v>599</v>
      </c>
      <c r="CL137" s="201" t="s">
        <v>599</v>
      </c>
      <c r="CM137" s="201" t="s">
        <v>599</v>
      </c>
      <c r="CN137" s="201" t="s">
        <v>599</v>
      </c>
      <c r="CO137" s="201" t="s">
        <v>599</v>
      </c>
      <c r="CP137" s="202" t="s">
        <v>599</v>
      </c>
      <c r="CT137" s="173"/>
      <c r="CU137" s="226" t="s">
        <v>341</v>
      </c>
      <c r="CV137" s="226" t="s">
        <v>601</v>
      </c>
      <c r="CW137" s="201" t="s">
        <v>599</v>
      </c>
      <c r="CX137" s="201" t="s">
        <v>599</v>
      </c>
      <c r="CY137" s="201" t="s">
        <v>599</v>
      </c>
      <c r="CZ137" s="201" t="s">
        <v>599</v>
      </c>
      <c r="DA137" s="201" t="s">
        <v>599</v>
      </c>
      <c r="DB137" s="201" t="s">
        <v>599</v>
      </c>
      <c r="DC137" s="201" t="s">
        <v>599</v>
      </c>
      <c r="DD137" s="202" t="s">
        <v>599</v>
      </c>
      <c r="DE137" s="201" t="s">
        <v>599</v>
      </c>
      <c r="DF137" s="201" t="s">
        <v>599</v>
      </c>
      <c r="DG137" s="201" t="s">
        <v>599</v>
      </c>
      <c r="DH137" s="201" t="s">
        <v>599</v>
      </c>
      <c r="DI137" s="202" t="s">
        <v>599</v>
      </c>
      <c r="DJ137" s="201" t="s">
        <v>599</v>
      </c>
      <c r="DK137" s="201" t="s">
        <v>599</v>
      </c>
      <c r="DL137" s="201" t="s">
        <v>599</v>
      </c>
      <c r="DM137" s="201" t="s">
        <v>599</v>
      </c>
      <c r="DN137" s="202" t="s">
        <v>599</v>
      </c>
    </row>
    <row r="138" spans="2:118" x14ac:dyDescent="0.3">
      <c r="B138" s="899">
        <v>1</v>
      </c>
      <c r="C138" s="911">
        <f>'Arable Inputs'!$H$18</f>
        <v>8.14</v>
      </c>
      <c r="D138" s="760">
        <f>'Arable Inputs'!$H$25</f>
        <v>182.8</v>
      </c>
      <c r="E138" s="762">
        <f>C138*D138</f>
        <v>1487.9920000000002</v>
      </c>
      <c r="F138" s="197">
        <f>'Arable NPV'!$D117</f>
        <v>175.95</v>
      </c>
      <c r="G138" s="197">
        <f>E138+F138</f>
        <v>1663.9420000000002</v>
      </c>
      <c r="H138" s="197">
        <f>'Arable NPV'!$F117</f>
        <v>574.23049999999989</v>
      </c>
      <c r="I138" s="197">
        <f>'Arable NPV'!$G117</f>
        <v>636.366536</v>
      </c>
      <c r="J138" s="197">
        <f>(H138+I138)*$E$134</f>
        <v>1210.5970359999999</v>
      </c>
      <c r="K138" s="197">
        <f>E138-J138</f>
        <v>277.3949640000003</v>
      </c>
      <c r="L138" s="197">
        <f>G138-J138</f>
        <v>453.34496400000035</v>
      </c>
      <c r="M138" s="196">
        <f>E138/(1+$B$4)^(B138-1)</f>
        <v>1487.9920000000002</v>
      </c>
      <c r="N138" s="197">
        <f>F138/(1+$B$4)^(B138-1)</f>
        <v>175.95</v>
      </c>
      <c r="O138" s="197">
        <f>J138/(1+$B$4)^(B138-1)</f>
        <v>1210.5970359999999</v>
      </c>
      <c r="P138" s="197">
        <f>K138/(1+$B$4)^(B138-1)</f>
        <v>277.3949640000003</v>
      </c>
      <c r="Q138" s="197">
        <f>L138/(1+$B$4)^(B138-1)</f>
        <v>453.34496400000035</v>
      </c>
      <c r="R138" s="196">
        <f>M138</f>
        <v>1487.9920000000002</v>
      </c>
      <c r="S138" s="197">
        <f>N138</f>
        <v>175.95</v>
      </c>
      <c r="T138" s="197">
        <f>O138</f>
        <v>1210.5970359999999</v>
      </c>
      <c r="U138" s="197">
        <f>P138</f>
        <v>277.3949640000003</v>
      </c>
      <c r="V138" s="199">
        <f>Q138</f>
        <v>453.34496400000035</v>
      </c>
      <c r="Z138" s="899">
        <v>1</v>
      </c>
      <c r="AA138" s="911">
        <f>'Arable Inputs'!$H$18</f>
        <v>8.14</v>
      </c>
      <c r="AB138" s="760">
        <f>'Arable Inputs'!$H$25</f>
        <v>182.8</v>
      </c>
      <c r="AC138" s="762">
        <f>AA138*AB138</f>
        <v>1487.9920000000002</v>
      </c>
      <c r="AD138" s="197">
        <f>'Arable NPV'!$D117</f>
        <v>175.95</v>
      </c>
      <c r="AE138" s="197">
        <f>AC138+AD138</f>
        <v>1663.9420000000002</v>
      </c>
      <c r="AF138" s="197">
        <f>'Arable NPV'!$F117</f>
        <v>574.23049999999989</v>
      </c>
      <c r="AG138" s="197">
        <f>'Arable NPV'!$G117</f>
        <v>636.366536</v>
      </c>
      <c r="AH138" s="197">
        <f>(AF138+AG138)*$AC$134</f>
        <v>1815.8955539999997</v>
      </c>
      <c r="AI138" s="197">
        <f>AC138-AH138</f>
        <v>-327.90355399999953</v>
      </c>
      <c r="AJ138" s="197">
        <f>AE138-AH138</f>
        <v>-151.95355399999949</v>
      </c>
      <c r="AK138" s="196">
        <f>AC138/(1+$B$4)^(Z138-1)</f>
        <v>1487.9920000000002</v>
      </c>
      <c r="AL138" s="197">
        <f>AD138/(1+$B$4)^(Z138-1)</f>
        <v>175.95</v>
      </c>
      <c r="AM138" s="197">
        <f>AH138/(1+$B$4)^(Z138-1)</f>
        <v>1815.8955539999997</v>
      </c>
      <c r="AN138" s="197">
        <f>AI138/(1+$B$4)^(Z138-1)</f>
        <v>-327.90355399999953</v>
      </c>
      <c r="AO138" s="197">
        <f>AJ138/(1+$B$4)^(Z138-1)</f>
        <v>-151.95355399999949</v>
      </c>
      <c r="AP138" s="196">
        <f>AK138</f>
        <v>1487.9920000000002</v>
      </c>
      <c r="AQ138" s="197">
        <f>AL138</f>
        <v>175.95</v>
      </c>
      <c r="AR138" s="197">
        <f>AM138</f>
        <v>1815.8955539999997</v>
      </c>
      <c r="AS138" s="197">
        <f>AN138</f>
        <v>-327.90355399999953</v>
      </c>
      <c r="AT138" s="199">
        <f>AO138</f>
        <v>-151.95355399999949</v>
      </c>
      <c r="AX138" s="899">
        <v>1</v>
      </c>
      <c r="AY138" s="911">
        <f>'Arable Inputs'!$H$18</f>
        <v>8.14</v>
      </c>
      <c r="AZ138" s="760">
        <f>'Arable Inputs'!$H$25</f>
        <v>182.8</v>
      </c>
      <c r="BA138" s="762">
        <f>AY138*AZ138</f>
        <v>1487.9920000000002</v>
      </c>
      <c r="BB138" s="197">
        <f>'Arable NPV'!$D117</f>
        <v>175.95</v>
      </c>
      <c r="BC138" s="197">
        <f>BA138+BB138</f>
        <v>1663.9420000000002</v>
      </c>
      <c r="BD138" s="197">
        <f>'Arable NPV'!$F117</f>
        <v>574.23049999999989</v>
      </c>
      <c r="BE138" s="197">
        <f>'Arable NPV'!$G117</f>
        <v>636.366536</v>
      </c>
      <c r="BF138" s="197">
        <f>(BD138+BE138)*$BA$134</f>
        <v>605.29851799999994</v>
      </c>
      <c r="BG138" s="197">
        <f>BA138-BF138</f>
        <v>882.69348200000024</v>
      </c>
      <c r="BH138" s="197">
        <f>BC138-BF138</f>
        <v>1058.6434820000004</v>
      </c>
      <c r="BI138" s="196">
        <f>BA138/(1+$B$4)^(AX138-1)</f>
        <v>1487.9920000000002</v>
      </c>
      <c r="BJ138" s="197">
        <f>BB138/(1+$B$4)^(AX138-1)</f>
        <v>175.95</v>
      </c>
      <c r="BK138" s="197">
        <f>BF138/(1+$B$4)^(AX138-1)</f>
        <v>605.29851799999994</v>
      </c>
      <c r="BL138" s="197">
        <f>BG138/(1+$B$4)^(AX138-1)</f>
        <v>882.69348200000024</v>
      </c>
      <c r="BM138" s="197">
        <f>BH138/(1+$B$4)^(AX138-1)</f>
        <v>1058.6434820000004</v>
      </c>
      <c r="BN138" s="196">
        <f>BI138</f>
        <v>1487.9920000000002</v>
      </c>
      <c r="BO138" s="197">
        <f>BJ138</f>
        <v>175.95</v>
      </c>
      <c r="BP138" s="197">
        <f>BK138</f>
        <v>605.29851799999994</v>
      </c>
      <c r="BQ138" s="197">
        <f>BL138</f>
        <v>882.69348200000024</v>
      </c>
      <c r="BR138" s="199">
        <f>BM138</f>
        <v>1058.6434820000004</v>
      </c>
      <c r="BV138" s="899">
        <v>1</v>
      </c>
      <c r="BW138" s="911">
        <f>'Arable Inputs'!$H$18</f>
        <v>8.14</v>
      </c>
      <c r="BX138" s="760">
        <f>'Arable Inputs'!$H$25</f>
        <v>182.8</v>
      </c>
      <c r="BY138" s="762">
        <f>BW138*BX138</f>
        <v>1487.9920000000002</v>
      </c>
      <c r="BZ138" s="197">
        <f>'Arable NPV'!$D117</f>
        <v>175.95</v>
      </c>
      <c r="CA138" s="197">
        <f>BY138+BZ138</f>
        <v>1663.9420000000002</v>
      </c>
      <c r="CB138" s="197">
        <f>'Arable NPV'!$F117</f>
        <v>574.23049999999989</v>
      </c>
      <c r="CC138" s="197">
        <f>'Arable NPV'!$G117</f>
        <v>636.366536</v>
      </c>
      <c r="CD138" s="197">
        <f>(CB138+CC138)*$BY$134</f>
        <v>2421.1940719999998</v>
      </c>
      <c r="CE138" s="197">
        <f>BY138-CD138</f>
        <v>-933.20207199999959</v>
      </c>
      <c r="CF138" s="197">
        <f>CA138-CD138</f>
        <v>-757.25207199999954</v>
      </c>
      <c r="CG138" s="196">
        <f>BY138/(1+$B$4)^(BV138-1)</f>
        <v>1487.9920000000002</v>
      </c>
      <c r="CH138" s="197">
        <f>BZ138/(1+$B$4)^(BV138-1)</f>
        <v>175.95</v>
      </c>
      <c r="CI138" s="197">
        <f>CD138/(1+$B$4)^(BV138-1)</f>
        <v>2421.1940719999998</v>
      </c>
      <c r="CJ138" s="197">
        <f>CE138/(1+$B$4)^(BV138-1)</f>
        <v>-933.20207199999959</v>
      </c>
      <c r="CK138" s="197">
        <f>CF138/(1+$B$4)^(BV138-1)</f>
        <v>-757.25207199999954</v>
      </c>
      <c r="CL138" s="196">
        <f>CG138</f>
        <v>1487.9920000000002</v>
      </c>
      <c r="CM138" s="197">
        <f>CH138</f>
        <v>175.95</v>
      </c>
      <c r="CN138" s="197">
        <f>CI138</f>
        <v>2421.1940719999998</v>
      </c>
      <c r="CO138" s="197">
        <f>CJ138</f>
        <v>-933.20207199999959</v>
      </c>
      <c r="CP138" s="199">
        <f>CK138</f>
        <v>-757.25207199999954</v>
      </c>
      <c r="CT138" s="899">
        <v>1</v>
      </c>
      <c r="CU138" s="911">
        <f>'Arable Inputs'!$H$18</f>
        <v>8.14</v>
      </c>
      <c r="CV138" s="760">
        <f>'Arable Inputs'!$H$25</f>
        <v>182.8</v>
      </c>
      <c r="CW138" s="762">
        <f>CU138*CV138</f>
        <v>1487.9920000000002</v>
      </c>
      <c r="CX138" s="197">
        <f>'Arable NPV'!$D117</f>
        <v>175.95</v>
      </c>
      <c r="CY138" s="197">
        <f>CW138+CX138</f>
        <v>1663.9420000000002</v>
      </c>
      <c r="CZ138" s="197">
        <f>'Arable NPV'!$F117</f>
        <v>574.23049999999989</v>
      </c>
      <c r="DA138" s="197">
        <f>'Arable NPV'!$G117</f>
        <v>636.366536</v>
      </c>
      <c r="DB138" s="197">
        <f>(CZ138+DA138)*$CW$134</f>
        <v>0</v>
      </c>
      <c r="DC138" s="197">
        <f>CW138-DB138</f>
        <v>1487.9920000000002</v>
      </c>
      <c r="DD138" s="197">
        <f>CY138-DB138</f>
        <v>1663.9420000000002</v>
      </c>
      <c r="DE138" s="196">
        <f>CW138/(1+$B$4)^(CT138-1)</f>
        <v>1487.9920000000002</v>
      </c>
      <c r="DF138" s="197">
        <f>CX138/(1+$B$4)^(CT138-1)</f>
        <v>175.95</v>
      </c>
      <c r="DG138" s="197">
        <f>DB138/(1+$B$4)^(CT138-1)</f>
        <v>0</v>
      </c>
      <c r="DH138" s="197">
        <f>DC138/(1+$B$4)^(CT138-1)</f>
        <v>1487.9920000000002</v>
      </c>
      <c r="DI138" s="197">
        <f>DD138/(1+$B$4)^(CT138-1)</f>
        <v>1663.9420000000002</v>
      </c>
      <c r="DJ138" s="196">
        <f>DE138</f>
        <v>1487.9920000000002</v>
      </c>
      <c r="DK138" s="197">
        <f>DF138</f>
        <v>175.95</v>
      </c>
      <c r="DL138" s="197">
        <f>DG138</f>
        <v>0</v>
      </c>
      <c r="DM138" s="197">
        <f>DH138</f>
        <v>1487.9920000000002</v>
      </c>
      <c r="DN138" s="199">
        <f>DI138</f>
        <v>1663.9420000000002</v>
      </c>
    </row>
    <row r="139" spans="2:118" x14ac:dyDescent="0.3">
      <c r="B139" s="900">
        <v>2</v>
      </c>
      <c r="C139" s="911">
        <f>'Arable Inputs'!$H$18</f>
        <v>8.14</v>
      </c>
      <c r="D139" s="760">
        <f>'Arable Inputs'!$H$25</f>
        <v>182.8</v>
      </c>
      <c r="E139" s="762">
        <f t="shared" ref="E139:E153" si="347">C139*D139</f>
        <v>1487.9920000000002</v>
      </c>
      <c r="F139" s="197">
        <f>'Arable NPV'!$D118</f>
        <v>175.95</v>
      </c>
      <c r="G139" s="197">
        <f>E139+F139</f>
        <v>1663.9420000000002</v>
      </c>
      <c r="H139" s="197">
        <f>'Arable NPV'!$F118</f>
        <v>574.23049999999989</v>
      </c>
      <c r="I139" s="197">
        <f>'Arable NPV'!$G118</f>
        <v>636.366536</v>
      </c>
      <c r="J139" s="197">
        <f t="shared" ref="J139:J153" si="348">(H139+I139)*$E$134</f>
        <v>1210.5970359999999</v>
      </c>
      <c r="K139" s="197">
        <f t="shared" ref="K139:K153" si="349">E139-J139</f>
        <v>277.3949640000003</v>
      </c>
      <c r="L139" s="197">
        <f t="shared" ref="L139:L153" si="350">G139-J139</f>
        <v>453.34496400000035</v>
      </c>
      <c r="M139" s="196">
        <f t="shared" ref="M139:M153" si="351">E139/(1+$B$4)^(B139-1)</f>
        <v>1430.7615384615385</v>
      </c>
      <c r="N139" s="197">
        <f t="shared" ref="N139:N153" si="352">F139/(1+$B$4)^(B139-1)</f>
        <v>169.18269230769229</v>
      </c>
      <c r="O139" s="197">
        <f t="shared" ref="O139:O152" si="353">J139/(1+$B$4)^(B139-1)</f>
        <v>1164.0356115384614</v>
      </c>
      <c r="P139" s="197">
        <f t="shared" ref="P139:P152" si="354">K139/(1+$B$4)^(B139-1)</f>
        <v>266.72592692307722</v>
      </c>
      <c r="Q139" s="197">
        <f t="shared" ref="Q139:Q152" si="355">L139/(1+$B$4)^(B139-1)</f>
        <v>435.90861923076955</v>
      </c>
      <c r="R139" s="196">
        <f t="shared" ref="R139:V153" si="356">R138+M139</f>
        <v>2918.7535384615385</v>
      </c>
      <c r="S139" s="197">
        <f t="shared" si="356"/>
        <v>345.13269230769231</v>
      </c>
      <c r="T139" s="197">
        <f t="shared" si="356"/>
        <v>2374.6326475384612</v>
      </c>
      <c r="U139" s="197">
        <f t="shared" si="356"/>
        <v>544.12089092307747</v>
      </c>
      <c r="V139" s="199">
        <f t="shared" si="356"/>
        <v>889.25358323076989</v>
      </c>
      <c r="Z139" s="900">
        <v>2</v>
      </c>
      <c r="AA139" s="911">
        <f>'Arable Inputs'!$H$18</f>
        <v>8.14</v>
      </c>
      <c r="AB139" s="760">
        <f>'Arable Inputs'!$H$25</f>
        <v>182.8</v>
      </c>
      <c r="AC139" s="762">
        <f t="shared" ref="AC139:AC153" si="357">AA139*AB139</f>
        <v>1487.9920000000002</v>
      </c>
      <c r="AD139" s="197">
        <f>'Arable NPV'!$D118</f>
        <v>175.95</v>
      </c>
      <c r="AE139" s="197">
        <f>AC139+AD139</f>
        <v>1663.9420000000002</v>
      </c>
      <c r="AF139" s="197">
        <f>'Arable NPV'!$F118</f>
        <v>574.23049999999989</v>
      </c>
      <c r="AG139" s="197">
        <f>'Arable NPV'!$G118</f>
        <v>636.366536</v>
      </c>
      <c r="AH139" s="197">
        <f t="shared" ref="AH139:AH153" si="358">(AF139+AG139)*$AC$134</f>
        <v>1815.8955539999997</v>
      </c>
      <c r="AI139" s="197">
        <f t="shared" ref="AI139:AI153" si="359">AC139-AH139</f>
        <v>-327.90355399999953</v>
      </c>
      <c r="AJ139" s="197">
        <f t="shared" ref="AJ139:AJ153" si="360">AE139-AH139</f>
        <v>-151.95355399999949</v>
      </c>
      <c r="AK139" s="196">
        <f t="shared" ref="AK139:AK153" si="361">AC139/(1+$B$4)^(Z139-1)</f>
        <v>1430.7615384615385</v>
      </c>
      <c r="AL139" s="197">
        <f t="shared" ref="AL139:AL153" si="362">AD139/(1+$B$4)^(Z139-1)</f>
        <v>169.18269230769229</v>
      </c>
      <c r="AM139" s="197">
        <f t="shared" ref="AM139:AM152" si="363">AH139/(1+$B$4)^(Z139-1)</f>
        <v>1746.0534173076919</v>
      </c>
      <c r="AN139" s="197">
        <f t="shared" ref="AN139:AN152" si="364">AI139/(1+$B$4)^(Z139-1)</f>
        <v>-315.29187884615339</v>
      </c>
      <c r="AO139" s="197">
        <f t="shared" ref="AO139:AO152" si="365">AJ139/(1+$B$4)^(Z139-1)</f>
        <v>-146.10918653846105</v>
      </c>
      <c r="AP139" s="196">
        <f t="shared" ref="AP139:AP153" si="366">AP138+AK139</f>
        <v>2918.7535384615385</v>
      </c>
      <c r="AQ139" s="197">
        <f t="shared" ref="AQ139:AQ153" si="367">AQ138+AL139</f>
        <v>345.13269230769231</v>
      </c>
      <c r="AR139" s="197">
        <f t="shared" ref="AR139:AR153" si="368">AR138+AM139</f>
        <v>3561.9489713076919</v>
      </c>
      <c r="AS139" s="197">
        <f t="shared" ref="AS139:AS153" si="369">AS138+AN139</f>
        <v>-643.19543284615293</v>
      </c>
      <c r="AT139" s="199">
        <f t="shared" ref="AT139:AT153" si="370">AT138+AO139</f>
        <v>-298.0627405384605</v>
      </c>
      <c r="AX139" s="900">
        <v>2</v>
      </c>
      <c r="AY139" s="911">
        <f>'Arable Inputs'!$H$18</f>
        <v>8.14</v>
      </c>
      <c r="AZ139" s="760">
        <f>'Arable Inputs'!$H$25</f>
        <v>182.8</v>
      </c>
      <c r="BA139" s="762">
        <f t="shared" ref="BA139:BA153" si="371">AY139*AZ139</f>
        <v>1487.9920000000002</v>
      </c>
      <c r="BB139" s="197">
        <f>'Arable NPV'!$D118</f>
        <v>175.95</v>
      </c>
      <c r="BC139" s="197">
        <f>BA139+BB139</f>
        <v>1663.9420000000002</v>
      </c>
      <c r="BD139" s="197">
        <f>'Arable NPV'!$F118</f>
        <v>574.23049999999989</v>
      </c>
      <c r="BE139" s="197">
        <f>'Arable NPV'!$G118</f>
        <v>636.366536</v>
      </c>
      <c r="BF139" s="197">
        <f t="shared" ref="BF139:BF153" si="372">(BD139+BE139)*$BA$134</f>
        <v>605.29851799999994</v>
      </c>
      <c r="BG139" s="197">
        <f t="shared" ref="BG139:BG153" si="373">BA139-BF139</f>
        <v>882.69348200000024</v>
      </c>
      <c r="BH139" s="197">
        <f t="shared" ref="BH139:BH153" si="374">BC139-BF139</f>
        <v>1058.6434820000004</v>
      </c>
      <c r="BI139" s="196">
        <f t="shared" ref="BI139:BI153" si="375">BA139/(1+$B$4)^(AX139-1)</f>
        <v>1430.7615384615385</v>
      </c>
      <c r="BJ139" s="197">
        <f t="shared" ref="BJ139:BJ153" si="376">BB139/(1+$B$4)^(AX139-1)</f>
        <v>169.18269230769229</v>
      </c>
      <c r="BK139" s="197">
        <f t="shared" ref="BK139:BK152" si="377">BF139/(1+$B$4)^(AX139-1)</f>
        <v>582.01780576923068</v>
      </c>
      <c r="BL139" s="197">
        <f t="shared" ref="BL139:BL152" si="378">BG139/(1+$B$4)^(AX139-1)</f>
        <v>848.74373269230784</v>
      </c>
      <c r="BM139" s="197">
        <f t="shared" ref="BM139:BM152" si="379">BH139/(1+$B$4)^(AX139-1)</f>
        <v>1017.9264250000003</v>
      </c>
      <c r="BN139" s="196">
        <f t="shared" ref="BN139:BN153" si="380">BN138+BI139</f>
        <v>2918.7535384615385</v>
      </c>
      <c r="BO139" s="197">
        <f t="shared" ref="BO139:BO153" si="381">BO138+BJ139</f>
        <v>345.13269230769231</v>
      </c>
      <c r="BP139" s="197">
        <f t="shared" ref="BP139:BP153" si="382">BP138+BK139</f>
        <v>1187.3163237692306</v>
      </c>
      <c r="BQ139" s="197">
        <f t="shared" ref="BQ139:BQ153" si="383">BQ138+BL139</f>
        <v>1731.4372146923081</v>
      </c>
      <c r="BR139" s="199">
        <f t="shared" ref="BR139:BR153" si="384">BR138+BM139</f>
        <v>2076.569907000001</v>
      </c>
      <c r="BV139" s="900">
        <v>2</v>
      </c>
      <c r="BW139" s="911">
        <f>'Arable Inputs'!$H$18</f>
        <v>8.14</v>
      </c>
      <c r="BX139" s="760">
        <f>'Arable Inputs'!$H$25</f>
        <v>182.8</v>
      </c>
      <c r="BY139" s="762">
        <f t="shared" ref="BY139:BY153" si="385">BW139*BX139</f>
        <v>1487.9920000000002</v>
      </c>
      <c r="BZ139" s="197">
        <f>'Arable NPV'!$D118</f>
        <v>175.95</v>
      </c>
      <c r="CA139" s="197">
        <f>BY139+BZ139</f>
        <v>1663.9420000000002</v>
      </c>
      <c r="CB139" s="197">
        <f>'Arable NPV'!$F118</f>
        <v>574.23049999999989</v>
      </c>
      <c r="CC139" s="197">
        <f>'Arable NPV'!$G118</f>
        <v>636.366536</v>
      </c>
      <c r="CD139" s="197">
        <f t="shared" ref="CD139:CD153" si="386">(CB139+CC139)*$BY$134</f>
        <v>2421.1940719999998</v>
      </c>
      <c r="CE139" s="197">
        <f t="shared" ref="CE139:CE153" si="387">BY139-CD139</f>
        <v>-933.20207199999959</v>
      </c>
      <c r="CF139" s="197">
        <f t="shared" ref="CF139:CF153" si="388">CA139-CD139</f>
        <v>-757.25207199999954</v>
      </c>
      <c r="CG139" s="196">
        <f t="shared" ref="CG139:CG153" si="389">BY139/(1+$B$4)^(BV139-1)</f>
        <v>1430.7615384615385</v>
      </c>
      <c r="CH139" s="197">
        <f t="shared" ref="CH139:CH153" si="390">BZ139/(1+$B$4)^(BV139-1)</f>
        <v>169.18269230769229</v>
      </c>
      <c r="CI139" s="197">
        <f t="shared" ref="CI139:CI152" si="391">CD139/(1+$B$4)^(BV139-1)</f>
        <v>2328.0712230769227</v>
      </c>
      <c r="CJ139" s="197">
        <f t="shared" ref="CJ139:CJ152" si="392">CE139/(1+$B$4)^(BV139-1)</f>
        <v>-897.30968461538419</v>
      </c>
      <c r="CK139" s="197">
        <f t="shared" ref="CK139:CK152" si="393">CF139/(1+$B$4)^(BV139-1)</f>
        <v>-728.12699230769181</v>
      </c>
      <c r="CL139" s="196">
        <f t="shared" ref="CL139:CL153" si="394">CL138+CG139</f>
        <v>2918.7535384615385</v>
      </c>
      <c r="CM139" s="197">
        <f t="shared" ref="CM139:CM153" si="395">CM138+CH139</f>
        <v>345.13269230769231</v>
      </c>
      <c r="CN139" s="197">
        <f t="shared" ref="CN139:CN153" si="396">CN138+CI139</f>
        <v>4749.2652950769225</v>
      </c>
      <c r="CO139" s="197">
        <f t="shared" ref="CO139:CO153" si="397">CO138+CJ139</f>
        <v>-1830.5117566153838</v>
      </c>
      <c r="CP139" s="199">
        <f t="shared" ref="CP139:CP153" si="398">CP138+CK139</f>
        <v>-1485.3790643076914</v>
      </c>
      <c r="CT139" s="900">
        <v>2</v>
      </c>
      <c r="CU139" s="911">
        <f>'Arable Inputs'!$H$18</f>
        <v>8.14</v>
      </c>
      <c r="CV139" s="760">
        <f>'Arable Inputs'!$H$25</f>
        <v>182.8</v>
      </c>
      <c r="CW139" s="762">
        <f t="shared" ref="CW139:CW153" si="399">CU139*CV139</f>
        <v>1487.9920000000002</v>
      </c>
      <c r="CX139" s="197">
        <f>'Arable NPV'!$D118</f>
        <v>175.95</v>
      </c>
      <c r="CY139" s="197">
        <f>CW139+CX139</f>
        <v>1663.9420000000002</v>
      </c>
      <c r="CZ139" s="197">
        <f>'Arable NPV'!$F118</f>
        <v>574.23049999999989</v>
      </c>
      <c r="DA139" s="197">
        <f>'Arable NPV'!$G118</f>
        <v>636.366536</v>
      </c>
      <c r="DB139" s="197">
        <f t="shared" ref="DB139:DB153" si="400">(CZ139+DA139)*$CW$134</f>
        <v>0</v>
      </c>
      <c r="DC139" s="197">
        <f t="shared" ref="DC139:DC153" si="401">CW139-DB139</f>
        <v>1487.9920000000002</v>
      </c>
      <c r="DD139" s="197">
        <f t="shared" ref="DD139:DD153" si="402">CY139-DB139</f>
        <v>1663.9420000000002</v>
      </c>
      <c r="DE139" s="196">
        <f t="shared" ref="DE139:DE153" si="403">CW139/(1+$B$4)^(CT139-1)</f>
        <v>1430.7615384615385</v>
      </c>
      <c r="DF139" s="197">
        <f t="shared" ref="DF139:DF153" si="404">CX139/(1+$B$4)^(CT139-1)</f>
        <v>169.18269230769229</v>
      </c>
      <c r="DG139" s="197">
        <f t="shared" ref="DG139:DG152" si="405">DB139/(1+$B$4)^(CT139-1)</f>
        <v>0</v>
      </c>
      <c r="DH139" s="197">
        <f t="shared" ref="DH139:DH152" si="406">DC139/(1+$B$4)^(CT139-1)</f>
        <v>1430.7615384615385</v>
      </c>
      <c r="DI139" s="197">
        <f t="shared" ref="DI139:DI152" si="407">DD139/(1+$B$4)^(CT139-1)</f>
        <v>1599.9442307692309</v>
      </c>
      <c r="DJ139" s="196">
        <f t="shared" ref="DJ139:DJ153" si="408">DJ138+DE139</f>
        <v>2918.7535384615385</v>
      </c>
      <c r="DK139" s="197">
        <f t="shared" ref="DK139:DK153" si="409">DK138+DF139</f>
        <v>345.13269230769231</v>
      </c>
      <c r="DL139" s="197">
        <f t="shared" ref="DL139:DL153" si="410">DL138+DG139</f>
        <v>0</v>
      </c>
      <c r="DM139" s="197">
        <f t="shared" ref="DM139:DM153" si="411">DM138+DH139</f>
        <v>2918.7535384615385</v>
      </c>
      <c r="DN139" s="199">
        <f t="shared" ref="DN139:DN153" si="412">DN138+DI139</f>
        <v>3263.8862307692311</v>
      </c>
    </row>
    <row r="140" spans="2:118" x14ac:dyDescent="0.3">
      <c r="B140" s="900">
        <v>3</v>
      </c>
      <c r="C140" s="911">
        <f>'Arable Inputs'!$H$18</f>
        <v>8.14</v>
      </c>
      <c r="D140" s="760">
        <f>'Arable Inputs'!$H$25</f>
        <v>182.8</v>
      </c>
      <c r="E140" s="762">
        <f t="shared" si="347"/>
        <v>1487.9920000000002</v>
      </c>
      <c r="F140" s="197">
        <f>'Arable NPV'!$D119</f>
        <v>175.95</v>
      </c>
      <c r="G140" s="197">
        <f t="shared" ref="G140:G152" si="413">E140+F140</f>
        <v>1663.9420000000002</v>
      </c>
      <c r="H140" s="197">
        <f>'Arable NPV'!$F119</f>
        <v>574.23049999999989</v>
      </c>
      <c r="I140" s="197">
        <f>'Arable NPV'!$G119</f>
        <v>636.366536</v>
      </c>
      <c r="J140" s="197">
        <f t="shared" si="348"/>
        <v>1210.5970359999999</v>
      </c>
      <c r="K140" s="197">
        <f t="shared" si="349"/>
        <v>277.3949640000003</v>
      </c>
      <c r="L140" s="197">
        <f t="shared" si="350"/>
        <v>453.34496400000035</v>
      </c>
      <c r="M140" s="196">
        <f t="shared" si="351"/>
        <v>1375.7322485207101</v>
      </c>
      <c r="N140" s="197">
        <f t="shared" si="352"/>
        <v>162.67566568047334</v>
      </c>
      <c r="O140" s="197">
        <f t="shared" si="353"/>
        <v>1119.2650110946743</v>
      </c>
      <c r="P140" s="197">
        <f t="shared" si="354"/>
        <v>256.46723742603575</v>
      </c>
      <c r="Q140" s="197">
        <f t="shared" si="355"/>
        <v>419.14290310650915</v>
      </c>
      <c r="R140" s="196">
        <f t="shared" si="356"/>
        <v>4294.4857869822481</v>
      </c>
      <c r="S140" s="197">
        <f t="shared" si="356"/>
        <v>507.80835798816565</v>
      </c>
      <c r="T140" s="197">
        <f t="shared" si="356"/>
        <v>3493.8976586331355</v>
      </c>
      <c r="U140" s="197">
        <f t="shared" si="356"/>
        <v>800.58812834911328</v>
      </c>
      <c r="V140" s="199">
        <f t="shared" si="356"/>
        <v>1308.3964863372789</v>
      </c>
      <c r="Z140" s="900">
        <v>3</v>
      </c>
      <c r="AA140" s="911">
        <f>'Arable Inputs'!$H$18</f>
        <v>8.14</v>
      </c>
      <c r="AB140" s="760">
        <f>'Arable Inputs'!$H$25</f>
        <v>182.8</v>
      </c>
      <c r="AC140" s="762">
        <f t="shared" si="357"/>
        <v>1487.9920000000002</v>
      </c>
      <c r="AD140" s="197">
        <f>'Arable NPV'!$D119</f>
        <v>175.95</v>
      </c>
      <c r="AE140" s="197">
        <f t="shared" ref="AE140:AE152" si="414">AC140+AD140</f>
        <v>1663.9420000000002</v>
      </c>
      <c r="AF140" s="197">
        <f>'Arable NPV'!$F119</f>
        <v>574.23049999999989</v>
      </c>
      <c r="AG140" s="197">
        <f>'Arable NPV'!$G119</f>
        <v>636.366536</v>
      </c>
      <c r="AH140" s="197">
        <f t="shared" si="358"/>
        <v>1815.8955539999997</v>
      </c>
      <c r="AI140" s="197">
        <f t="shared" si="359"/>
        <v>-327.90355399999953</v>
      </c>
      <c r="AJ140" s="197">
        <f t="shared" si="360"/>
        <v>-151.95355399999949</v>
      </c>
      <c r="AK140" s="196">
        <f t="shared" si="361"/>
        <v>1375.7322485207101</v>
      </c>
      <c r="AL140" s="197">
        <f t="shared" si="362"/>
        <v>162.67566568047334</v>
      </c>
      <c r="AM140" s="197">
        <f t="shared" si="363"/>
        <v>1678.8975166420114</v>
      </c>
      <c r="AN140" s="197">
        <f t="shared" si="364"/>
        <v>-303.16526812130132</v>
      </c>
      <c r="AO140" s="197">
        <f t="shared" si="365"/>
        <v>-140.48960244082792</v>
      </c>
      <c r="AP140" s="196">
        <f t="shared" si="366"/>
        <v>4294.4857869822481</v>
      </c>
      <c r="AQ140" s="197">
        <f t="shared" si="367"/>
        <v>507.80835798816565</v>
      </c>
      <c r="AR140" s="197">
        <f t="shared" si="368"/>
        <v>5240.8464879497033</v>
      </c>
      <c r="AS140" s="197">
        <f t="shared" si="369"/>
        <v>-946.36070096745425</v>
      </c>
      <c r="AT140" s="199">
        <f t="shared" si="370"/>
        <v>-438.55234297928843</v>
      </c>
      <c r="AX140" s="900">
        <v>3</v>
      </c>
      <c r="AY140" s="911">
        <f>'Arable Inputs'!$H$18</f>
        <v>8.14</v>
      </c>
      <c r="AZ140" s="760">
        <f>'Arable Inputs'!$H$25</f>
        <v>182.8</v>
      </c>
      <c r="BA140" s="762">
        <f t="shared" si="371"/>
        <v>1487.9920000000002</v>
      </c>
      <c r="BB140" s="197">
        <f>'Arable NPV'!$D119</f>
        <v>175.95</v>
      </c>
      <c r="BC140" s="197">
        <f t="shared" ref="BC140:BC152" si="415">BA140+BB140</f>
        <v>1663.9420000000002</v>
      </c>
      <c r="BD140" s="197">
        <f>'Arable NPV'!$F119</f>
        <v>574.23049999999989</v>
      </c>
      <c r="BE140" s="197">
        <f>'Arable NPV'!$G119</f>
        <v>636.366536</v>
      </c>
      <c r="BF140" s="197">
        <f t="shared" si="372"/>
        <v>605.29851799999994</v>
      </c>
      <c r="BG140" s="197">
        <f t="shared" si="373"/>
        <v>882.69348200000024</v>
      </c>
      <c r="BH140" s="197">
        <f t="shared" si="374"/>
        <v>1058.6434820000004</v>
      </c>
      <c r="BI140" s="196">
        <f t="shared" si="375"/>
        <v>1375.7322485207101</v>
      </c>
      <c r="BJ140" s="197">
        <f t="shared" si="376"/>
        <v>162.67566568047334</v>
      </c>
      <c r="BK140" s="197">
        <f t="shared" si="377"/>
        <v>559.63250554733713</v>
      </c>
      <c r="BL140" s="197">
        <f t="shared" si="378"/>
        <v>816.09974297337294</v>
      </c>
      <c r="BM140" s="197">
        <f t="shared" si="379"/>
        <v>978.7754086538464</v>
      </c>
      <c r="BN140" s="196">
        <f t="shared" si="380"/>
        <v>4294.4857869822481</v>
      </c>
      <c r="BO140" s="197">
        <f t="shared" si="381"/>
        <v>507.80835798816565</v>
      </c>
      <c r="BP140" s="197">
        <f t="shared" si="382"/>
        <v>1746.9488293165678</v>
      </c>
      <c r="BQ140" s="197">
        <f t="shared" si="383"/>
        <v>2547.5369576656813</v>
      </c>
      <c r="BR140" s="199">
        <f t="shared" si="384"/>
        <v>3055.3453156538471</v>
      </c>
      <c r="BV140" s="900">
        <v>3</v>
      </c>
      <c r="BW140" s="911">
        <f>'Arable Inputs'!$H$18</f>
        <v>8.14</v>
      </c>
      <c r="BX140" s="760">
        <f>'Arable Inputs'!$H$25</f>
        <v>182.8</v>
      </c>
      <c r="BY140" s="762">
        <f t="shared" si="385"/>
        <v>1487.9920000000002</v>
      </c>
      <c r="BZ140" s="197">
        <f>'Arable NPV'!$D119</f>
        <v>175.95</v>
      </c>
      <c r="CA140" s="197">
        <f t="shared" ref="CA140:CA152" si="416">BY140+BZ140</f>
        <v>1663.9420000000002</v>
      </c>
      <c r="CB140" s="197">
        <f>'Arable NPV'!$F119</f>
        <v>574.23049999999989</v>
      </c>
      <c r="CC140" s="197">
        <f>'Arable NPV'!$G119</f>
        <v>636.366536</v>
      </c>
      <c r="CD140" s="197">
        <f t="shared" si="386"/>
        <v>2421.1940719999998</v>
      </c>
      <c r="CE140" s="197">
        <f t="shared" si="387"/>
        <v>-933.20207199999959</v>
      </c>
      <c r="CF140" s="197">
        <f t="shared" si="388"/>
        <v>-757.25207199999954</v>
      </c>
      <c r="CG140" s="196">
        <f t="shared" si="389"/>
        <v>1375.7322485207101</v>
      </c>
      <c r="CH140" s="197">
        <f t="shared" si="390"/>
        <v>162.67566568047334</v>
      </c>
      <c r="CI140" s="197">
        <f t="shared" si="391"/>
        <v>2238.5300221893485</v>
      </c>
      <c r="CJ140" s="197">
        <f t="shared" si="392"/>
        <v>-862.79777366863857</v>
      </c>
      <c r="CK140" s="197">
        <f t="shared" si="393"/>
        <v>-700.12210798816523</v>
      </c>
      <c r="CL140" s="196">
        <f t="shared" si="394"/>
        <v>4294.4857869822481</v>
      </c>
      <c r="CM140" s="197">
        <f t="shared" si="395"/>
        <v>507.80835798816565</v>
      </c>
      <c r="CN140" s="197">
        <f t="shared" si="396"/>
        <v>6987.795317266271</v>
      </c>
      <c r="CO140" s="197">
        <f t="shared" si="397"/>
        <v>-2693.3095302840225</v>
      </c>
      <c r="CP140" s="199">
        <f t="shared" si="398"/>
        <v>-2185.5011722958566</v>
      </c>
      <c r="CT140" s="900">
        <v>3</v>
      </c>
      <c r="CU140" s="911">
        <f>'Arable Inputs'!$H$18</f>
        <v>8.14</v>
      </c>
      <c r="CV140" s="760">
        <f>'Arable Inputs'!$H$25</f>
        <v>182.8</v>
      </c>
      <c r="CW140" s="762">
        <f t="shared" si="399"/>
        <v>1487.9920000000002</v>
      </c>
      <c r="CX140" s="197">
        <f>'Arable NPV'!$D119</f>
        <v>175.95</v>
      </c>
      <c r="CY140" s="197">
        <f t="shared" ref="CY140:CY152" si="417">CW140+CX140</f>
        <v>1663.9420000000002</v>
      </c>
      <c r="CZ140" s="197">
        <f>'Arable NPV'!$F119</f>
        <v>574.23049999999989</v>
      </c>
      <c r="DA140" s="197">
        <f>'Arable NPV'!$G119</f>
        <v>636.366536</v>
      </c>
      <c r="DB140" s="197">
        <f t="shared" si="400"/>
        <v>0</v>
      </c>
      <c r="DC140" s="197">
        <f t="shared" si="401"/>
        <v>1487.9920000000002</v>
      </c>
      <c r="DD140" s="197">
        <f t="shared" si="402"/>
        <v>1663.9420000000002</v>
      </c>
      <c r="DE140" s="196">
        <f t="shared" si="403"/>
        <v>1375.7322485207101</v>
      </c>
      <c r="DF140" s="197">
        <f t="shared" si="404"/>
        <v>162.67566568047334</v>
      </c>
      <c r="DG140" s="197">
        <f t="shared" si="405"/>
        <v>0</v>
      </c>
      <c r="DH140" s="197">
        <f t="shared" si="406"/>
        <v>1375.7322485207101</v>
      </c>
      <c r="DI140" s="197">
        <f t="shared" si="407"/>
        <v>1538.4079142011835</v>
      </c>
      <c r="DJ140" s="196">
        <f t="shared" si="408"/>
        <v>4294.4857869822481</v>
      </c>
      <c r="DK140" s="197">
        <f t="shared" si="409"/>
        <v>507.80835798816565</v>
      </c>
      <c r="DL140" s="197">
        <f t="shared" si="410"/>
        <v>0</v>
      </c>
      <c r="DM140" s="197">
        <f t="shared" si="411"/>
        <v>4294.4857869822481</v>
      </c>
      <c r="DN140" s="199">
        <f t="shared" si="412"/>
        <v>4802.2941449704149</v>
      </c>
    </row>
    <row r="141" spans="2:118" x14ac:dyDescent="0.3">
      <c r="B141" s="900">
        <v>4</v>
      </c>
      <c r="C141" s="911">
        <f>'Arable Inputs'!$H$18</f>
        <v>8.14</v>
      </c>
      <c r="D141" s="760">
        <f>'Arable Inputs'!$H$25</f>
        <v>182.8</v>
      </c>
      <c r="E141" s="762">
        <f t="shared" si="347"/>
        <v>1487.9920000000002</v>
      </c>
      <c r="F141" s="197">
        <f>'Arable NPV'!$D120</f>
        <v>175.95</v>
      </c>
      <c r="G141" s="197">
        <f t="shared" si="413"/>
        <v>1663.9420000000002</v>
      </c>
      <c r="H141" s="197">
        <f>'Arable NPV'!$F120</f>
        <v>574.23049999999989</v>
      </c>
      <c r="I141" s="197">
        <f>'Arable NPV'!$G120</f>
        <v>636.366536</v>
      </c>
      <c r="J141" s="197">
        <f t="shared" si="348"/>
        <v>1210.5970359999999</v>
      </c>
      <c r="K141" s="197">
        <f t="shared" si="349"/>
        <v>277.3949640000003</v>
      </c>
      <c r="L141" s="197">
        <f t="shared" si="350"/>
        <v>453.34496400000035</v>
      </c>
      <c r="M141" s="196">
        <f t="shared" si="351"/>
        <v>1322.819469731452</v>
      </c>
      <c r="N141" s="197">
        <f t="shared" si="352"/>
        <v>156.41890930814745</v>
      </c>
      <c r="O141" s="197">
        <f t="shared" si="353"/>
        <v>1076.2163568218023</v>
      </c>
      <c r="P141" s="197">
        <f t="shared" si="354"/>
        <v>246.60311290964978</v>
      </c>
      <c r="Q141" s="197">
        <f t="shared" si="355"/>
        <v>403.02202221779726</v>
      </c>
      <c r="R141" s="196">
        <f t="shared" si="356"/>
        <v>5617.3052567137001</v>
      </c>
      <c r="S141" s="197">
        <f t="shared" si="356"/>
        <v>664.22726729631313</v>
      </c>
      <c r="T141" s="197">
        <f t="shared" si="356"/>
        <v>4570.1140154549375</v>
      </c>
      <c r="U141" s="197">
        <f t="shared" si="356"/>
        <v>1047.1912412587631</v>
      </c>
      <c r="V141" s="199">
        <f t="shared" si="356"/>
        <v>1711.4185085550762</v>
      </c>
      <c r="Z141" s="900">
        <v>4</v>
      </c>
      <c r="AA141" s="911">
        <f>'Arable Inputs'!$H$18</f>
        <v>8.14</v>
      </c>
      <c r="AB141" s="760">
        <f>'Arable Inputs'!$H$25</f>
        <v>182.8</v>
      </c>
      <c r="AC141" s="762">
        <f t="shared" si="357"/>
        <v>1487.9920000000002</v>
      </c>
      <c r="AD141" s="197">
        <f>'Arable NPV'!$D120</f>
        <v>175.95</v>
      </c>
      <c r="AE141" s="197">
        <f t="shared" si="414"/>
        <v>1663.9420000000002</v>
      </c>
      <c r="AF141" s="197">
        <f>'Arable NPV'!$F120</f>
        <v>574.23049999999989</v>
      </c>
      <c r="AG141" s="197">
        <f>'Arable NPV'!$G120</f>
        <v>636.366536</v>
      </c>
      <c r="AH141" s="197">
        <f t="shared" si="358"/>
        <v>1815.8955539999997</v>
      </c>
      <c r="AI141" s="197">
        <f t="shared" si="359"/>
        <v>-327.90355399999953</v>
      </c>
      <c r="AJ141" s="197">
        <f t="shared" si="360"/>
        <v>-151.95355399999949</v>
      </c>
      <c r="AK141" s="196">
        <f t="shared" si="361"/>
        <v>1322.819469731452</v>
      </c>
      <c r="AL141" s="197">
        <f t="shared" si="362"/>
        <v>156.41890930814745</v>
      </c>
      <c r="AM141" s="197">
        <f t="shared" si="363"/>
        <v>1614.3245352327033</v>
      </c>
      <c r="AN141" s="197">
        <f t="shared" si="364"/>
        <v>-291.50506550125129</v>
      </c>
      <c r="AO141" s="197">
        <f t="shared" si="365"/>
        <v>-135.08615619310376</v>
      </c>
      <c r="AP141" s="196">
        <f t="shared" si="366"/>
        <v>5617.3052567137001</v>
      </c>
      <c r="AQ141" s="197">
        <f t="shared" si="367"/>
        <v>664.22726729631313</v>
      </c>
      <c r="AR141" s="197">
        <f t="shared" si="368"/>
        <v>6855.1710231824063</v>
      </c>
      <c r="AS141" s="197">
        <f t="shared" si="369"/>
        <v>-1237.8657664687055</v>
      </c>
      <c r="AT141" s="199">
        <f t="shared" si="370"/>
        <v>-573.63849917239213</v>
      </c>
      <c r="AX141" s="900">
        <v>4</v>
      </c>
      <c r="AY141" s="911">
        <f>'Arable Inputs'!$H$18</f>
        <v>8.14</v>
      </c>
      <c r="AZ141" s="760">
        <f>'Arable Inputs'!$H$25</f>
        <v>182.8</v>
      </c>
      <c r="BA141" s="762">
        <f t="shared" si="371"/>
        <v>1487.9920000000002</v>
      </c>
      <c r="BB141" s="197">
        <f>'Arable NPV'!$D120</f>
        <v>175.95</v>
      </c>
      <c r="BC141" s="197">
        <f t="shared" si="415"/>
        <v>1663.9420000000002</v>
      </c>
      <c r="BD141" s="197">
        <f>'Arable NPV'!$F120</f>
        <v>574.23049999999989</v>
      </c>
      <c r="BE141" s="197">
        <f>'Arable NPV'!$G120</f>
        <v>636.366536</v>
      </c>
      <c r="BF141" s="197">
        <f t="shared" si="372"/>
        <v>605.29851799999994</v>
      </c>
      <c r="BG141" s="197">
        <f t="shared" si="373"/>
        <v>882.69348200000024</v>
      </c>
      <c r="BH141" s="197">
        <f t="shared" si="374"/>
        <v>1058.6434820000004</v>
      </c>
      <c r="BI141" s="196">
        <f t="shared" si="375"/>
        <v>1322.819469731452</v>
      </c>
      <c r="BJ141" s="197">
        <f t="shared" si="376"/>
        <v>156.41890930814745</v>
      </c>
      <c r="BK141" s="197">
        <f t="shared" si="377"/>
        <v>538.10817841090113</v>
      </c>
      <c r="BL141" s="197">
        <f t="shared" si="378"/>
        <v>784.71129132055091</v>
      </c>
      <c r="BM141" s="197">
        <f t="shared" si="379"/>
        <v>941.1302006286985</v>
      </c>
      <c r="BN141" s="196">
        <f t="shared" si="380"/>
        <v>5617.3052567137001</v>
      </c>
      <c r="BO141" s="197">
        <f t="shared" si="381"/>
        <v>664.22726729631313</v>
      </c>
      <c r="BP141" s="197">
        <f t="shared" si="382"/>
        <v>2285.0570077274688</v>
      </c>
      <c r="BQ141" s="197">
        <f t="shared" si="383"/>
        <v>3332.2482489862323</v>
      </c>
      <c r="BR141" s="199">
        <f t="shared" si="384"/>
        <v>3996.4755162825459</v>
      </c>
      <c r="BV141" s="900">
        <v>4</v>
      </c>
      <c r="BW141" s="911">
        <f>'Arable Inputs'!$H$18</f>
        <v>8.14</v>
      </c>
      <c r="BX141" s="760">
        <f>'Arable Inputs'!$H$25</f>
        <v>182.8</v>
      </c>
      <c r="BY141" s="762">
        <f t="shared" si="385"/>
        <v>1487.9920000000002</v>
      </c>
      <c r="BZ141" s="197">
        <f>'Arable NPV'!$D120</f>
        <v>175.95</v>
      </c>
      <c r="CA141" s="197">
        <f t="shared" si="416"/>
        <v>1663.9420000000002</v>
      </c>
      <c r="CB141" s="197">
        <f>'Arable NPV'!$F120</f>
        <v>574.23049999999989</v>
      </c>
      <c r="CC141" s="197">
        <f>'Arable NPV'!$G120</f>
        <v>636.366536</v>
      </c>
      <c r="CD141" s="197">
        <f t="shared" si="386"/>
        <v>2421.1940719999998</v>
      </c>
      <c r="CE141" s="197">
        <f t="shared" si="387"/>
        <v>-933.20207199999959</v>
      </c>
      <c r="CF141" s="197">
        <f t="shared" si="388"/>
        <v>-757.25207199999954</v>
      </c>
      <c r="CG141" s="196">
        <f t="shared" si="389"/>
        <v>1322.819469731452</v>
      </c>
      <c r="CH141" s="197">
        <f t="shared" si="390"/>
        <v>156.41890930814745</v>
      </c>
      <c r="CI141" s="197">
        <f t="shared" si="391"/>
        <v>2152.4327136436045</v>
      </c>
      <c r="CJ141" s="197">
        <f t="shared" si="392"/>
        <v>-829.61324391215248</v>
      </c>
      <c r="CK141" s="197">
        <f t="shared" si="393"/>
        <v>-673.19433460400501</v>
      </c>
      <c r="CL141" s="196">
        <f t="shared" si="394"/>
        <v>5617.3052567137001</v>
      </c>
      <c r="CM141" s="197">
        <f t="shared" si="395"/>
        <v>664.22726729631313</v>
      </c>
      <c r="CN141" s="197">
        <f t="shared" si="396"/>
        <v>9140.2280309098751</v>
      </c>
      <c r="CO141" s="197">
        <f t="shared" si="397"/>
        <v>-3522.9227741961749</v>
      </c>
      <c r="CP141" s="199">
        <f t="shared" si="398"/>
        <v>-2858.6955068998614</v>
      </c>
      <c r="CT141" s="900">
        <v>4</v>
      </c>
      <c r="CU141" s="911">
        <f>'Arable Inputs'!$H$18</f>
        <v>8.14</v>
      </c>
      <c r="CV141" s="760">
        <f>'Arable Inputs'!$H$25</f>
        <v>182.8</v>
      </c>
      <c r="CW141" s="762">
        <f t="shared" si="399"/>
        <v>1487.9920000000002</v>
      </c>
      <c r="CX141" s="197">
        <f>'Arable NPV'!$D120</f>
        <v>175.95</v>
      </c>
      <c r="CY141" s="197">
        <f t="shared" si="417"/>
        <v>1663.9420000000002</v>
      </c>
      <c r="CZ141" s="197">
        <f>'Arable NPV'!$F120</f>
        <v>574.23049999999989</v>
      </c>
      <c r="DA141" s="197">
        <f>'Arable NPV'!$G120</f>
        <v>636.366536</v>
      </c>
      <c r="DB141" s="197">
        <f t="shared" si="400"/>
        <v>0</v>
      </c>
      <c r="DC141" s="197">
        <f t="shared" si="401"/>
        <v>1487.9920000000002</v>
      </c>
      <c r="DD141" s="197">
        <f t="shared" si="402"/>
        <v>1663.9420000000002</v>
      </c>
      <c r="DE141" s="196">
        <f t="shared" si="403"/>
        <v>1322.819469731452</v>
      </c>
      <c r="DF141" s="197">
        <f t="shared" si="404"/>
        <v>156.41890930814745</v>
      </c>
      <c r="DG141" s="197">
        <f t="shared" si="405"/>
        <v>0</v>
      </c>
      <c r="DH141" s="197">
        <f t="shared" si="406"/>
        <v>1322.819469731452</v>
      </c>
      <c r="DI141" s="197">
        <f t="shared" si="407"/>
        <v>1479.2383790395995</v>
      </c>
      <c r="DJ141" s="196">
        <f t="shared" si="408"/>
        <v>5617.3052567137001</v>
      </c>
      <c r="DK141" s="197">
        <f t="shared" si="409"/>
        <v>664.22726729631313</v>
      </c>
      <c r="DL141" s="197">
        <f t="shared" si="410"/>
        <v>0</v>
      </c>
      <c r="DM141" s="197">
        <f t="shared" si="411"/>
        <v>5617.3052567137001</v>
      </c>
      <c r="DN141" s="199">
        <f t="shared" si="412"/>
        <v>6281.5325240100146</v>
      </c>
    </row>
    <row r="142" spans="2:118" x14ac:dyDescent="0.3">
      <c r="B142" s="900">
        <v>5</v>
      </c>
      <c r="C142" s="911">
        <f>'Arable Inputs'!$H$18</f>
        <v>8.14</v>
      </c>
      <c r="D142" s="760">
        <f>'Arable Inputs'!$H$25</f>
        <v>182.8</v>
      </c>
      <c r="E142" s="762">
        <f t="shared" si="347"/>
        <v>1487.9920000000002</v>
      </c>
      <c r="F142" s="197">
        <f>'Arable NPV'!$D121</f>
        <v>175.95</v>
      </c>
      <c r="G142" s="197">
        <f t="shared" si="413"/>
        <v>1663.9420000000002</v>
      </c>
      <c r="H142" s="197">
        <f>'Arable NPV'!$F121</f>
        <v>574.23049999999989</v>
      </c>
      <c r="I142" s="197">
        <f>'Arable NPV'!$G121</f>
        <v>636.366536</v>
      </c>
      <c r="J142" s="197">
        <f t="shared" si="348"/>
        <v>1210.5970359999999</v>
      </c>
      <c r="K142" s="197">
        <f t="shared" si="349"/>
        <v>277.3949640000003</v>
      </c>
      <c r="L142" s="197">
        <f t="shared" si="350"/>
        <v>453.34496400000035</v>
      </c>
      <c r="M142" s="196">
        <f t="shared" si="351"/>
        <v>1271.9417978187037</v>
      </c>
      <c r="N142" s="197">
        <f t="shared" si="352"/>
        <v>150.40279741168024</v>
      </c>
      <c r="O142" s="197">
        <f t="shared" si="353"/>
        <v>1034.8234200209636</v>
      </c>
      <c r="P142" s="197">
        <f t="shared" si="354"/>
        <v>237.11837779774015</v>
      </c>
      <c r="Q142" s="197">
        <f t="shared" si="355"/>
        <v>387.52117520942039</v>
      </c>
      <c r="R142" s="196">
        <f t="shared" si="356"/>
        <v>6889.247054532404</v>
      </c>
      <c r="S142" s="197">
        <f t="shared" si="356"/>
        <v>814.63006470799337</v>
      </c>
      <c r="T142" s="197">
        <f t="shared" si="356"/>
        <v>5604.9374354759011</v>
      </c>
      <c r="U142" s="197">
        <f t="shared" si="356"/>
        <v>1284.3096190565032</v>
      </c>
      <c r="V142" s="199">
        <f t="shared" si="356"/>
        <v>2098.9396837644967</v>
      </c>
      <c r="Z142" s="900">
        <v>5</v>
      </c>
      <c r="AA142" s="911">
        <f>'Arable Inputs'!$H$18</f>
        <v>8.14</v>
      </c>
      <c r="AB142" s="760">
        <f>'Arable Inputs'!$H$25</f>
        <v>182.8</v>
      </c>
      <c r="AC142" s="762">
        <f t="shared" si="357"/>
        <v>1487.9920000000002</v>
      </c>
      <c r="AD142" s="197">
        <f>'Arable NPV'!$D121</f>
        <v>175.95</v>
      </c>
      <c r="AE142" s="197">
        <f t="shared" si="414"/>
        <v>1663.9420000000002</v>
      </c>
      <c r="AF142" s="197">
        <f>'Arable NPV'!$F121</f>
        <v>574.23049999999989</v>
      </c>
      <c r="AG142" s="197">
        <f>'Arable NPV'!$G121</f>
        <v>636.366536</v>
      </c>
      <c r="AH142" s="197">
        <f t="shared" si="358"/>
        <v>1815.8955539999997</v>
      </c>
      <c r="AI142" s="197">
        <f t="shared" si="359"/>
        <v>-327.90355399999953</v>
      </c>
      <c r="AJ142" s="197">
        <f t="shared" si="360"/>
        <v>-151.95355399999949</v>
      </c>
      <c r="AK142" s="196">
        <f t="shared" si="361"/>
        <v>1271.9417978187037</v>
      </c>
      <c r="AL142" s="197">
        <f t="shared" si="362"/>
        <v>150.40279741168024</v>
      </c>
      <c r="AM142" s="197">
        <f t="shared" si="363"/>
        <v>1552.2351300314454</v>
      </c>
      <c r="AN142" s="197">
        <f t="shared" si="364"/>
        <v>-280.29333221274157</v>
      </c>
      <c r="AO142" s="197">
        <f t="shared" si="365"/>
        <v>-129.89053480106131</v>
      </c>
      <c r="AP142" s="196">
        <f t="shared" si="366"/>
        <v>6889.247054532404</v>
      </c>
      <c r="AQ142" s="197">
        <f t="shared" si="367"/>
        <v>814.63006470799337</v>
      </c>
      <c r="AR142" s="197">
        <f t="shared" si="368"/>
        <v>8407.4061532138512</v>
      </c>
      <c r="AS142" s="197">
        <f t="shared" si="369"/>
        <v>-1518.1590986814472</v>
      </c>
      <c r="AT142" s="199">
        <f t="shared" si="370"/>
        <v>-703.52903397345347</v>
      </c>
      <c r="AX142" s="900">
        <v>5</v>
      </c>
      <c r="AY142" s="911">
        <f>'Arable Inputs'!$H$18</f>
        <v>8.14</v>
      </c>
      <c r="AZ142" s="760">
        <f>'Arable Inputs'!$H$25</f>
        <v>182.8</v>
      </c>
      <c r="BA142" s="762">
        <f t="shared" si="371"/>
        <v>1487.9920000000002</v>
      </c>
      <c r="BB142" s="197">
        <f>'Arable NPV'!$D121</f>
        <v>175.95</v>
      </c>
      <c r="BC142" s="197">
        <f t="shared" si="415"/>
        <v>1663.9420000000002</v>
      </c>
      <c r="BD142" s="197">
        <f>'Arable NPV'!$F121</f>
        <v>574.23049999999989</v>
      </c>
      <c r="BE142" s="197">
        <f>'Arable NPV'!$G121</f>
        <v>636.366536</v>
      </c>
      <c r="BF142" s="197">
        <f t="shared" si="372"/>
        <v>605.29851799999994</v>
      </c>
      <c r="BG142" s="197">
        <f t="shared" si="373"/>
        <v>882.69348200000024</v>
      </c>
      <c r="BH142" s="197">
        <f t="shared" si="374"/>
        <v>1058.6434820000004</v>
      </c>
      <c r="BI142" s="196">
        <f t="shared" si="375"/>
        <v>1271.9417978187037</v>
      </c>
      <c r="BJ142" s="197">
        <f t="shared" si="376"/>
        <v>150.40279741168024</v>
      </c>
      <c r="BK142" s="197">
        <f t="shared" si="377"/>
        <v>517.41171001048178</v>
      </c>
      <c r="BL142" s="197">
        <f t="shared" si="378"/>
        <v>754.53008780822199</v>
      </c>
      <c r="BM142" s="197">
        <f t="shared" si="379"/>
        <v>904.93288521990235</v>
      </c>
      <c r="BN142" s="196">
        <f t="shared" si="380"/>
        <v>6889.247054532404</v>
      </c>
      <c r="BO142" s="197">
        <f t="shared" si="381"/>
        <v>814.63006470799337</v>
      </c>
      <c r="BP142" s="197">
        <f t="shared" si="382"/>
        <v>2802.4687177379506</v>
      </c>
      <c r="BQ142" s="197">
        <f t="shared" si="383"/>
        <v>4086.7783367944544</v>
      </c>
      <c r="BR142" s="199">
        <f t="shared" si="384"/>
        <v>4901.4084015024482</v>
      </c>
      <c r="BV142" s="900">
        <v>5</v>
      </c>
      <c r="BW142" s="911">
        <f>'Arable Inputs'!$H$18</f>
        <v>8.14</v>
      </c>
      <c r="BX142" s="760">
        <f>'Arable Inputs'!$H$25</f>
        <v>182.8</v>
      </c>
      <c r="BY142" s="762">
        <f t="shared" si="385"/>
        <v>1487.9920000000002</v>
      </c>
      <c r="BZ142" s="197">
        <f>'Arable NPV'!$D121</f>
        <v>175.95</v>
      </c>
      <c r="CA142" s="197">
        <f t="shared" si="416"/>
        <v>1663.9420000000002</v>
      </c>
      <c r="CB142" s="197">
        <f>'Arable NPV'!$F121</f>
        <v>574.23049999999989</v>
      </c>
      <c r="CC142" s="197">
        <f>'Arable NPV'!$G121</f>
        <v>636.366536</v>
      </c>
      <c r="CD142" s="197">
        <f t="shared" si="386"/>
        <v>2421.1940719999998</v>
      </c>
      <c r="CE142" s="197">
        <f t="shared" si="387"/>
        <v>-933.20207199999959</v>
      </c>
      <c r="CF142" s="197">
        <f t="shared" si="388"/>
        <v>-757.25207199999954</v>
      </c>
      <c r="CG142" s="196">
        <f t="shared" si="389"/>
        <v>1271.9417978187037</v>
      </c>
      <c r="CH142" s="197">
        <f t="shared" si="390"/>
        <v>150.40279741168024</v>
      </c>
      <c r="CI142" s="197">
        <f t="shared" si="391"/>
        <v>2069.6468400419271</v>
      </c>
      <c r="CJ142" s="197">
        <f t="shared" si="392"/>
        <v>-797.70504222322347</v>
      </c>
      <c r="CK142" s="197">
        <f t="shared" si="393"/>
        <v>-647.30224481154323</v>
      </c>
      <c r="CL142" s="196">
        <f t="shared" si="394"/>
        <v>6889.247054532404</v>
      </c>
      <c r="CM142" s="197">
        <f t="shared" si="395"/>
        <v>814.63006470799337</v>
      </c>
      <c r="CN142" s="197">
        <f t="shared" si="396"/>
        <v>11209.874870951802</v>
      </c>
      <c r="CO142" s="197">
        <f t="shared" si="397"/>
        <v>-4320.6278164193982</v>
      </c>
      <c r="CP142" s="199">
        <f t="shared" si="398"/>
        <v>-3505.9977517114048</v>
      </c>
      <c r="CT142" s="900">
        <v>5</v>
      </c>
      <c r="CU142" s="911">
        <f>'Arable Inputs'!$H$18</f>
        <v>8.14</v>
      </c>
      <c r="CV142" s="760">
        <f>'Arable Inputs'!$H$25</f>
        <v>182.8</v>
      </c>
      <c r="CW142" s="762">
        <f t="shared" si="399"/>
        <v>1487.9920000000002</v>
      </c>
      <c r="CX142" s="197">
        <f>'Arable NPV'!$D121</f>
        <v>175.95</v>
      </c>
      <c r="CY142" s="197">
        <f t="shared" si="417"/>
        <v>1663.9420000000002</v>
      </c>
      <c r="CZ142" s="197">
        <f>'Arable NPV'!$F121</f>
        <v>574.23049999999989</v>
      </c>
      <c r="DA142" s="197">
        <f>'Arable NPV'!$G121</f>
        <v>636.366536</v>
      </c>
      <c r="DB142" s="197">
        <f t="shared" si="400"/>
        <v>0</v>
      </c>
      <c r="DC142" s="197">
        <f t="shared" si="401"/>
        <v>1487.9920000000002</v>
      </c>
      <c r="DD142" s="197">
        <f t="shared" si="402"/>
        <v>1663.9420000000002</v>
      </c>
      <c r="DE142" s="196">
        <f t="shared" si="403"/>
        <v>1271.9417978187037</v>
      </c>
      <c r="DF142" s="197">
        <f t="shared" si="404"/>
        <v>150.40279741168024</v>
      </c>
      <c r="DG142" s="197">
        <f t="shared" si="405"/>
        <v>0</v>
      </c>
      <c r="DH142" s="197">
        <f t="shared" si="406"/>
        <v>1271.9417978187037</v>
      </c>
      <c r="DI142" s="197">
        <f t="shared" si="407"/>
        <v>1422.3445952303841</v>
      </c>
      <c r="DJ142" s="196">
        <f t="shared" si="408"/>
        <v>6889.247054532404</v>
      </c>
      <c r="DK142" s="197">
        <f t="shared" si="409"/>
        <v>814.63006470799337</v>
      </c>
      <c r="DL142" s="197">
        <f t="shared" si="410"/>
        <v>0</v>
      </c>
      <c r="DM142" s="197">
        <f t="shared" si="411"/>
        <v>6889.247054532404</v>
      </c>
      <c r="DN142" s="199">
        <f t="shared" si="412"/>
        <v>7703.8771192403983</v>
      </c>
    </row>
    <row r="143" spans="2:118" x14ac:dyDescent="0.3">
      <c r="B143" s="900">
        <v>6</v>
      </c>
      <c r="C143" s="911">
        <f>'Arable Inputs'!$H$18</f>
        <v>8.14</v>
      </c>
      <c r="D143" s="760">
        <f>'Arable Inputs'!$H$25</f>
        <v>182.8</v>
      </c>
      <c r="E143" s="762">
        <f t="shared" si="347"/>
        <v>1487.9920000000002</v>
      </c>
      <c r="F143" s="197">
        <f>'Arable NPV'!$D122</f>
        <v>175.95</v>
      </c>
      <c r="G143" s="197">
        <f t="shared" si="413"/>
        <v>1663.9420000000002</v>
      </c>
      <c r="H143" s="197">
        <f>'Arable NPV'!$F122</f>
        <v>574.23049999999989</v>
      </c>
      <c r="I143" s="197">
        <f>'Arable NPV'!$G122</f>
        <v>636.366536</v>
      </c>
      <c r="J143" s="197">
        <f t="shared" si="348"/>
        <v>1210.5970359999999</v>
      </c>
      <c r="K143" s="197">
        <f t="shared" si="349"/>
        <v>277.3949640000003</v>
      </c>
      <c r="L143" s="197">
        <f t="shared" si="350"/>
        <v>453.34496400000035</v>
      </c>
      <c r="M143" s="196">
        <f t="shared" si="351"/>
        <v>1223.0209594410612</v>
      </c>
      <c r="N143" s="197">
        <f t="shared" si="352"/>
        <v>144.61807443430789</v>
      </c>
      <c r="O143" s="197">
        <f t="shared" si="353"/>
        <v>995.02251925092651</v>
      </c>
      <c r="P143" s="197">
        <f t="shared" si="354"/>
        <v>227.99844019013472</v>
      </c>
      <c r="Q143" s="197">
        <f t="shared" si="355"/>
        <v>372.61651462444269</v>
      </c>
      <c r="R143" s="196">
        <f t="shared" si="356"/>
        <v>8112.2680139734657</v>
      </c>
      <c r="S143" s="197">
        <f t="shared" si="356"/>
        <v>959.24813914230128</v>
      </c>
      <c r="T143" s="197">
        <f t="shared" si="356"/>
        <v>6599.9599547268281</v>
      </c>
      <c r="U143" s="197">
        <f t="shared" si="356"/>
        <v>1512.3080592466379</v>
      </c>
      <c r="V143" s="199">
        <f t="shared" si="356"/>
        <v>2471.5561983889393</v>
      </c>
      <c r="Z143" s="900">
        <v>6</v>
      </c>
      <c r="AA143" s="911">
        <f>'Arable Inputs'!$H$18</f>
        <v>8.14</v>
      </c>
      <c r="AB143" s="760">
        <f>'Arable Inputs'!$H$25</f>
        <v>182.8</v>
      </c>
      <c r="AC143" s="762">
        <f t="shared" si="357"/>
        <v>1487.9920000000002</v>
      </c>
      <c r="AD143" s="197">
        <f>'Arable NPV'!$D122</f>
        <v>175.95</v>
      </c>
      <c r="AE143" s="197">
        <f t="shared" si="414"/>
        <v>1663.9420000000002</v>
      </c>
      <c r="AF143" s="197">
        <f>'Arable NPV'!$F122</f>
        <v>574.23049999999989</v>
      </c>
      <c r="AG143" s="197">
        <f>'Arable NPV'!$G122</f>
        <v>636.366536</v>
      </c>
      <c r="AH143" s="197">
        <f t="shared" si="358"/>
        <v>1815.8955539999997</v>
      </c>
      <c r="AI143" s="197">
        <f t="shared" si="359"/>
        <v>-327.90355399999953</v>
      </c>
      <c r="AJ143" s="197">
        <f t="shared" si="360"/>
        <v>-151.95355399999949</v>
      </c>
      <c r="AK143" s="196">
        <f t="shared" si="361"/>
        <v>1223.0209594410612</v>
      </c>
      <c r="AL143" s="197">
        <f t="shared" si="362"/>
        <v>144.61807443430789</v>
      </c>
      <c r="AM143" s="197">
        <f t="shared" si="363"/>
        <v>1492.5337788763895</v>
      </c>
      <c r="AN143" s="197">
        <f t="shared" si="364"/>
        <v>-269.51281943532842</v>
      </c>
      <c r="AO143" s="197">
        <f t="shared" si="365"/>
        <v>-124.89474500102047</v>
      </c>
      <c r="AP143" s="196">
        <f t="shared" si="366"/>
        <v>8112.2680139734657</v>
      </c>
      <c r="AQ143" s="197">
        <f t="shared" si="367"/>
        <v>959.24813914230128</v>
      </c>
      <c r="AR143" s="197">
        <f t="shared" si="368"/>
        <v>9899.9399320902412</v>
      </c>
      <c r="AS143" s="197">
        <f t="shared" si="369"/>
        <v>-1787.6719181167755</v>
      </c>
      <c r="AT143" s="199">
        <f t="shared" si="370"/>
        <v>-828.42377897447398</v>
      </c>
      <c r="AX143" s="900">
        <v>6</v>
      </c>
      <c r="AY143" s="911">
        <f>'Arable Inputs'!$H$18</f>
        <v>8.14</v>
      </c>
      <c r="AZ143" s="760">
        <f>'Arable Inputs'!$H$25</f>
        <v>182.8</v>
      </c>
      <c r="BA143" s="762">
        <f t="shared" si="371"/>
        <v>1487.9920000000002</v>
      </c>
      <c r="BB143" s="197">
        <f>'Arable NPV'!$D122</f>
        <v>175.95</v>
      </c>
      <c r="BC143" s="197">
        <f t="shared" si="415"/>
        <v>1663.9420000000002</v>
      </c>
      <c r="BD143" s="197">
        <f>'Arable NPV'!$F122</f>
        <v>574.23049999999989</v>
      </c>
      <c r="BE143" s="197">
        <f>'Arable NPV'!$G122</f>
        <v>636.366536</v>
      </c>
      <c r="BF143" s="197">
        <f t="shared" si="372"/>
        <v>605.29851799999994</v>
      </c>
      <c r="BG143" s="197">
        <f t="shared" si="373"/>
        <v>882.69348200000024</v>
      </c>
      <c r="BH143" s="197">
        <f t="shared" si="374"/>
        <v>1058.6434820000004</v>
      </c>
      <c r="BI143" s="196">
        <f t="shared" si="375"/>
        <v>1223.0209594410612</v>
      </c>
      <c r="BJ143" s="197">
        <f t="shared" si="376"/>
        <v>144.61807443430789</v>
      </c>
      <c r="BK143" s="197">
        <f t="shared" si="377"/>
        <v>497.51125962546325</v>
      </c>
      <c r="BL143" s="197">
        <f t="shared" si="378"/>
        <v>725.50969981559797</v>
      </c>
      <c r="BM143" s="197">
        <f t="shared" si="379"/>
        <v>870.127774249906</v>
      </c>
      <c r="BN143" s="196">
        <f t="shared" si="380"/>
        <v>8112.2680139734657</v>
      </c>
      <c r="BO143" s="197">
        <f t="shared" si="381"/>
        <v>959.24813914230128</v>
      </c>
      <c r="BP143" s="197">
        <f t="shared" si="382"/>
        <v>3299.979977363414</v>
      </c>
      <c r="BQ143" s="197">
        <f t="shared" si="383"/>
        <v>4812.2880366100526</v>
      </c>
      <c r="BR143" s="199">
        <f t="shared" si="384"/>
        <v>5771.5361757523542</v>
      </c>
      <c r="BV143" s="900">
        <v>6</v>
      </c>
      <c r="BW143" s="911">
        <f>'Arable Inputs'!$H$18</f>
        <v>8.14</v>
      </c>
      <c r="BX143" s="760">
        <f>'Arable Inputs'!$H$25</f>
        <v>182.8</v>
      </c>
      <c r="BY143" s="762">
        <f t="shared" si="385"/>
        <v>1487.9920000000002</v>
      </c>
      <c r="BZ143" s="197">
        <f>'Arable NPV'!$D122</f>
        <v>175.95</v>
      </c>
      <c r="CA143" s="197">
        <f t="shared" si="416"/>
        <v>1663.9420000000002</v>
      </c>
      <c r="CB143" s="197">
        <f>'Arable NPV'!$F122</f>
        <v>574.23049999999989</v>
      </c>
      <c r="CC143" s="197">
        <f>'Arable NPV'!$G122</f>
        <v>636.366536</v>
      </c>
      <c r="CD143" s="197">
        <f t="shared" si="386"/>
        <v>2421.1940719999998</v>
      </c>
      <c r="CE143" s="197">
        <f t="shared" si="387"/>
        <v>-933.20207199999959</v>
      </c>
      <c r="CF143" s="197">
        <f t="shared" si="388"/>
        <v>-757.25207199999954</v>
      </c>
      <c r="CG143" s="196">
        <f t="shared" si="389"/>
        <v>1223.0209594410612</v>
      </c>
      <c r="CH143" s="197">
        <f t="shared" si="390"/>
        <v>144.61807443430789</v>
      </c>
      <c r="CI143" s="197">
        <f t="shared" si="391"/>
        <v>1990.045038501853</v>
      </c>
      <c r="CJ143" s="197">
        <f t="shared" si="392"/>
        <v>-767.02407906079168</v>
      </c>
      <c r="CK143" s="197">
        <f t="shared" si="393"/>
        <v>-622.40600462648376</v>
      </c>
      <c r="CL143" s="196">
        <f t="shared" si="394"/>
        <v>8112.2680139734657</v>
      </c>
      <c r="CM143" s="197">
        <f t="shared" si="395"/>
        <v>959.24813914230128</v>
      </c>
      <c r="CN143" s="197">
        <f t="shared" si="396"/>
        <v>13199.919909453656</v>
      </c>
      <c r="CO143" s="197">
        <f t="shared" si="397"/>
        <v>-5087.6518954801895</v>
      </c>
      <c r="CP143" s="199">
        <f t="shared" si="398"/>
        <v>-4128.4037563378888</v>
      </c>
      <c r="CT143" s="900">
        <v>6</v>
      </c>
      <c r="CU143" s="911">
        <f>'Arable Inputs'!$H$18</f>
        <v>8.14</v>
      </c>
      <c r="CV143" s="760">
        <f>'Arable Inputs'!$H$25</f>
        <v>182.8</v>
      </c>
      <c r="CW143" s="762">
        <f t="shared" si="399"/>
        <v>1487.9920000000002</v>
      </c>
      <c r="CX143" s="197">
        <f>'Arable NPV'!$D122</f>
        <v>175.95</v>
      </c>
      <c r="CY143" s="197">
        <f t="shared" si="417"/>
        <v>1663.9420000000002</v>
      </c>
      <c r="CZ143" s="197">
        <f>'Arable NPV'!$F122</f>
        <v>574.23049999999989</v>
      </c>
      <c r="DA143" s="197">
        <f>'Arable NPV'!$G122</f>
        <v>636.366536</v>
      </c>
      <c r="DB143" s="197">
        <f t="shared" si="400"/>
        <v>0</v>
      </c>
      <c r="DC143" s="197">
        <f t="shared" si="401"/>
        <v>1487.9920000000002</v>
      </c>
      <c r="DD143" s="197">
        <f t="shared" si="402"/>
        <v>1663.9420000000002</v>
      </c>
      <c r="DE143" s="196">
        <f t="shared" si="403"/>
        <v>1223.0209594410612</v>
      </c>
      <c r="DF143" s="197">
        <f t="shared" si="404"/>
        <v>144.61807443430789</v>
      </c>
      <c r="DG143" s="197">
        <f t="shared" si="405"/>
        <v>0</v>
      </c>
      <c r="DH143" s="197">
        <f t="shared" si="406"/>
        <v>1223.0209594410612</v>
      </c>
      <c r="DI143" s="197">
        <f t="shared" si="407"/>
        <v>1367.639033875369</v>
      </c>
      <c r="DJ143" s="196">
        <f t="shared" si="408"/>
        <v>8112.2680139734657</v>
      </c>
      <c r="DK143" s="197">
        <f t="shared" si="409"/>
        <v>959.24813914230128</v>
      </c>
      <c r="DL143" s="197">
        <f t="shared" si="410"/>
        <v>0</v>
      </c>
      <c r="DM143" s="197">
        <f t="shared" si="411"/>
        <v>8112.2680139734657</v>
      </c>
      <c r="DN143" s="199">
        <f t="shared" si="412"/>
        <v>9071.5161531157682</v>
      </c>
    </row>
    <row r="144" spans="2:118" x14ac:dyDescent="0.3">
      <c r="B144" s="900">
        <v>7</v>
      </c>
      <c r="C144" s="911">
        <f>'Arable Inputs'!$H$18</f>
        <v>8.14</v>
      </c>
      <c r="D144" s="760">
        <f>'Arable Inputs'!$H$25</f>
        <v>182.8</v>
      </c>
      <c r="E144" s="762">
        <f t="shared" si="347"/>
        <v>1487.9920000000002</v>
      </c>
      <c r="F144" s="197">
        <f>'Arable NPV'!$D123</f>
        <v>175.95</v>
      </c>
      <c r="G144" s="197">
        <f t="shared" si="413"/>
        <v>1663.9420000000002</v>
      </c>
      <c r="H144" s="197">
        <f>'Arable NPV'!$F123</f>
        <v>574.23049999999989</v>
      </c>
      <c r="I144" s="197">
        <f>'Arable NPV'!$G123</f>
        <v>636.366536</v>
      </c>
      <c r="J144" s="197">
        <f t="shared" si="348"/>
        <v>1210.5970359999999</v>
      </c>
      <c r="K144" s="197">
        <f t="shared" si="349"/>
        <v>277.3949640000003</v>
      </c>
      <c r="L144" s="197">
        <f t="shared" si="350"/>
        <v>453.34496400000035</v>
      </c>
      <c r="M144" s="196">
        <f t="shared" si="351"/>
        <v>1175.981691770251</v>
      </c>
      <c r="N144" s="197">
        <f t="shared" si="352"/>
        <v>139.05584080221914</v>
      </c>
      <c r="O144" s="197">
        <f t="shared" si="353"/>
        <v>956.75242235666008</v>
      </c>
      <c r="P144" s="197">
        <f t="shared" si="354"/>
        <v>219.22926941359108</v>
      </c>
      <c r="Q144" s="197">
        <f t="shared" si="355"/>
        <v>358.28511021581028</v>
      </c>
      <c r="R144" s="196">
        <f t="shared" si="356"/>
        <v>9288.2497057437176</v>
      </c>
      <c r="S144" s="197">
        <f t="shared" si="356"/>
        <v>1098.3039799445205</v>
      </c>
      <c r="T144" s="197">
        <f t="shared" si="356"/>
        <v>7556.7123770834878</v>
      </c>
      <c r="U144" s="197">
        <f t="shared" si="356"/>
        <v>1731.5373286602289</v>
      </c>
      <c r="V144" s="199">
        <f t="shared" si="356"/>
        <v>2829.8413086047494</v>
      </c>
      <c r="Z144" s="900">
        <v>7</v>
      </c>
      <c r="AA144" s="911">
        <f>'Arable Inputs'!$H$18</f>
        <v>8.14</v>
      </c>
      <c r="AB144" s="760">
        <f>'Arable Inputs'!$H$25</f>
        <v>182.8</v>
      </c>
      <c r="AC144" s="762">
        <f t="shared" si="357"/>
        <v>1487.9920000000002</v>
      </c>
      <c r="AD144" s="197">
        <f>'Arable NPV'!$D123</f>
        <v>175.95</v>
      </c>
      <c r="AE144" s="197">
        <f t="shared" si="414"/>
        <v>1663.9420000000002</v>
      </c>
      <c r="AF144" s="197">
        <f>'Arable NPV'!$F123</f>
        <v>574.23049999999989</v>
      </c>
      <c r="AG144" s="197">
        <f>'Arable NPV'!$G123</f>
        <v>636.366536</v>
      </c>
      <c r="AH144" s="197">
        <f t="shared" si="358"/>
        <v>1815.8955539999997</v>
      </c>
      <c r="AI144" s="197">
        <f t="shared" si="359"/>
        <v>-327.90355399999953</v>
      </c>
      <c r="AJ144" s="197">
        <f t="shared" si="360"/>
        <v>-151.95355399999949</v>
      </c>
      <c r="AK144" s="196">
        <f t="shared" si="361"/>
        <v>1175.981691770251</v>
      </c>
      <c r="AL144" s="197">
        <f t="shared" si="362"/>
        <v>139.05584080221914</v>
      </c>
      <c r="AM144" s="197">
        <f t="shared" si="363"/>
        <v>1435.1286335349901</v>
      </c>
      <c r="AN144" s="197">
        <f t="shared" si="364"/>
        <v>-259.14694176473887</v>
      </c>
      <c r="AO144" s="197">
        <f t="shared" si="365"/>
        <v>-120.09110096251968</v>
      </c>
      <c r="AP144" s="196">
        <f t="shared" si="366"/>
        <v>9288.2497057437176</v>
      </c>
      <c r="AQ144" s="197">
        <f t="shared" si="367"/>
        <v>1098.3039799445205</v>
      </c>
      <c r="AR144" s="197">
        <f t="shared" si="368"/>
        <v>11335.068565625232</v>
      </c>
      <c r="AS144" s="197">
        <f t="shared" si="369"/>
        <v>-2046.8188598815143</v>
      </c>
      <c r="AT144" s="199">
        <f t="shared" si="370"/>
        <v>-948.51487993699368</v>
      </c>
      <c r="AX144" s="900">
        <v>7</v>
      </c>
      <c r="AY144" s="911">
        <f>'Arable Inputs'!$H$18</f>
        <v>8.14</v>
      </c>
      <c r="AZ144" s="760">
        <f>'Arable Inputs'!$H$25</f>
        <v>182.8</v>
      </c>
      <c r="BA144" s="762">
        <f t="shared" si="371"/>
        <v>1487.9920000000002</v>
      </c>
      <c r="BB144" s="197">
        <f>'Arable NPV'!$D123</f>
        <v>175.95</v>
      </c>
      <c r="BC144" s="197">
        <f t="shared" si="415"/>
        <v>1663.9420000000002</v>
      </c>
      <c r="BD144" s="197">
        <f>'Arable NPV'!$F123</f>
        <v>574.23049999999989</v>
      </c>
      <c r="BE144" s="197">
        <f>'Arable NPV'!$G123</f>
        <v>636.366536</v>
      </c>
      <c r="BF144" s="197">
        <f t="shared" si="372"/>
        <v>605.29851799999994</v>
      </c>
      <c r="BG144" s="197">
        <f t="shared" si="373"/>
        <v>882.69348200000024</v>
      </c>
      <c r="BH144" s="197">
        <f t="shared" si="374"/>
        <v>1058.6434820000004</v>
      </c>
      <c r="BI144" s="196">
        <f t="shared" si="375"/>
        <v>1175.981691770251</v>
      </c>
      <c r="BJ144" s="197">
        <f t="shared" si="376"/>
        <v>139.05584080221914</v>
      </c>
      <c r="BK144" s="197">
        <f t="shared" si="377"/>
        <v>478.37621117833004</v>
      </c>
      <c r="BL144" s="197">
        <f t="shared" si="378"/>
        <v>697.60548059192115</v>
      </c>
      <c r="BM144" s="197">
        <f t="shared" si="379"/>
        <v>836.66132139414037</v>
      </c>
      <c r="BN144" s="196">
        <f t="shared" si="380"/>
        <v>9288.2497057437176</v>
      </c>
      <c r="BO144" s="197">
        <f t="shared" si="381"/>
        <v>1098.3039799445205</v>
      </c>
      <c r="BP144" s="197">
        <f t="shared" si="382"/>
        <v>3778.3561885417439</v>
      </c>
      <c r="BQ144" s="197">
        <f t="shared" si="383"/>
        <v>5509.8935172019737</v>
      </c>
      <c r="BR144" s="199">
        <f t="shared" si="384"/>
        <v>6608.1974971464942</v>
      </c>
      <c r="BV144" s="900">
        <v>7</v>
      </c>
      <c r="BW144" s="911">
        <f>'Arable Inputs'!$H$18</f>
        <v>8.14</v>
      </c>
      <c r="BX144" s="760">
        <f>'Arable Inputs'!$H$25</f>
        <v>182.8</v>
      </c>
      <c r="BY144" s="762">
        <f t="shared" si="385"/>
        <v>1487.9920000000002</v>
      </c>
      <c r="BZ144" s="197">
        <f>'Arable NPV'!$D123</f>
        <v>175.95</v>
      </c>
      <c r="CA144" s="197">
        <f t="shared" si="416"/>
        <v>1663.9420000000002</v>
      </c>
      <c r="CB144" s="197">
        <f>'Arable NPV'!$F123</f>
        <v>574.23049999999989</v>
      </c>
      <c r="CC144" s="197">
        <f>'Arable NPV'!$G123</f>
        <v>636.366536</v>
      </c>
      <c r="CD144" s="197">
        <f t="shared" si="386"/>
        <v>2421.1940719999998</v>
      </c>
      <c r="CE144" s="197">
        <f t="shared" si="387"/>
        <v>-933.20207199999959</v>
      </c>
      <c r="CF144" s="197">
        <f t="shared" si="388"/>
        <v>-757.25207199999954</v>
      </c>
      <c r="CG144" s="196">
        <f t="shared" si="389"/>
        <v>1175.981691770251</v>
      </c>
      <c r="CH144" s="197">
        <f t="shared" si="390"/>
        <v>139.05584080221914</v>
      </c>
      <c r="CI144" s="197">
        <f t="shared" si="391"/>
        <v>1913.5048447133202</v>
      </c>
      <c r="CJ144" s="197">
        <f t="shared" si="392"/>
        <v>-737.52315294306902</v>
      </c>
      <c r="CK144" s="197">
        <f t="shared" si="393"/>
        <v>-598.4673121408498</v>
      </c>
      <c r="CL144" s="196">
        <f t="shared" si="394"/>
        <v>9288.2497057437176</v>
      </c>
      <c r="CM144" s="197">
        <f t="shared" si="395"/>
        <v>1098.3039799445205</v>
      </c>
      <c r="CN144" s="197">
        <f t="shared" si="396"/>
        <v>15113.424754166976</v>
      </c>
      <c r="CO144" s="197">
        <f t="shared" si="397"/>
        <v>-5825.1750484232589</v>
      </c>
      <c r="CP144" s="199">
        <f t="shared" si="398"/>
        <v>-4726.8710684787384</v>
      </c>
      <c r="CT144" s="900">
        <v>7</v>
      </c>
      <c r="CU144" s="911">
        <f>'Arable Inputs'!$H$18</f>
        <v>8.14</v>
      </c>
      <c r="CV144" s="760">
        <f>'Arable Inputs'!$H$25</f>
        <v>182.8</v>
      </c>
      <c r="CW144" s="762">
        <f t="shared" si="399"/>
        <v>1487.9920000000002</v>
      </c>
      <c r="CX144" s="197">
        <f>'Arable NPV'!$D123</f>
        <v>175.95</v>
      </c>
      <c r="CY144" s="197">
        <f t="shared" si="417"/>
        <v>1663.9420000000002</v>
      </c>
      <c r="CZ144" s="197">
        <f>'Arable NPV'!$F123</f>
        <v>574.23049999999989</v>
      </c>
      <c r="DA144" s="197">
        <f>'Arable NPV'!$G123</f>
        <v>636.366536</v>
      </c>
      <c r="DB144" s="197">
        <f t="shared" si="400"/>
        <v>0</v>
      </c>
      <c r="DC144" s="197">
        <f t="shared" si="401"/>
        <v>1487.9920000000002</v>
      </c>
      <c r="DD144" s="197">
        <f t="shared" si="402"/>
        <v>1663.9420000000002</v>
      </c>
      <c r="DE144" s="196">
        <f t="shared" si="403"/>
        <v>1175.981691770251</v>
      </c>
      <c r="DF144" s="197">
        <f t="shared" si="404"/>
        <v>139.05584080221914</v>
      </c>
      <c r="DG144" s="197">
        <f t="shared" si="405"/>
        <v>0</v>
      </c>
      <c r="DH144" s="197">
        <f t="shared" si="406"/>
        <v>1175.981691770251</v>
      </c>
      <c r="DI144" s="197">
        <f t="shared" si="407"/>
        <v>1315.0375325724704</v>
      </c>
      <c r="DJ144" s="196">
        <f t="shared" si="408"/>
        <v>9288.2497057437176</v>
      </c>
      <c r="DK144" s="197">
        <f t="shared" si="409"/>
        <v>1098.3039799445205</v>
      </c>
      <c r="DL144" s="197">
        <f t="shared" si="410"/>
        <v>0</v>
      </c>
      <c r="DM144" s="197">
        <f t="shared" si="411"/>
        <v>9288.2497057437176</v>
      </c>
      <c r="DN144" s="199">
        <f t="shared" si="412"/>
        <v>10386.553685688239</v>
      </c>
    </row>
    <row r="145" spans="2:118" x14ac:dyDescent="0.3">
      <c r="B145" s="900">
        <v>8</v>
      </c>
      <c r="C145" s="911">
        <f>'Arable Inputs'!$H$18</f>
        <v>8.14</v>
      </c>
      <c r="D145" s="760">
        <f>'Arable Inputs'!$H$25</f>
        <v>182.8</v>
      </c>
      <c r="E145" s="762">
        <f t="shared" si="347"/>
        <v>1487.9920000000002</v>
      </c>
      <c r="F145" s="197">
        <f>'Arable NPV'!$D124</f>
        <v>175.95</v>
      </c>
      <c r="G145" s="197">
        <f t="shared" si="413"/>
        <v>1663.9420000000002</v>
      </c>
      <c r="H145" s="197">
        <f>'Arable NPV'!$F124</f>
        <v>574.23049999999989</v>
      </c>
      <c r="I145" s="197">
        <f>'Arable NPV'!$G124</f>
        <v>636.366536</v>
      </c>
      <c r="J145" s="197">
        <f t="shared" si="348"/>
        <v>1210.5970359999999</v>
      </c>
      <c r="K145" s="197">
        <f t="shared" si="349"/>
        <v>277.3949640000003</v>
      </c>
      <c r="L145" s="197">
        <f t="shared" si="350"/>
        <v>453.34496400000035</v>
      </c>
      <c r="M145" s="196">
        <f t="shared" si="351"/>
        <v>1130.7516267021647</v>
      </c>
      <c r="N145" s="197">
        <f t="shared" si="352"/>
        <v>133.70753923290303</v>
      </c>
      <c r="O145" s="197">
        <f t="shared" si="353"/>
        <v>919.95425226601935</v>
      </c>
      <c r="P145" s="197">
        <f t="shared" si="354"/>
        <v>210.79737443614528</v>
      </c>
      <c r="Q145" s="197">
        <f t="shared" si="355"/>
        <v>344.50491366904834</v>
      </c>
      <c r="R145" s="196">
        <f t="shared" si="356"/>
        <v>10419.001332445881</v>
      </c>
      <c r="S145" s="197">
        <f t="shared" si="356"/>
        <v>1232.0115191774235</v>
      </c>
      <c r="T145" s="197">
        <f t="shared" si="356"/>
        <v>8476.6666293495073</v>
      </c>
      <c r="U145" s="197">
        <f t="shared" si="356"/>
        <v>1942.3347030963741</v>
      </c>
      <c r="V145" s="199">
        <f t="shared" si="356"/>
        <v>3174.3462222737976</v>
      </c>
      <c r="Z145" s="900">
        <v>8</v>
      </c>
      <c r="AA145" s="911">
        <f>'Arable Inputs'!$H$18</f>
        <v>8.14</v>
      </c>
      <c r="AB145" s="760">
        <f>'Arable Inputs'!$H$25</f>
        <v>182.8</v>
      </c>
      <c r="AC145" s="762">
        <f t="shared" si="357"/>
        <v>1487.9920000000002</v>
      </c>
      <c r="AD145" s="197">
        <f>'Arable NPV'!$D124</f>
        <v>175.95</v>
      </c>
      <c r="AE145" s="197">
        <f t="shared" si="414"/>
        <v>1663.9420000000002</v>
      </c>
      <c r="AF145" s="197">
        <f>'Arable NPV'!$F124</f>
        <v>574.23049999999989</v>
      </c>
      <c r="AG145" s="197">
        <f>'Arable NPV'!$G124</f>
        <v>636.366536</v>
      </c>
      <c r="AH145" s="197">
        <f t="shared" si="358"/>
        <v>1815.8955539999997</v>
      </c>
      <c r="AI145" s="197">
        <f t="shared" si="359"/>
        <v>-327.90355399999953</v>
      </c>
      <c r="AJ145" s="197">
        <f t="shared" si="360"/>
        <v>-151.95355399999949</v>
      </c>
      <c r="AK145" s="196">
        <f t="shared" si="361"/>
        <v>1130.7516267021647</v>
      </c>
      <c r="AL145" s="197">
        <f t="shared" si="362"/>
        <v>133.70753923290303</v>
      </c>
      <c r="AM145" s="197">
        <f t="shared" si="363"/>
        <v>1379.931378399029</v>
      </c>
      <c r="AN145" s="197">
        <f t="shared" si="364"/>
        <v>-249.17975169686432</v>
      </c>
      <c r="AO145" s="197">
        <f t="shared" si="365"/>
        <v>-115.47221246396124</v>
      </c>
      <c r="AP145" s="196">
        <f t="shared" si="366"/>
        <v>10419.001332445881</v>
      </c>
      <c r="AQ145" s="197">
        <f t="shared" si="367"/>
        <v>1232.0115191774235</v>
      </c>
      <c r="AR145" s="197">
        <f t="shared" si="368"/>
        <v>12714.999944024261</v>
      </c>
      <c r="AS145" s="197">
        <f t="shared" si="369"/>
        <v>-2295.9986115783786</v>
      </c>
      <c r="AT145" s="199">
        <f t="shared" si="370"/>
        <v>-1063.9870924009549</v>
      </c>
      <c r="AX145" s="900">
        <v>8</v>
      </c>
      <c r="AY145" s="911">
        <f>'Arable Inputs'!$H$18</f>
        <v>8.14</v>
      </c>
      <c r="AZ145" s="760">
        <f>'Arable Inputs'!$H$25</f>
        <v>182.8</v>
      </c>
      <c r="BA145" s="762">
        <f t="shared" si="371"/>
        <v>1487.9920000000002</v>
      </c>
      <c r="BB145" s="197">
        <f>'Arable NPV'!$D124</f>
        <v>175.95</v>
      </c>
      <c r="BC145" s="197">
        <f t="shared" si="415"/>
        <v>1663.9420000000002</v>
      </c>
      <c r="BD145" s="197">
        <f>'Arable NPV'!$F124</f>
        <v>574.23049999999989</v>
      </c>
      <c r="BE145" s="197">
        <f>'Arable NPV'!$G124</f>
        <v>636.366536</v>
      </c>
      <c r="BF145" s="197">
        <f t="shared" si="372"/>
        <v>605.29851799999994</v>
      </c>
      <c r="BG145" s="197">
        <f t="shared" si="373"/>
        <v>882.69348200000024</v>
      </c>
      <c r="BH145" s="197">
        <f t="shared" si="374"/>
        <v>1058.6434820000004</v>
      </c>
      <c r="BI145" s="196">
        <f t="shared" si="375"/>
        <v>1130.7516267021647</v>
      </c>
      <c r="BJ145" s="197">
        <f t="shared" si="376"/>
        <v>133.70753923290303</v>
      </c>
      <c r="BK145" s="197">
        <f t="shared" si="377"/>
        <v>459.97712613300968</v>
      </c>
      <c r="BL145" s="197">
        <f t="shared" si="378"/>
        <v>670.77450056915495</v>
      </c>
      <c r="BM145" s="197">
        <f t="shared" si="379"/>
        <v>804.48203980205813</v>
      </c>
      <c r="BN145" s="196">
        <f t="shared" si="380"/>
        <v>10419.001332445881</v>
      </c>
      <c r="BO145" s="197">
        <f t="shared" si="381"/>
        <v>1232.0115191774235</v>
      </c>
      <c r="BP145" s="197">
        <f t="shared" si="382"/>
        <v>4238.3333146747536</v>
      </c>
      <c r="BQ145" s="197">
        <f t="shared" si="383"/>
        <v>6180.6680177711287</v>
      </c>
      <c r="BR145" s="199">
        <f t="shared" si="384"/>
        <v>7412.6795369485526</v>
      </c>
      <c r="BV145" s="900">
        <v>8</v>
      </c>
      <c r="BW145" s="911">
        <f>'Arable Inputs'!$H$18</f>
        <v>8.14</v>
      </c>
      <c r="BX145" s="760">
        <f>'Arable Inputs'!$H$25</f>
        <v>182.8</v>
      </c>
      <c r="BY145" s="762">
        <f t="shared" si="385"/>
        <v>1487.9920000000002</v>
      </c>
      <c r="BZ145" s="197">
        <f>'Arable NPV'!$D124</f>
        <v>175.95</v>
      </c>
      <c r="CA145" s="197">
        <f t="shared" si="416"/>
        <v>1663.9420000000002</v>
      </c>
      <c r="CB145" s="197">
        <f>'Arable NPV'!$F124</f>
        <v>574.23049999999989</v>
      </c>
      <c r="CC145" s="197">
        <f>'Arable NPV'!$G124</f>
        <v>636.366536</v>
      </c>
      <c r="CD145" s="197">
        <f t="shared" si="386"/>
        <v>2421.1940719999998</v>
      </c>
      <c r="CE145" s="197">
        <f t="shared" si="387"/>
        <v>-933.20207199999959</v>
      </c>
      <c r="CF145" s="197">
        <f t="shared" si="388"/>
        <v>-757.25207199999954</v>
      </c>
      <c r="CG145" s="196">
        <f t="shared" si="389"/>
        <v>1130.7516267021647</v>
      </c>
      <c r="CH145" s="197">
        <f t="shared" si="390"/>
        <v>133.70753923290303</v>
      </c>
      <c r="CI145" s="197">
        <f t="shared" si="391"/>
        <v>1839.9085045320387</v>
      </c>
      <c r="CJ145" s="197">
        <f t="shared" si="392"/>
        <v>-709.15687782987402</v>
      </c>
      <c r="CK145" s="197">
        <f t="shared" si="393"/>
        <v>-575.44933859697096</v>
      </c>
      <c r="CL145" s="196">
        <f t="shared" si="394"/>
        <v>10419.001332445881</v>
      </c>
      <c r="CM145" s="197">
        <f t="shared" si="395"/>
        <v>1232.0115191774235</v>
      </c>
      <c r="CN145" s="197">
        <f t="shared" si="396"/>
        <v>16953.333258699015</v>
      </c>
      <c r="CO145" s="197">
        <f t="shared" si="397"/>
        <v>-6534.3319262531331</v>
      </c>
      <c r="CP145" s="199">
        <f t="shared" si="398"/>
        <v>-5302.3204070757092</v>
      </c>
      <c r="CT145" s="900">
        <v>8</v>
      </c>
      <c r="CU145" s="911">
        <f>'Arable Inputs'!$H$18</f>
        <v>8.14</v>
      </c>
      <c r="CV145" s="760">
        <f>'Arable Inputs'!$H$25</f>
        <v>182.8</v>
      </c>
      <c r="CW145" s="762">
        <f t="shared" si="399"/>
        <v>1487.9920000000002</v>
      </c>
      <c r="CX145" s="197">
        <f>'Arable NPV'!$D124</f>
        <v>175.95</v>
      </c>
      <c r="CY145" s="197">
        <f t="shared" si="417"/>
        <v>1663.9420000000002</v>
      </c>
      <c r="CZ145" s="197">
        <f>'Arable NPV'!$F124</f>
        <v>574.23049999999989</v>
      </c>
      <c r="DA145" s="197">
        <f>'Arable NPV'!$G124</f>
        <v>636.366536</v>
      </c>
      <c r="DB145" s="197">
        <f t="shared" si="400"/>
        <v>0</v>
      </c>
      <c r="DC145" s="197">
        <f t="shared" si="401"/>
        <v>1487.9920000000002</v>
      </c>
      <c r="DD145" s="197">
        <f t="shared" si="402"/>
        <v>1663.9420000000002</v>
      </c>
      <c r="DE145" s="196">
        <f t="shared" si="403"/>
        <v>1130.7516267021647</v>
      </c>
      <c r="DF145" s="197">
        <f t="shared" si="404"/>
        <v>133.70753923290303</v>
      </c>
      <c r="DG145" s="197">
        <f t="shared" si="405"/>
        <v>0</v>
      </c>
      <c r="DH145" s="197">
        <f t="shared" si="406"/>
        <v>1130.7516267021647</v>
      </c>
      <c r="DI145" s="197">
        <f t="shared" si="407"/>
        <v>1264.4591659350676</v>
      </c>
      <c r="DJ145" s="196">
        <f t="shared" si="408"/>
        <v>10419.001332445881</v>
      </c>
      <c r="DK145" s="197">
        <f t="shared" si="409"/>
        <v>1232.0115191774235</v>
      </c>
      <c r="DL145" s="197">
        <f t="shared" si="410"/>
        <v>0</v>
      </c>
      <c r="DM145" s="197">
        <f t="shared" si="411"/>
        <v>10419.001332445881</v>
      </c>
      <c r="DN145" s="199">
        <f t="shared" si="412"/>
        <v>11651.012851623307</v>
      </c>
    </row>
    <row r="146" spans="2:118" x14ac:dyDescent="0.3">
      <c r="B146" s="900">
        <v>9</v>
      </c>
      <c r="C146" s="911">
        <f>'Arable Inputs'!$H$18</f>
        <v>8.14</v>
      </c>
      <c r="D146" s="760">
        <f>'Arable Inputs'!$H$25</f>
        <v>182.8</v>
      </c>
      <c r="E146" s="762">
        <f t="shared" si="347"/>
        <v>1487.9920000000002</v>
      </c>
      <c r="F146" s="197">
        <f>'Arable NPV'!$D125</f>
        <v>175.95</v>
      </c>
      <c r="G146" s="197">
        <f t="shared" si="413"/>
        <v>1663.9420000000002</v>
      </c>
      <c r="H146" s="197">
        <f>'Arable NPV'!$F125</f>
        <v>574.23049999999989</v>
      </c>
      <c r="I146" s="197">
        <f>'Arable NPV'!$G125</f>
        <v>636.366536</v>
      </c>
      <c r="J146" s="197">
        <f t="shared" si="348"/>
        <v>1210.5970359999999</v>
      </c>
      <c r="K146" s="197">
        <f t="shared" si="349"/>
        <v>277.3949640000003</v>
      </c>
      <c r="L146" s="197">
        <f t="shared" si="350"/>
        <v>453.34496400000035</v>
      </c>
      <c r="M146" s="196">
        <f t="shared" si="351"/>
        <v>1087.261179521312</v>
      </c>
      <c r="N146" s="197">
        <f t="shared" si="352"/>
        <v>128.56494157009902</v>
      </c>
      <c r="O146" s="197">
        <f t="shared" si="353"/>
        <v>884.57139640963385</v>
      </c>
      <c r="P146" s="197">
        <f t="shared" si="354"/>
        <v>202.68978311167814</v>
      </c>
      <c r="Q146" s="197">
        <f t="shared" si="355"/>
        <v>331.25472468177719</v>
      </c>
      <c r="R146" s="196">
        <f t="shared" si="356"/>
        <v>11506.262511967194</v>
      </c>
      <c r="S146" s="197">
        <f t="shared" si="356"/>
        <v>1360.5764607475226</v>
      </c>
      <c r="T146" s="197">
        <f t="shared" si="356"/>
        <v>9361.2380257591412</v>
      </c>
      <c r="U146" s="197">
        <f t="shared" si="356"/>
        <v>2145.0244862080522</v>
      </c>
      <c r="V146" s="199">
        <f t="shared" si="356"/>
        <v>3505.6009469555747</v>
      </c>
      <c r="Z146" s="900">
        <v>9</v>
      </c>
      <c r="AA146" s="911">
        <f>'Arable Inputs'!$H$18</f>
        <v>8.14</v>
      </c>
      <c r="AB146" s="760">
        <f>'Arable Inputs'!$H$25</f>
        <v>182.8</v>
      </c>
      <c r="AC146" s="762">
        <f t="shared" si="357"/>
        <v>1487.9920000000002</v>
      </c>
      <c r="AD146" s="197">
        <f>'Arable NPV'!$D125</f>
        <v>175.95</v>
      </c>
      <c r="AE146" s="197">
        <f t="shared" si="414"/>
        <v>1663.9420000000002</v>
      </c>
      <c r="AF146" s="197">
        <f>'Arable NPV'!$F125</f>
        <v>574.23049999999989</v>
      </c>
      <c r="AG146" s="197">
        <f>'Arable NPV'!$G125</f>
        <v>636.366536</v>
      </c>
      <c r="AH146" s="197">
        <f t="shared" si="358"/>
        <v>1815.8955539999997</v>
      </c>
      <c r="AI146" s="197">
        <f t="shared" si="359"/>
        <v>-327.90355399999953</v>
      </c>
      <c r="AJ146" s="197">
        <f t="shared" si="360"/>
        <v>-151.95355399999949</v>
      </c>
      <c r="AK146" s="196">
        <f t="shared" si="361"/>
        <v>1087.261179521312</v>
      </c>
      <c r="AL146" s="197">
        <f t="shared" si="362"/>
        <v>128.56494157009902</v>
      </c>
      <c r="AM146" s="197">
        <f t="shared" si="363"/>
        <v>1326.8570946144507</v>
      </c>
      <c r="AN146" s="197">
        <f t="shared" si="364"/>
        <v>-239.5959150931387</v>
      </c>
      <c r="AO146" s="197">
        <f t="shared" si="365"/>
        <v>-111.03097352303963</v>
      </c>
      <c r="AP146" s="196">
        <f t="shared" si="366"/>
        <v>11506.262511967194</v>
      </c>
      <c r="AQ146" s="197">
        <f t="shared" si="367"/>
        <v>1360.5764607475226</v>
      </c>
      <c r="AR146" s="197">
        <f t="shared" si="368"/>
        <v>14041.857038638711</v>
      </c>
      <c r="AS146" s="197">
        <f t="shared" si="369"/>
        <v>-2535.5945266715171</v>
      </c>
      <c r="AT146" s="199">
        <f t="shared" si="370"/>
        <v>-1175.0180659239945</v>
      </c>
      <c r="AX146" s="900">
        <v>9</v>
      </c>
      <c r="AY146" s="911">
        <f>'Arable Inputs'!$H$18</f>
        <v>8.14</v>
      </c>
      <c r="AZ146" s="760">
        <f>'Arable Inputs'!$H$25</f>
        <v>182.8</v>
      </c>
      <c r="BA146" s="762">
        <f t="shared" si="371"/>
        <v>1487.9920000000002</v>
      </c>
      <c r="BB146" s="197">
        <f>'Arable NPV'!$D125</f>
        <v>175.95</v>
      </c>
      <c r="BC146" s="197">
        <f t="shared" si="415"/>
        <v>1663.9420000000002</v>
      </c>
      <c r="BD146" s="197">
        <f>'Arable NPV'!$F125</f>
        <v>574.23049999999989</v>
      </c>
      <c r="BE146" s="197">
        <f>'Arable NPV'!$G125</f>
        <v>636.366536</v>
      </c>
      <c r="BF146" s="197">
        <f t="shared" si="372"/>
        <v>605.29851799999994</v>
      </c>
      <c r="BG146" s="197">
        <f t="shared" si="373"/>
        <v>882.69348200000024</v>
      </c>
      <c r="BH146" s="197">
        <f t="shared" si="374"/>
        <v>1058.6434820000004</v>
      </c>
      <c r="BI146" s="196">
        <f t="shared" si="375"/>
        <v>1087.261179521312</v>
      </c>
      <c r="BJ146" s="197">
        <f t="shared" si="376"/>
        <v>128.56494157009902</v>
      </c>
      <c r="BK146" s="197">
        <f t="shared" si="377"/>
        <v>442.28569820481692</v>
      </c>
      <c r="BL146" s="197">
        <f t="shared" si="378"/>
        <v>644.97548131649501</v>
      </c>
      <c r="BM146" s="197">
        <f t="shared" si="379"/>
        <v>773.54042288659423</v>
      </c>
      <c r="BN146" s="196">
        <f t="shared" si="380"/>
        <v>11506.262511967194</v>
      </c>
      <c r="BO146" s="197">
        <f t="shared" si="381"/>
        <v>1360.5764607475226</v>
      </c>
      <c r="BP146" s="197">
        <f t="shared" si="382"/>
        <v>4680.6190128795706</v>
      </c>
      <c r="BQ146" s="197">
        <f t="shared" si="383"/>
        <v>6825.6434990876241</v>
      </c>
      <c r="BR146" s="199">
        <f t="shared" si="384"/>
        <v>8186.2199598351472</v>
      </c>
      <c r="BV146" s="900">
        <v>9</v>
      </c>
      <c r="BW146" s="911">
        <f>'Arable Inputs'!$H$18</f>
        <v>8.14</v>
      </c>
      <c r="BX146" s="760">
        <f>'Arable Inputs'!$H$25</f>
        <v>182.8</v>
      </c>
      <c r="BY146" s="762">
        <f t="shared" si="385"/>
        <v>1487.9920000000002</v>
      </c>
      <c r="BZ146" s="197">
        <f>'Arable NPV'!$D125</f>
        <v>175.95</v>
      </c>
      <c r="CA146" s="197">
        <f t="shared" si="416"/>
        <v>1663.9420000000002</v>
      </c>
      <c r="CB146" s="197">
        <f>'Arable NPV'!$F125</f>
        <v>574.23049999999989</v>
      </c>
      <c r="CC146" s="197">
        <f>'Arable NPV'!$G125</f>
        <v>636.366536</v>
      </c>
      <c r="CD146" s="197">
        <f t="shared" si="386"/>
        <v>2421.1940719999998</v>
      </c>
      <c r="CE146" s="197">
        <f t="shared" si="387"/>
        <v>-933.20207199999959</v>
      </c>
      <c r="CF146" s="197">
        <f t="shared" si="388"/>
        <v>-757.25207199999954</v>
      </c>
      <c r="CG146" s="196">
        <f t="shared" si="389"/>
        <v>1087.261179521312</v>
      </c>
      <c r="CH146" s="197">
        <f t="shared" si="390"/>
        <v>128.56494157009902</v>
      </c>
      <c r="CI146" s="197">
        <f t="shared" si="391"/>
        <v>1769.1427928192677</v>
      </c>
      <c r="CJ146" s="197">
        <f t="shared" si="392"/>
        <v>-681.88161329795571</v>
      </c>
      <c r="CK146" s="197">
        <f t="shared" si="393"/>
        <v>-553.3166717278566</v>
      </c>
      <c r="CL146" s="196">
        <f t="shared" si="394"/>
        <v>11506.262511967194</v>
      </c>
      <c r="CM146" s="197">
        <f t="shared" si="395"/>
        <v>1360.5764607475226</v>
      </c>
      <c r="CN146" s="197">
        <f t="shared" si="396"/>
        <v>18722.476051518282</v>
      </c>
      <c r="CO146" s="197">
        <f t="shared" si="397"/>
        <v>-7216.2135395510886</v>
      </c>
      <c r="CP146" s="199">
        <f t="shared" si="398"/>
        <v>-5855.6370788035656</v>
      </c>
      <c r="CT146" s="900">
        <v>9</v>
      </c>
      <c r="CU146" s="911">
        <f>'Arable Inputs'!$H$18</f>
        <v>8.14</v>
      </c>
      <c r="CV146" s="760">
        <f>'Arable Inputs'!$H$25</f>
        <v>182.8</v>
      </c>
      <c r="CW146" s="762">
        <f t="shared" si="399"/>
        <v>1487.9920000000002</v>
      </c>
      <c r="CX146" s="197">
        <f>'Arable NPV'!$D125</f>
        <v>175.95</v>
      </c>
      <c r="CY146" s="197">
        <f t="shared" si="417"/>
        <v>1663.9420000000002</v>
      </c>
      <c r="CZ146" s="197">
        <f>'Arable NPV'!$F125</f>
        <v>574.23049999999989</v>
      </c>
      <c r="DA146" s="197">
        <f>'Arable NPV'!$G125</f>
        <v>636.366536</v>
      </c>
      <c r="DB146" s="197">
        <f t="shared" si="400"/>
        <v>0</v>
      </c>
      <c r="DC146" s="197">
        <f t="shared" si="401"/>
        <v>1487.9920000000002</v>
      </c>
      <c r="DD146" s="197">
        <f t="shared" si="402"/>
        <v>1663.9420000000002</v>
      </c>
      <c r="DE146" s="196">
        <f t="shared" si="403"/>
        <v>1087.261179521312</v>
      </c>
      <c r="DF146" s="197">
        <f t="shared" si="404"/>
        <v>128.56494157009902</v>
      </c>
      <c r="DG146" s="197">
        <f t="shared" si="405"/>
        <v>0</v>
      </c>
      <c r="DH146" s="197">
        <f t="shared" si="406"/>
        <v>1087.261179521312</v>
      </c>
      <c r="DI146" s="197">
        <f t="shared" si="407"/>
        <v>1215.8261210914111</v>
      </c>
      <c r="DJ146" s="196">
        <f t="shared" si="408"/>
        <v>11506.262511967194</v>
      </c>
      <c r="DK146" s="197">
        <f t="shared" si="409"/>
        <v>1360.5764607475226</v>
      </c>
      <c r="DL146" s="197">
        <f t="shared" si="410"/>
        <v>0</v>
      </c>
      <c r="DM146" s="197">
        <f t="shared" si="411"/>
        <v>11506.262511967194</v>
      </c>
      <c r="DN146" s="199">
        <f t="shared" si="412"/>
        <v>12866.838972714719</v>
      </c>
    </row>
    <row r="147" spans="2:118" x14ac:dyDescent="0.3">
      <c r="B147" s="900">
        <v>10</v>
      </c>
      <c r="C147" s="911">
        <f>'Arable Inputs'!$H$18</f>
        <v>8.14</v>
      </c>
      <c r="D147" s="760">
        <f>'Arable Inputs'!$H$25</f>
        <v>182.8</v>
      </c>
      <c r="E147" s="762">
        <f t="shared" si="347"/>
        <v>1487.9920000000002</v>
      </c>
      <c r="F147" s="197">
        <f>'Arable NPV'!$D126</f>
        <v>175.95</v>
      </c>
      <c r="G147" s="197">
        <f t="shared" si="413"/>
        <v>1663.9420000000002</v>
      </c>
      <c r="H147" s="197">
        <f>'Arable NPV'!$F126</f>
        <v>574.23049999999989</v>
      </c>
      <c r="I147" s="197">
        <f>'Arable NPV'!$G126</f>
        <v>636.366536</v>
      </c>
      <c r="J147" s="197">
        <f t="shared" si="348"/>
        <v>1210.5970359999999</v>
      </c>
      <c r="K147" s="197">
        <f t="shared" si="349"/>
        <v>277.3949640000003</v>
      </c>
      <c r="L147" s="197">
        <f t="shared" si="350"/>
        <v>453.34496400000035</v>
      </c>
      <c r="M147" s="196">
        <f t="shared" si="351"/>
        <v>1045.4434418474152</v>
      </c>
      <c r="N147" s="197">
        <f t="shared" si="352"/>
        <v>123.62013612509521</v>
      </c>
      <c r="O147" s="197">
        <f t="shared" si="353"/>
        <v>850.54941962464784</v>
      </c>
      <c r="P147" s="197">
        <f t="shared" si="354"/>
        <v>194.8940222227674</v>
      </c>
      <c r="Q147" s="197">
        <f t="shared" si="355"/>
        <v>318.51415834786269</v>
      </c>
      <c r="R147" s="196">
        <f t="shared" si="356"/>
        <v>12551.70595381461</v>
      </c>
      <c r="S147" s="197">
        <f t="shared" si="356"/>
        <v>1484.1965968726179</v>
      </c>
      <c r="T147" s="197">
        <f t="shared" si="356"/>
        <v>10211.787445383789</v>
      </c>
      <c r="U147" s="197">
        <f t="shared" si="356"/>
        <v>2339.9185084308197</v>
      </c>
      <c r="V147" s="199">
        <f t="shared" si="356"/>
        <v>3824.1151053034373</v>
      </c>
      <c r="Z147" s="900">
        <v>10</v>
      </c>
      <c r="AA147" s="911">
        <f>'Arable Inputs'!$H$18</f>
        <v>8.14</v>
      </c>
      <c r="AB147" s="760">
        <f>'Arable Inputs'!$H$25</f>
        <v>182.8</v>
      </c>
      <c r="AC147" s="762">
        <f t="shared" si="357"/>
        <v>1487.9920000000002</v>
      </c>
      <c r="AD147" s="197">
        <f>'Arable NPV'!$D126</f>
        <v>175.95</v>
      </c>
      <c r="AE147" s="197">
        <f t="shared" si="414"/>
        <v>1663.9420000000002</v>
      </c>
      <c r="AF147" s="197">
        <f>'Arable NPV'!$F126</f>
        <v>574.23049999999989</v>
      </c>
      <c r="AG147" s="197">
        <f>'Arable NPV'!$G126</f>
        <v>636.366536</v>
      </c>
      <c r="AH147" s="197">
        <f t="shared" si="358"/>
        <v>1815.8955539999997</v>
      </c>
      <c r="AI147" s="197">
        <f t="shared" si="359"/>
        <v>-327.90355399999953</v>
      </c>
      <c r="AJ147" s="197">
        <f t="shared" si="360"/>
        <v>-151.95355399999949</v>
      </c>
      <c r="AK147" s="196">
        <f t="shared" si="361"/>
        <v>1045.4434418474152</v>
      </c>
      <c r="AL147" s="197">
        <f t="shared" si="362"/>
        <v>123.62013612509521</v>
      </c>
      <c r="AM147" s="197">
        <f t="shared" si="363"/>
        <v>1275.8241294369718</v>
      </c>
      <c r="AN147" s="197">
        <f t="shared" si="364"/>
        <v>-230.38068758955643</v>
      </c>
      <c r="AO147" s="197">
        <f t="shared" si="365"/>
        <v>-106.76055146446117</v>
      </c>
      <c r="AP147" s="196">
        <f t="shared" si="366"/>
        <v>12551.70595381461</v>
      </c>
      <c r="AQ147" s="197">
        <f t="shared" si="367"/>
        <v>1484.1965968726179</v>
      </c>
      <c r="AR147" s="197">
        <f t="shared" si="368"/>
        <v>15317.681168075684</v>
      </c>
      <c r="AS147" s="197">
        <f t="shared" si="369"/>
        <v>-2765.9752142610737</v>
      </c>
      <c r="AT147" s="199">
        <f t="shared" si="370"/>
        <v>-1281.7786173884556</v>
      </c>
      <c r="AX147" s="900">
        <v>10</v>
      </c>
      <c r="AY147" s="911">
        <f>'Arable Inputs'!$H$18</f>
        <v>8.14</v>
      </c>
      <c r="AZ147" s="760">
        <f>'Arable Inputs'!$H$25</f>
        <v>182.8</v>
      </c>
      <c r="BA147" s="762">
        <f t="shared" si="371"/>
        <v>1487.9920000000002</v>
      </c>
      <c r="BB147" s="197">
        <f>'Arable NPV'!$D126</f>
        <v>175.95</v>
      </c>
      <c r="BC147" s="197">
        <f t="shared" si="415"/>
        <v>1663.9420000000002</v>
      </c>
      <c r="BD147" s="197">
        <f>'Arable NPV'!$F126</f>
        <v>574.23049999999989</v>
      </c>
      <c r="BE147" s="197">
        <f>'Arable NPV'!$G126</f>
        <v>636.366536</v>
      </c>
      <c r="BF147" s="197">
        <f t="shared" si="372"/>
        <v>605.29851799999994</v>
      </c>
      <c r="BG147" s="197">
        <f t="shared" si="373"/>
        <v>882.69348200000024</v>
      </c>
      <c r="BH147" s="197">
        <f t="shared" si="374"/>
        <v>1058.6434820000004</v>
      </c>
      <c r="BI147" s="196">
        <f t="shared" si="375"/>
        <v>1045.4434418474152</v>
      </c>
      <c r="BJ147" s="197">
        <f t="shared" si="376"/>
        <v>123.62013612509521</v>
      </c>
      <c r="BK147" s="197">
        <f t="shared" si="377"/>
        <v>425.27470981232392</v>
      </c>
      <c r="BL147" s="197">
        <f t="shared" si="378"/>
        <v>620.16873203509135</v>
      </c>
      <c r="BM147" s="197">
        <f t="shared" si="379"/>
        <v>743.78886816018667</v>
      </c>
      <c r="BN147" s="196">
        <f t="shared" si="380"/>
        <v>12551.70595381461</v>
      </c>
      <c r="BO147" s="197">
        <f t="shared" si="381"/>
        <v>1484.1965968726179</v>
      </c>
      <c r="BP147" s="197">
        <f t="shared" si="382"/>
        <v>5105.8937226918943</v>
      </c>
      <c r="BQ147" s="197">
        <f t="shared" si="383"/>
        <v>7445.8122311227153</v>
      </c>
      <c r="BR147" s="199">
        <f t="shared" si="384"/>
        <v>8930.0088279953343</v>
      </c>
      <c r="BV147" s="900">
        <v>10</v>
      </c>
      <c r="BW147" s="911">
        <f>'Arable Inputs'!$H$18</f>
        <v>8.14</v>
      </c>
      <c r="BX147" s="760">
        <f>'Arable Inputs'!$H$25</f>
        <v>182.8</v>
      </c>
      <c r="BY147" s="762">
        <f t="shared" si="385"/>
        <v>1487.9920000000002</v>
      </c>
      <c r="BZ147" s="197">
        <f>'Arable NPV'!$D126</f>
        <v>175.95</v>
      </c>
      <c r="CA147" s="197">
        <f t="shared" si="416"/>
        <v>1663.9420000000002</v>
      </c>
      <c r="CB147" s="197">
        <f>'Arable NPV'!$F126</f>
        <v>574.23049999999989</v>
      </c>
      <c r="CC147" s="197">
        <f>'Arable NPV'!$G126</f>
        <v>636.366536</v>
      </c>
      <c r="CD147" s="197">
        <f t="shared" si="386"/>
        <v>2421.1940719999998</v>
      </c>
      <c r="CE147" s="197">
        <f t="shared" si="387"/>
        <v>-933.20207199999959</v>
      </c>
      <c r="CF147" s="197">
        <f t="shared" si="388"/>
        <v>-757.25207199999954</v>
      </c>
      <c r="CG147" s="196">
        <f t="shared" si="389"/>
        <v>1045.4434418474152</v>
      </c>
      <c r="CH147" s="197">
        <f t="shared" si="390"/>
        <v>123.62013612509521</v>
      </c>
      <c r="CI147" s="197">
        <f t="shared" si="391"/>
        <v>1701.0988392492957</v>
      </c>
      <c r="CJ147" s="197">
        <f t="shared" si="392"/>
        <v>-655.65539740188046</v>
      </c>
      <c r="CK147" s="197">
        <f t="shared" si="393"/>
        <v>-532.03526127678515</v>
      </c>
      <c r="CL147" s="196">
        <f t="shared" si="394"/>
        <v>12551.70595381461</v>
      </c>
      <c r="CM147" s="197">
        <f t="shared" si="395"/>
        <v>1484.1965968726179</v>
      </c>
      <c r="CN147" s="197">
        <f t="shared" si="396"/>
        <v>20423.574890767577</v>
      </c>
      <c r="CO147" s="197">
        <f t="shared" si="397"/>
        <v>-7871.8689369529693</v>
      </c>
      <c r="CP147" s="199">
        <f t="shared" si="398"/>
        <v>-6387.6723400803512</v>
      </c>
      <c r="CT147" s="900">
        <v>10</v>
      </c>
      <c r="CU147" s="911">
        <f>'Arable Inputs'!$H$18</f>
        <v>8.14</v>
      </c>
      <c r="CV147" s="760">
        <f>'Arable Inputs'!$H$25</f>
        <v>182.8</v>
      </c>
      <c r="CW147" s="762">
        <f t="shared" si="399"/>
        <v>1487.9920000000002</v>
      </c>
      <c r="CX147" s="197">
        <f>'Arable NPV'!$D126</f>
        <v>175.95</v>
      </c>
      <c r="CY147" s="197">
        <f t="shared" si="417"/>
        <v>1663.9420000000002</v>
      </c>
      <c r="CZ147" s="197">
        <f>'Arable NPV'!$F126</f>
        <v>574.23049999999989</v>
      </c>
      <c r="DA147" s="197">
        <f>'Arable NPV'!$G126</f>
        <v>636.366536</v>
      </c>
      <c r="DB147" s="197">
        <f t="shared" si="400"/>
        <v>0</v>
      </c>
      <c r="DC147" s="197">
        <f t="shared" si="401"/>
        <v>1487.9920000000002</v>
      </c>
      <c r="DD147" s="197">
        <f t="shared" si="402"/>
        <v>1663.9420000000002</v>
      </c>
      <c r="DE147" s="196">
        <f t="shared" si="403"/>
        <v>1045.4434418474152</v>
      </c>
      <c r="DF147" s="197">
        <f t="shared" si="404"/>
        <v>123.62013612509521</v>
      </c>
      <c r="DG147" s="197">
        <f t="shared" si="405"/>
        <v>0</v>
      </c>
      <c r="DH147" s="197">
        <f t="shared" si="406"/>
        <v>1045.4434418474152</v>
      </c>
      <c r="DI147" s="197">
        <f t="shared" si="407"/>
        <v>1169.0635779725105</v>
      </c>
      <c r="DJ147" s="196">
        <f t="shared" si="408"/>
        <v>12551.70595381461</v>
      </c>
      <c r="DK147" s="197">
        <f t="shared" si="409"/>
        <v>1484.1965968726179</v>
      </c>
      <c r="DL147" s="197">
        <f t="shared" si="410"/>
        <v>0</v>
      </c>
      <c r="DM147" s="197">
        <f t="shared" si="411"/>
        <v>12551.70595381461</v>
      </c>
      <c r="DN147" s="199">
        <f t="shared" si="412"/>
        <v>14035.902550687229</v>
      </c>
    </row>
    <row r="148" spans="2:118" x14ac:dyDescent="0.3">
      <c r="B148" s="900">
        <v>11</v>
      </c>
      <c r="C148" s="911">
        <f>'Arable Inputs'!$H$18</f>
        <v>8.14</v>
      </c>
      <c r="D148" s="760">
        <f>'Arable Inputs'!$H$25</f>
        <v>182.8</v>
      </c>
      <c r="E148" s="762">
        <f t="shared" si="347"/>
        <v>1487.9920000000002</v>
      </c>
      <c r="F148" s="197">
        <f>'Arable NPV'!$D127</f>
        <v>175.95</v>
      </c>
      <c r="G148" s="197">
        <f t="shared" si="413"/>
        <v>1663.9420000000002</v>
      </c>
      <c r="H148" s="197">
        <f>'Arable NPV'!$F127</f>
        <v>574.23049999999989</v>
      </c>
      <c r="I148" s="197">
        <f>'Arable NPV'!$G127</f>
        <v>636.366536</v>
      </c>
      <c r="J148" s="197">
        <f t="shared" si="348"/>
        <v>1210.5970359999999</v>
      </c>
      <c r="K148" s="197">
        <f t="shared" si="349"/>
        <v>277.3949640000003</v>
      </c>
      <c r="L148" s="197">
        <f t="shared" si="350"/>
        <v>453.34496400000035</v>
      </c>
      <c r="M148" s="196">
        <f t="shared" si="351"/>
        <v>1005.2340786994378</v>
      </c>
      <c r="N148" s="197">
        <f t="shared" si="352"/>
        <v>118.86551550489925</v>
      </c>
      <c r="O148" s="197">
        <f t="shared" si="353"/>
        <v>817.83598040831521</v>
      </c>
      <c r="P148" s="197">
        <f t="shared" si="354"/>
        <v>187.39809829112252</v>
      </c>
      <c r="Q148" s="197">
        <f t="shared" si="355"/>
        <v>306.26361379602179</v>
      </c>
      <c r="R148" s="196">
        <f t="shared" si="356"/>
        <v>13556.940032514047</v>
      </c>
      <c r="S148" s="197">
        <f t="shared" si="356"/>
        <v>1603.0621123775172</v>
      </c>
      <c r="T148" s="197">
        <f t="shared" si="356"/>
        <v>11029.623425792104</v>
      </c>
      <c r="U148" s="197">
        <f t="shared" si="356"/>
        <v>2527.3166067219422</v>
      </c>
      <c r="V148" s="199">
        <f t="shared" si="356"/>
        <v>4130.378719099459</v>
      </c>
      <c r="Z148" s="900">
        <v>11</v>
      </c>
      <c r="AA148" s="911">
        <f>'Arable Inputs'!$H$18</f>
        <v>8.14</v>
      </c>
      <c r="AB148" s="760">
        <f>'Arable Inputs'!$H$25</f>
        <v>182.8</v>
      </c>
      <c r="AC148" s="762">
        <f t="shared" si="357"/>
        <v>1487.9920000000002</v>
      </c>
      <c r="AD148" s="197">
        <f>'Arable NPV'!$D127</f>
        <v>175.95</v>
      </c>
      <c r="AE148" s="197">
        <f t="shared" si="414"/>
        <v>1663.9420000000002</v>
      </c>
      <c r="AF148" s="197">
        <f>'Arable NPV'!$F127</f>
        <v>574.23049999999989</v>
      </c>
      <c r="AG148" s="197">
        <f>'Arable NPV'!$G127</f>
        <v>636.366536</v>
      </c>
      <c r="AH148" s="197">
        <f t="shared" si="358"/>
        <v>1815.8955539999997</v>
      </c>
      <c r="AI148" s="197">
        <f t="shared" si="359"/>
        <v>-327.90355399999953</v>
      </c>
      <c r="AJ148" s="197">
        <f t="shared" si="360"/>
        <v>-151.95355399999949</v>
      </c>
      <c r="AK148" s="196">
        <f t="shared" si="361"/>
        <v>1005.2340786994378</v>
      </c>
      <c r="AL148" s="197">
        <f t="shared" si="362"/>
        <v>118.86551550489925</v>
      </c>
      <c r="AM148" s="197">
        <f t="shared" si="363"/>
        <v>1226.7539706124728</v>
      </c>
      <c r="AN148" s="197">
        <f t="shared" si="364"/>
        <v>-221.51989191303502</v>
      </c>
      <c r="AO148" s="197">
        <f t="shared" si="365"/>
        <v>-102.65437640813575</v>
      </c>
      <c r="AP148" s="196">
        <f t="shared" si="366"/>
        <v>13556.940032514047</v>
      </c>
      <c r="AQ148" s="197">
        <f t="shared" si="367"/>
        <v>1603.0621123775172</v>
      </c>
      <c r="AR148" s="197">
        <f t="shared" si="368"/>
        <v>16544.435138688157</v>
      </c>
      <c r="AS148" s="197">
        <f t="shared" si="369"/>
        <v>-2987.4951061741085</v>
      </c>
      <c r="AT148" s="199">
        <f t="shared" si="370"/>
        <v>-1384.4329937965913</v>
      </c>
      <c r="AX148" s="900">
        <v>11</v>
      </c>
      <c r="AY148" s="911">
        <f>'Arable Inputs'!$H$18</f>
        <v>8.14</v>
      </c>
      <c r="AZ148" s="760">
        <f>'Arable Inputs'!$H$25</f>
        <v>182.8</v>
      </c>
      <c r="BA148" s="762">
        <f t="shared" si="371"/>
        <v>1487.9920000000002</v>
      </c>
      <c r="BB148" s="197">
        <f>'Arable NPV'!$D127</f>
        <v>175.95</v>
      </c>
      <c r="BC148" s="197">
        <f t="shared" si="415"/>
        <v>1663.9420000000002</v>
      </c>
      <c r="BD148" s="197">
        <f>'Arable NPV'!$F127</f>
        <v>574.23049999999989</v>
      </c>
      <c r="BE148" s="197">
        <f>'Arable NPV'!$G127</f>
        <v>636.366536</v>
      </c>
      <c r="BF148" s="197">
        <f t="shared" si="372"/>
        <v>605.29851799999994</v>
      </c>
      <c r="BG148" s="197">
        <f t="shared" si="373"/>
        <v>882.69348200000024</v>
      </c>
      <c r="BH148" s="197">
        <f t="shared" si="374"/>
        <v>1058.6434820000004</v>
      </c>
      <c r="BI148" s="196">
        <f t="shared" si="375"/>
        <v>1005.2340786994378</v>
      </c>
      <c r="BJ148" s="197">
        <f t="shared" si="376"/>
        <v>118.86551550489925</v>
      </c>
      <c r="BK148" s="197">
        <f t="shared" si="377"/>
        <v>408.9179902041576</v>
      </c>
      <c r="BL148" s="197">
        <f t="shared" si="378"/>
        <v>596.31608849528016</v>
      </c>
      <c r="BM148" s="197">
        <f t="shared" si="379"/>
        <v>715.1816040001795</v>
      </c>
      <c r="BN148" s="196">
        <f t="shared" si="380"/>
        <v>13556.940032514047</v>
      </c>
      <c r="BO148" s="197">
        <f t="shared" si="381"/>
        <v>1603.0621123775172</v>
      </c>
      <c r="BP148" s="197">
        <f t="shared" si="382"/>
        <v>5514.8117128960521</v>
      </c>
      <c r="BQ148" s="197">
        <f t="shared" si="383"/>
        <v>8042.1283196179957</v>
      </c>
      <c r="BR148" s="199">
        <f t="shared" si="384"/>
        <v>9645.1904319955138</v>
      </c>
      <c r="BV148" s="900">
        <v>11</v>
      </c>
      <c r="BW148" s="911">
        <f>'Arable Inputs'!$H$18</f>
        <v>8.14</v>
      </c>
      <c r="BX148" s="760">
        <f>'Arable Inputs'!$H$25</f>
        <v>182.8</v>
      </c>
      <c r="BY148" s="762">
        <f t="shared" si="385"/>
        <v>1487.9920000000002</v>
      </c>
      <c r="BZ148" s="197">
        <f>'Arable NPV'!$D127</f>
        <v>175.95</v>
      </c>
      <c r="CA148" s="197">
        <f t="shared" si="416"/>
        <v>1663.9420000000002</v>
      </c>
      <c r="CB148" s="197">
        <f>'Arable NPV'!$F127</f>
        <v>574.23049999999989</v>
      </c>
      <c r="CC148" s="197">
        <f>'Arable NPV'!$G127</f>
        <v>636.366536</v>
      </c>
      <c r="CD148" s="197">
        <f t="shared" si="386"/>
        <v>2421.1940719999998</v>
      </c>
      <c r="CE148" s="197">
        <f t="shared" si="387"/>
        <v>-933.20207199999959</v>
      </c>
      <c r="CF148" s="197">
        <f t="shared" si="388"/>
        <v>-757.25207199999954</v>
      </c>
      <c r="CG148" s="196">
        <f t="shared" si="389"/>
        <v>1005.2340786994378</v>
      </c>
      <c r="CH148" s="197">
        <f t="shared" si="390"/>
        <v>118.86551550489925</v>
      </c>
      <c r="CI148" s="197">
        <f t="shared" si="391"/>
        <v>1635.6719608166304</v>
      </c>
      <c r="CJ148" s="197">
        <f t="shared" si="392"/>
        <v>-630.43788211719277</v>
      </c>
      <c r="CK148" s="197">
        <f t="shared" si="393"/>
        <v>-511.57236661229348</v>
      </c>
      <c r="CL148" s="196">
        <f t="shared" si="394"/>
        <v>13556.940032514047</v>
      </c>
      <c r="CM148" s="197">
        <f t="shared" si="395"/>
        <v>1603.0621123775172</v>
      </c>
      <c r="CN148" s="197">
        <f t="shared" si="396"/>
        <v>22059.246851584208</v>
      </c>
      <c r="CO148" s="197">
        <f t="shared" si="397"/>
        <v>-8502.3068190701615</v>
      </c>
      <c r="CP148" s="199">
        <f t="shared" si="398"/>
        <v>-6899.2447066926443</v>
      </c>
      <c r="CT148" s="900">
        <v>11</v>
      </c>
      <c r="CU148" s="911">
        <f>'Arable Inputs'!$H$18</f>
        <v>8.14</v>
      </c>
      <c r="CV148" s="760">
        <f>'Arable Inputs'!$H$25</f>
        <v>182.8</v>
      </c>
      <c r="CW148" s="762">
        <f t="shared" si="399"/>
        <v>1487.9920000000002</v>
      </c>
      <c r="CX148" s="197">
        <f>'Arable NPV'!$D127</f>
        <v>175.95</v>
      </c>
      <c r="CY148" s="197">
        <f t="shared" si="417"/>
        <v>1663.9420000000002</v>
      </c>
      <c r="CZ148" s="197">
        <f>'Arable NPV'!$F127</f>
        <v>574.23049999999989</v>
      </c>
      <c r="DA148" s="197">
        <f>'Arable NPV'!$G127</f>
        <v>636.366536</v>
      </c>
      <c r="DB148" s="197">
        <f t="shared" si="400"/>
        <v>0</v>
      </c>
      <c r="DC148" s="197">
        <f t="shared" si="401"/>
        <v>1487.9920000000002</v>
      </c>
      <c r="DD148" s="197">
        <f t="shared" si="402"/>
        <v>1663.9420000000002</v>
      </c>
      <c r="DE148" s="196">
        <f t="shared" si="403"/>
        <v>1005.2340786994378</v>
      </c>
      <c r="DF148" s="197">
        <f t="shared" si="404"/>
        <v>118.86551550489925</v>
      </c>
      <c r="DG148" s="197">
        <f t="shared" si="405"/>
        <v>0</v>
      </c>
      <c r="DH148" s="197">
        <f t="shared" si="406"/>
        <v>1005.2340786994378</v>
      </c>
      <c r="DI148" s="197">
        <f t="shared" si="407"/>
        <v>1124.0995942043371</v>
      </c>
      <c r="DJ148" s="196">
        <f t="shared" si="408"/>
        <v>13556.940032514047</v>
      </c>
      <c r="DK148" s="197">
        <f t="shared" si="409"/>
        <v>1603.0621123775172</v>
      </c>
      <c r="DL148" s="197">
        <f t="shared" si="410"/>
        <v>0</v>
      </c>
      <c r="DM148" s="197">
        <f t="shared" si="411"/>
        <v>13556.940032514047</v>
      </c>
      <c r="DN148" s="199">
        <f t="shared" si="412"/>
        <v>15160.002144891567</v>
      </c>
    </row>
    <row r="149" spans="2:118" x14ac:dyDescent="0.3">
      <c r="B149" s="900">
        <v>12</v>
      </c>
      <c r="C149" s="911">
        <f>'Arable Inputs'!$H$18</f>
        <v>8.14</v>
      </c>
      <c r="D149" s="760">
        <f>'Arable Inputs'!$H$25</f>
        <v>182.8</v>
      </c>
      <c r="E149" s="762">
        <f t="shared" si="347"/>
        <v>1487.9920000000002</v>
      </c>
      <c r="F149" s="197">
        <f>'Arable NPV'!$D128</f>
        <v>175.95</v>
      </c>
      <c r="G149" s="197">
        <f t="shared" si="413"/>
        <v>1663.9420000000002</v>
      </c>
      <c r="H149" s="197">
        <f>'Arable NPV'!$F128</f>
        <v>574.23049999999989</v>
      </c>
      <c r="I149" s="197">
        <f>'Arable NPV'!$G128</f>
        <v>636.366536</v>
      </c>
      <c r="J149" s="197">
        <f t="shared" si="348"/>
        <v>1210.5970359999999</v>
      </c>
      <c r="K149" s="197">
        <f t="shared" si="349"/>
        <v>277.3949640000003</v>
      </c>
      <c r="L149" s="197">
        <f t="shared" si="350"/>
        <v>453.34496400000035</v>
      </c>
      <c r="M149" s="196">
        <f t="shared" si="351"/>
        <v>966.57122951869019</v>
      </c>
      <c r="N149" s="197">
        <f t="shared" si="352"/>
        <v>114.29376490855698</v>
      </c>
      <c r="O149" s="197">
        <f t="shared" si="353"/>
        <v>786.38075039261093</v>
      </c>
      <c r="P149" s="197">
        <f t="shared" si="354"/>
        <v>180.19047912607937</v>
      </c>
      <c r="Q149" s="197">
        <f t="shared" si="355"/>
        <v>294.48424403463639</v>
      </c>
      <c r="R149" s="196">
        <f t="shared" si="356"/>
        <v>14523.511262032736</v>
      </c>
      <c r="S149" s="197">
        <f t="shared" si="356"/>
        <v>1717.3558772860742</v>
      </c>
      <c r="T149" s="197">
        <f t="shared" si="356"/>
        <v>11816.004176184715</v>
      </c>
      <c r="U149" s="197">
        <f t="shared" si="356"/>
        <v>2707.5070858480217</v>
      </c>
      <c r="V149" s="199">
        <f t="shared" si="356"/>
        <v>4424.8629631340955</v>
      </c>
      <c r="Z149" s="900">
        <v>12</v>
      </c>
      <c r="AA149" s="911">
        <f>'Arable Inputs'!$H$18</f>
        <v>8.14</v>
      </c>
      <c r="AB149" s="760">
        <f>'Arable Inputs'!$H$25</f>
        <v>182.8</v>
      </c>
      <c r="AC149" s="762">
        <f t="shared" si="357"/>
        <v>1487.9920000000002</v>
      </c>
      <c r="AD149" s="197">
        <f>'Arable NPV'!$D128</f>
        <v>175.95</v>
      </c>
      <c r="AE149" s="197">
        <f t="shared" si="414"/>
        <v>1663.9420000000002</v>
      </c>
      <c r="AF149" s="197">
        <f>'Arable NPV'!$F128</f>
        <v>574.23049999999989</v>
      </c>
      <c r="AG149" s="197">
        <f>'Arable NPV'!$G128</f>
        <v>636.366536</v>
      </c>
      <c r="AH149" s="197">
        <f t="shared" si="358"/>
        <v>1815.8955539999997</v>
      </c>
      <c r="AI149" s="197">
        <f t="shared" si="359"/>
        <v>-327.90355399999953</v>
      </c>
      <c r="AJ149" s="197">
        <f t="shared" si="360"/>
        <v>-151.95355399999949</v>
      </c>
      <c r="AK149" s="196">
        <f t="shared" si="361"/>
        <v>966.57122951869019</v>
      </c>
      <c r="AL149" s="197">
        <f t="shared" si="362"/>
        <v>114.29376490855698</v>
      </c>
      <c r="AM149" s="197">
        <f t="shared" si="363"/>
        <v>1179.5711255889162</v>
      </c>
      <c r="AN149" s="197">
        <f t="shared" si="364"/>
        <v>-212.99989607022601</v>
      </c>
      <c r="AO149" s="197">
        <f t="shared" si="365"/>
        <v>-98.706131161668992</v>
      </c>
      <c r="AP149" s="196">
        <f t="shared" si="366"/>
        <v>14523.511262032736</v>
      </c>
      <c r="AQ149" s="197">
        <f t="shared" si="367"/>
        <v>1717.3558772860742</v>
      </c>
      <c r="AR149" s="197">
        <f t="shared" si="368"/>
        <v>17724.006264277072</v>
      </c>
      <c r="AS149" s="197">
        <f t="shared" si="369"/>
        <v>-3200.4950022443345</v>
      </c>
      <c r="AT149" s="199">
        <f t="shared" si="370"/>
        <v>-1483.1391249582603</v>
      </c>
      <c r="AX149" s="900">
        <v>12</v>
      </c>
      <c r="AY149" s="911">
        <f>'Arable Inputs'!$H$18</f>
        <v>8.14</v>
      </c>
      <c r="AZ149" s="760">
        <f>'Arable Inputs'!$H$25</f>
        <v>182.8</v>
      </c>
      <c r="BA149" s="762">
        <f t="shared" si="371"/>
        <v>1487.9920000000002</v>
      </c>
      <c r="BB149" s="197">
        <f>'Arable NPV'!$D128</f>
        <v>175.95</v>
      </c>
      <c r="BC149" s="197">
        <f t="shared" si="415"/>
        <v>1663.9420000000002</v>
      </c>
      <c r="BD149" s="197">
        <f>'Arable NPV'!$F128</f>
        <v>574.23049999999989</v>
      </c>
      <c r="BE149" s="197">
        <f>'Arable NPV'!$G128</f>
        <v>636.366536</v>
      </c>
      <c r="BF149" s="197">
        <f t="shared" si="372"/>
        <v>605.29851799999994</v>
      </c>
      <c r="BG149" s="197">
        <f t="shared" si="373"/>
        <v>882.69348200000024</v>
      </c>
      <c r="BH149" s="197">
        <f t="shared" si="374"/>
        <v>1058.6434820000004</v>
      </c>
      <c r="BI149" s="196">
        <f t="shared" si="375"/>
        <v>966.57122951869019</v>
      </c>
      <c r="BJ149" s="197">
        <f t="shared" si="376"/>
        <v>114.29376490855698</v>
      </c>
      <c r="BK149" s="197">
        <f t="shared" si="377"/>
        <v>393.19037519630547</v>
      </c>
      <c r="BL149" s="197">
        <f t="shared" si="378"/>
        <v>573.38085432238483</v>
      </c>
      <c r="BM149" s="197">
        <f t="shared" si="379"/>
        <v>687.67461923094186</v>
      </c>
      <c r="BN149" s="196">
        <f t="shared" si="380"/>
        <v>14523.511262032736</v>
      </c>
      <c r="BO149" s="197">
        <f t="shared" si="381"/>
        <v>1717.3558772860742</v>
      </c>
      <c r="BP149" s="197">
        <f t="shared" si="382"/>
        <v>5908.0020880923576</v>
      </c>
      <c r="BQ149" s="197">
        <f t="shared" si="383"/>
        <v>8615.5091739403797</v>
      </c>
      <c r="BR149" s="199">
        <f t="shared" si="384"/>
        <v>10332.865051226456</v>
      </c>
      <c r="BV149" s="900">
        <v>12</v>
      </c>
      <c r="BW149" s="911">
        <f>'Arable Inputs'!$H$18</f>
        <v>8.14</v>
      </c>
      <c r="BX149" s="760">
        <f>'Arable Inputs'!$H$25</f>
        <v>182.8</v>
      </c>
      <c r="BY149" s="762">
        <f t="shared" si="385"/>
        <v>1487.9920000000002</v>
      </c>
      <c r="BZ149" s="197">
        <f>'Arable NPV'!$D128</f>
        <v>175.95</v>
      </c>
      <c r="CA149" s="197">
        <f t="shared" si="416"/>
        <v>1663.9420000000002</v>
      </c>
      <c r="CB149" s="197">
        <f>'Arable NPV'!$F128</f>
        <v>574.23049999999989</v>
      </c>
      <c r="CC149" s="197">
        <f>'Arable NPV'!$G128</f>
        <v>636.366536</v>
      </c>
      <c r="CD149" s="197">
        <f t="shared" si="386"/>
        <v>2421.1940719999998</v>
      </c>
      <c r="CE149" s="197">
        <f t="shared" si="387"/>
        <v>-933.20207199999959</v>
      </c>
      <c r="CF149" s="197">
        <f t="shared" si="388"/>
        <v>-757.25207199999954</v>
      </c>
      <c r="CG149" s="196">
        <f t="shared" si="389"/>
        <v>966.57122951869019</v>
      </c>
      <c r="CH149" s="197">
        <f t="shared" si="390"/>
        <v>114.29376490855698</v>
      </c>
      <c r="CI149" s="197">
        <f t="shared" si="391"/>
        <v>1572.7615007852219</v>
      </c>
      <c r="CJ149" s="197">
        <f t="shared" si="392"/>
        <v>-606.19027126653157</v>
      </c>
      <c r="CK149" s="197">
        <f t="shared" si="393"/>
        <v>-491.89650635797449</v>
      </c>
      <c r="CL149" s="196">
        <f t="shared" si="394"/>
        <v>14523.511262032736</v>
      </c>
      <c r="CM149" s="197">
        <f t="shared" si="395"/>
        <v>1717.3558772860742</v>
      </c>
      <c r="CN149" s="197">
        <f t="shared" si="396"/>
        <v>23632.00835236943</v>
      </c>
      <c r="CO149" s="197">
        <f t="shared" si="397"/>
        <v>-9108.4970903366939</v>
      </c>
      <c r="CP149" s="199">
        <f t="shared" si="398"/>
        <v>-7391.1412130506187</v>
      </c>
      <c r="CT149" s="900">
        <v>12</v>
      </c>
      <c r="CU149" s="911">
        <f>'Arable Inputs'!$H$18</f>
        <v>8.14</v>
      </c>
      <c r="CV149" s="760">
        <f>'Arable Inputs'!$H$25</f>
        <v>182.8</v>
      </c>
      <c r="CW149" s="762">
        <f t="shared" si="399"/>
        <v>1487.9920000000002</v>
      </c>
      <c r="CX149" s="197">
        <f>'Arable NPV'!$D128</f>
        <v>175.95</v>
      </c>
      <c r="CY149" s="197">
        <f t="shared" si="417"/>
        <v>1663.9420000000002</v>
      </c>
      <c r="CZ149" s="197">
        <f>'Arable NPV'!$F128</f>
        <v>574.23049999999989</v>
      </c>
      <c r="DA149" s="197">
        <f>'Arable NPV'!$G128</f>
        <v>636.366536</v>
      </c>
      <c r="DB149" s="197">
        <f t="shared" si="400"/>
        <v>0</v>
      </c>
      <c r="DC149" s="197">
        <f t="shared" si="401"/>
        <v>1487.9920000000002</v>
      </c>
      <c r="DD149" s="197">
        <f t="shared" si="402"/>
        <v>1663.9420000000002</v>
      </c>
      <c r="DE149" s="196">
        <f t="shared" si="403"/>
        <v>966.57122951869019</v>
      </c>
      <c r="DF149" s="197">
        <f t="shared" si="404"/>
        <v>114.29376490855698</v>
      </c>
      <c r="DG149" s="197">
        <f t="shared" si="405"/>
        <v>0</v>
      </c>
      <c r="DH149" s="197">
        <f t="shared" si="406"/>
        <v>966.57122951869019</v>
      </c>
      <c r="DI149" s="197">
        <f t="shared" si="407"/>
        <v>1080.8649944272472</v>
      </c>
      <c r="DJ149" s="196">
        <f t="shared" si="408"/>
        <v>14523.511262032736</v>
      </c>
      <c r="DK149" s="197">
        <f t="shared" si="409"/>
        <v>1717.3558772860742</v>
      </c>
      <c r="DL149" s="197">
        <f t="shared" si="410"/>
        <v>0</v>
      </c>
      <c r="DM149" s="197">
        <f t="shared" si="411"/>
        <v>14523.511262032736</v>
      </c>
      <c r="DN149" s="199">
        <f t="shared" si="412"/>
        <v>16240.867139318814</v>
      </c>
    </row>
    <row r="150" spans="2:118" x14ac:dyDescent="0.3">
      <c r="B150" s="900">
        <v>13</v>
      </c>
      <c r="C150" s="911">
        <f>'Arable Inputs'!$H$18</f>
        <v>8.14</v>
      </c>
      <c r="D150" s="760">
        <f>'Arable Inputs'!$H$25</f>
        <v>182.8</v>
      </c>
      <c r="E150" s="762">
        <f t="shared" si="347"/>
        <v>1487.9920000000002</v>
      </c>
      <c r="F150" s="197">
        <f>'Arable NPV'!$D129</f>
        <v>175.95</v>
      </c>
      <c r="G150" s="197">
        <f t="shared" si="413"/>
        <v>1663.9420000000002</v>
      </c>
      <c r="H150" s="197">
        <f>'Arable NPV'!$F129</f>
        <v>574.23049999999989</v>
      </c>
      <c r="I150" s="197">
        <f>'Arable NPV'!$G129</f>
        <v>636.366536</v>
      </c>
      <c r="J150" s="197">
        <f t="shared" si="348"/>
        <v>1210.5970359999999</v>
      </c>
      <c r="K150" s="197">
        <f t="shared" si="349"/>
        <v>277.3949640000003</v>
      </c>
      <c r="L150" s="197">
        <f t="shared" si="350"/>
        <v>453.34496400000035</v>
      </c>
      <c r="M150" s="196">
        <f t="shared" si="351"/>
        <v>929.39541299874043</v>
      </c>
      <c r="N150" s="197">
        <f t="shared" si="352"/>
        <v>109.89785087361246</v>
      </c>
      <c r="O150" s="197">
        <f t="shared" si="353"/>
        <v>756.13533691597183</v>
      </c>
      <c r="P150" s="197">
        <f t="shared" si="354"/>
        <v>173.26007608276856</v>
      </c>
      <c r="Q150" s="197">
        <f t="shared" si="355"/>
        <v>283.15792695638106</v>
      </c>
      <c r="R150" s="196">
        <f t="shared" si="356"/>
        <v>15452.906675031476</v>
      </c>
      <c r="S150" s="197">
        <f t="shared" si="356"/>
        <v>1827.2537281596867</v>
      </c>
      <c r="T150" s="197">
        <f t="shared" si="356"/>
        <v>12572.139513100687</v>
      </c>
      <c r="U150" s="197">
        <f t="shared" si="356"/>
        <v>2880.7671619307903</v>
      </c>
      <c r="V150" s="199">
        <f t="shared" si="356"/>
        <v>4708.0208900904763</v>
      </c>
      <c r="Z150" s="900">
        <v>13</v>
      </c>
      <c r="AA150" s="911">
        <f>'Arable Inputs'!$H$18</f>
        <v>8.14</v>
      </c>
      <c r="AB150" s="760">
        <f>'Arable Inputs'!$H$25</f>
        <v>182.8</v>
      </c>
      <c r="AC150" s="762">
        <f t="shared" si="357"/>
        <v>1487.9920000000002</v>
      </c>
      <c r="AD150" s="197">
        <f>'Arable NPV'!$D129</f>
        <v>175.95</v>
      </c>
      <c r="AE150" s="197">
        <f t="shared" si="414"/>
        <v>1663.9420000000002</v>
      </c>
      <c r="AF150" s="197">
        <f>'Arable NPV'!$F129</f>
        <v>574.23049999999989</v>
      </c>
      <c r="AG150" s="197">
        <f>'Arable NPV'!$G129</f>
        <v>636.366536</v>
      </c>
      <c r="AH150" s="197">
        <f t="shared" si="358"/>
        <v>1815.8955539999997</v>
      </c>
      <c r="AI150" s="197">
        <f t="shared" si="359"/>
        <v>-327.90355399999953</v>
      </c>
      <c r="AJ150" s="197">
        <f t="shared" si="360"/>
        <v>-151.95355399999949</v>
      </c>
      <c r="AK150" s="196">
        <f t="shared" si="361"/>
        <v>929.39541299874043</v>
      </c>
      <c r="AL150" s="197">
        <f t="shared" si="362"/>
        <v>109.89785087361246</v>
      </c>
      <c r="AM150" s="197">
        <f t="shared" si="363"/>
        <v>1134.2030053739577</v>
      </c>
      <c r="AN150" s="197">
        <f t="shared" si="364"/>
        <v>-204.80759237521727</v>
      </c>
      <c r="AO150" s="197">
        <f t="shared" si="365"/>
        <v>-94.909741501604785</v>
      </c>
      <c r="AP150" s="196">
        <f t="shared" si="366"/>
        <v>15452.906675031476</v>
      </c>
      <c r="AQ150" s="197">
        <f t="shared" si="367"/>
        <v>1827.2537281596867</v>
      </c>
      <c r="AR150" s="197">
        <f t="shared" si="368"/>
        <v>18858.20926965103</v>
      </c>
      <c r="AS150" s="197">
        <f t="shared" si="369"/>
        <v>-3405.3025946195517</v>
      </c>
      <c r="AT150" s="199">
        <f t="shared" si="370"/>
        <v>-1578.0488664598649</v>
      </c>
      <c r="AX150" s="900">
        <v>13</v>
      </c>
      <c r="AY150" s="911">
        <f>'Arable Inputs'!$H$18</f>
        <v>8.14</v>
      </c>
      <c r="AZ150" s="760">
        <f>'Arable Inputs'!$H$25</f>
        <v>182.8</v>
      </c>
      <c r="BA150" s="762">
        <f t="shared" si="371"/>
        <v>1487.9920000000002</v>
      </c>
      <c r="BB150" s="197">
        <f>'Arable NPV'!$D129</f>
        <v>175.95</v>
      </c>
      <c r="BC150" s="197">
        <f t="shared" si="415"/>
        <v>1663.9420000000002</v>
      </c>
      <c r="BD150" s="197">
        <f>'Arable NPV'!$F129</f>
        <v>574.23049999999989</v>
      </c>
      <c r="BE150" s="197">
        <f>'Arable NPV'!$G129</f>
        <v>636.366536</v>
      </c>
      <c r="BF150" s="197">
        <f t="shared" si="372"/>
        <v>605.29851799999994</v>
      </c>
      <c r="BG150" s="197">
        <f t="shared" si="373"/>
        <v>882.69348200000024</v>
      </c>
      <c r="BH150" s="197">
        <f t="shared" si="374"/>
        <v>1058.6434820000004</v>
      </c>
      <c r="BI150" s="196">
        <f t="shared" si="375"/>
        <v>929.39541299874043</v>
      </c>
      <c r="BJ150" s="197">
        <f t="shared" si="376"/>
        <v>109.89785087361246</v>
      </c>
      <c r="BK150" s="197">
        <f t="shared" si="377"/>
        <v>378.06766845798592</v>
      </c>
      <c r="BL150" s="197">
        <f t="shared" si="378"/>
        <v>551.32774454075445</v>
      </c>
      <c r="BM150" s="197">
        <f t="shared" si="379"/>
        <v>661.22559541436704</v>
      </c>
      <c r="BN150" s="196">
        <f t="shared" si="380"/>
        <v>15452.906675031476</v>
      </c>
      <c r="BO150" s="197">
        <f t="shared" si="381"/>
        <v>1827.2537281596867</v>
      </c>
      <c r="BP150" s="197">
        <f t="shared" si="382"/>
        <v>6286.0697565503433</v>
      </c>
      <c r="BQ150" s="197">
        <f t="shared" si="383"/>
        <v>9166.8369184811345</v>
      </c>
      <c r="BR150" s="199">
        <f t="shared" si="384"/>
        <v>10994.090646640823</v>
      </c>
      <c r="BV150" s="900">
        <v>13</v>
      </c>
      <c r="BW150" s="911">
        <f>'Arable Inputs'!$H$18</f>
        <v>8.14</v>
      </c>
      <c r="BX150" s="760">
        <f>'Arable Inputs'!$H$25</f>
        <v>182.8</v>
      </c>
      <c r="BY150" s="762">
        <f t="shared" si="385"/>
        <v>1487.9920000000002</v>
      </c>
      <c r="BZ150" s="197">
        <f>'Arable NPV'!$D129</f>
        <v>175.95</v>
      </c>
      <c r="CA150" s="197">
        <f t="shared" si="416"/>
        <v>1663.9420000000002</v>
      </c>
      <c r="CB150" s="197">
        <f>'Arable NPV'!$F129</f>
        <v>574.23049999999989</v>
      </c>
      <c r="CC150" s="197">
        <f>'Arable NPV'!$G129</f>
        <v>636.366536</v>
      </c>
      <c r="CD150" s="197">
        <f t="shared" si="386"/>
        <v>2421.1940719999998</v>
      </c>
      <c r="CE150" s="197">
        <f t="shared" si="387"/>
        <v>-933.20207199999959</v>
      </c>
      <c r="CF150" s="197">
        <f t="shared" si="388"/>
        <v>-757.25207199999954</v>
      </c>
      <c r="CG150" s="196">
        <f t="shared" si="389"/>
        <v>929.39541299874043</v>
      </c>
      <c r="CH150" s="197">
        <f t="shared" si="390"/>
        <v>109.89785087361246</v>
      </c>
      <c r="CI150" s="197">
        <f t="shared" si="391"/>
        <v>1512.2706738319437</v>
      </c>
      <c r="CJ150" s="197">
        <f t="shared" si="392"/>
        <v>-582.87526083320324</v>
      </c>
      <c r="CK150" s="197">
        <f t="shared" si="393"/>
        <v>-472.97740995959077</v>
      </c>
      <c r="CL150" s="196">
        <f t="shared" si="394"/>
        <v>15452.906675031476</v>
      </c>
      <c r="CM150" s="197">
        <f t="shared" si="395"/>
        <v>1827.2537281596867</v>
      </c>
      <c r="CN150" s="197">
        <f t="shared" si="396"/>
        <v>25144.279026201373</v>
      </c>
      <c r="CO150" s="197">
        <f t="shared" si="397"/>
        <v>-9691.3723511698972</v>
      </c>
      <c r="CP150" s="199">
        <f t="shared" si="398"/>
        <v>-7864.1186230102094</v>
      </c>
      <c r="CT150" s="900">
        <v>13</v>
      </c>
      <c r="CU150" s="911">
        <f>'Arable Inputs'!$H$18</f>
        <v>8.14</v>
      </c>
      <c r="CV150" s="760">
        <f>'Arable Inputs'!$H$25</f>
        <v>182.8</v>
      </c>
      <c r="CW150" s="762">
        <f t="shared" si="399"/>
        <v>1487.9920000000002</v>
      </c>
      <c r="CX150" s="197">
        <f>'Arable NPV'!$D129</f>
        <v>175.95</v>
      </c>
      <c r="CY150" s="197">
        <f t="shared" si="417"/>
        <v>1663.9420000000002</v>
      </c>
      <c r="CZ150" s="197">
        <f>'Arable NPV'!$F129</f>
        <v>574.23049999999989</v>
      </c>
      <c r="DA150" s="197">
        <f>'Arable NPV'!$G129</f>
        <v>636.366536</v>
      </c>
      <c r="DB150" s="197">
        <f t="shared" si="400"/>
        <v>0</v>
      </c>
      <c r="DC150" s="197">
        <f t="shared" si="401"/>
        <v>1487.9920000000002</v>
      </c>
      <c r="DD150" s="197">
        <f t="shared" si="402"/>
        <v>1663.9420000000002</v>
      </c>
      <c r="DE150" s="196">
        <f t="shared" si="403"/>
        <v>929.39541299874043</v>
      </c>
      <c r="DF150" s="197">
        <f t="shared" si="404"/>
        <v>109.89785087361246</v>
      </c>
      <c r="DG150" s="197">
        <f t="shared" si="405"/>
        <v>0</v>
      </c>
      <c r="DH150" s="197">
        <f t="shared" si="406"/>
        <v>929.39541299874043</v>
      </c>
      <c r="DI150" s="197">
        <f t="shared" si="407"/>
        <v>1039.2932638723528</v>
      </c>
      <c r="DJ150" s="196">
        <f t="shared" si="408"/>
        <v>15452.906675031476</v>
      </c>
      <c r="DK150" s="197">
        <f t="shared" si="409"/>
        <v>1827.2537281596867</v>
      </c>
      <c r="DL150" s="197">
        <f t="shared" si="410"/>
        <v>0</v>
      </c>
      <c r="DM150" s="197">
        <f t="shared" si="411"/>
        <v>15452.906675031476</v>
      </c>
      <c r="DN150" s="199">
        <f t="shared" si="412"/>
        <v>17280.160403191167</v>
      </c>
    </row>
    <row r="151" spans="2:118" x14ac:dyDescent="0.3">
      <c r="B151" s="900">
        <v>14</v>
      </c>
      <c r="C151" s="911">
        <f>'Arable Inputs'!$H$18</f>
        <v>8.14</v>
      </c>
      <c r="D151" s="760">
        <f>'Arable Inputs'!$H$25</f>
        <v>182.8</v>
      </c>
      <c r="E151" s="762">
        <f t="shared" si="347"/>
        <v>1487.9920000000002</v>
      </c>
      <c r="F151" s="197">
        <f>'Arable NPV'!$D130</f>
        <v>175.95</v>
      </c>
      <c r="G151" s="197">
        <f t="shared" si="413"/>
        <v>1663.9420000000002</v>
      </c>
      <c r="H151" s="197">
        <f>'Arable NPV'!$F130</f>
        <v>574.23049999999989</v>
      </c>
      <c r="I151" s="197">
        <f>'Arable NPV'!$G130</f>
        <v>636.366536</v>
      </c>
      <c r="J151" s="197">
        <f t="shared" si="348"/>
        <v>1210.5970359999999</v>
      </c>
      <c r="K151" s="197">
        <f t="shared" si="349"/>
        <v>277.3949640000003</v>
      </c>
      <c r="L151" s="197">
        <f t="shared" si="350"/>
        <v>453.34496400000035</v>
      </c>
      <c r="M151" s="196">
        <f t="shared" si="351"/>
        <v>893.64943557571189</v>
      </c>
      <c r="N151" s="197">
        <f t="shared" si="352"/>
        <v>105.67101045539658</v>
      </c>
      <c r="O151" s="197">
        <f t="shared" si="353"/>
        <v>727.0532085730498</v>
      </c>
      <c r="P151" s="197">
        <f t="shared" si="354"/>
        <v>166.59622700266209</v>
      </c>
      <c r="Q151" s="197">
        <f t="shared" si="355"/>
        <v>272.26723745805873</v>
      </c>
      <c r="R151" s="196">
        <f t="shared" si="356"/>
        <v>16346.556110607187</v>
      </c>
      <c r="S151" s="197">
        <f t="shared" si="356"/>
        <v>1932.9247386150832</v>
      </c>
      <c r="T151" s="197">
        <f t="shared" si="356"/>
        <v>13299.192721673737</v>
      </c>
      <c r="U151" s="197">
        <f t="shared" si="356"/>
        <v>3047.3633889334524</v>
      </c>
      <c r="V151" s="199">
        <f t="shared" si="356"/>
        <v>4980.2881275485352</v>
      </c>
      <c r="Z151" s="900">
        <v>14</v>
      </c>
      <c r="AA151" s="911">
        <f>'Arable Inputs'!$H$18</f>
        <v>8.14</v>
      </c>
      <c r="AB151" s="760">
        <f>'Arable Inputs'!$H$25</f>
        <v>182.8</v>
      </c>
      <c r="AC151" s="762">
        <f t="shared" si="357"/>
        <v>1487.9920000000002</v>
      </c>
      <c r="AD151" s="197">
        <f>'Arable NPV'!$D130</f>
        <v>175.95</v>
      </c>
      <c r="AE151" s="197">
        <f t="shared" si="414"/>
        <v>1663.9420000000002</v>
      </c>
      <c r="AF151" s="197">
        <f>'Arable NPV'!$F130</f>
        <v>574.23049999999989</v>
      </c>
      <c r="AG151" s="197">
        <f>'Arable NPV'!$G130</f>
        <v>636.366536</v>
      </c>
      <c r="AH151" s="197">
        <f t="shared" si="358"/>
        <v>1815.8955539999997</v>
      </c>
      <c r="AI151" s="197">
        <f t="shared" si="359"/>
        <v>-327.90355399999953</v>
      </c>
      <c r="AJ151" s="197">
        <f t="shared" si="360"/>
        <v>-151.95355399999949</v>
      </c>
      <c r="AK151" s="196">
        <f t="shared" si="361"/>
        <v>893.64943557571189</v>
      </c>
      <c r="AL151" s="197">
        <f t="shared" si="362"/>
        <v>105.67101045539658</v>
      </c>
      <c r="AM151" s="197">
        <f t="shared" si="363"/>
        <v>1090.5798128595748</v>
      </c>
      <c r="AN151" s="197">
        <f t="shared" si="364"/>
        <v>-196.93037728386275</v>
      </c>
      <c r="AO151" s="197">
        <f t="shared" si="365"/>
        <v>-91.259366828466142</v>
      </c>
      <c r="AP151" s="196">
        <f t="shared" si="366"/>
        <v>16346.556110607187</v>
      </c>
      <c r="AQ151" s="197">
        <f t="shared" si="367"/>
        <v>1932.9247386150832</v>
      </c>
      <c r="AR151" s="197">
        <f t="shared" si="368"/>
        <v>19948.789082510604</v>
      </c>
      <c r="AS151" s="197">
        <f t="shared" si="369"/>
        <v>-3602.2329719034142</v>
      </c>
      <c r="AT151" s="199">
        <f t="shared" si="370"/>
        <v>-1669.3082332883312</v>
      </c>
      <c r="AX151" s="900">
        <v>14</v>
      </c>
      <c r="AY151" s="911">
        <f>'Arable Inputs'!$H$18</f>
        <v>8.14</v>
      </c>
      <c r="AZ151" s="760">
        <f>'Arable Inputs'!$H$25</f>
        <v>182.8</v>
      </c>
      <c r="BA151" s="762">
        <f t="shared" si="371"/>
        <v>1487.9920000000002</v>
      </c>
      <c r="BB151" s="197">
        <f>'Arable NPV'!$D130</f>
        <v>175.95</v>
      </c>
      <c r="BC151" s="197">
        <f t="shared" si="415"/>
        <v>1663.9420000000002</v>
      </c>
      <c r="BD151" s="197">
        <f>'Arable NPV'!$F130</f>
        <v>574.23049999999989</v>
      </c>
      <c r="BE151" s="197">
        <f>'Arable NPV'!$G130</f>
        <v>636.366536</v>
      </c>
      <c r="BF151" s="197">
        <f t="shared" si="372"/>
        <v>605.29851799999994</v>
      </c>
      <c r="BG151" s="197">
        <f t="shared" si="373"/>
        <v>882.69348200000024</v>
      </c>
      <c r="BH151" s="197">
        <f t="shared" si="374"/>
        <v>1058.6434820000004</v>
      </c>
      <c r="BI151" s="196">
        <f t="shared" si="375"/>
        <v>893.64943557571189</v>
      </c>
      <c r="BJ151" s="197">
        <f t="shared" si="376"/>
        <v>105.67101045539658</v>
      </c>
      <c r="BK151" s="197">
        <f t="shared" si="377"/>
        <v>363.5266042865249</v>
      </c>
      <c r="BL151" s="197">
        <f t="shared" si="378"/>
        <v>530.12283128918705</v>
      </c>
      <c r="BM151" s="197">
        <f t="shared" si="379"/>
        <v>635.79384174458369</v>
      </c>
      <c r="BN151" s="196">
        <f t="shared" si="380"/>
        <v>16346.556110607187</v>
      </c>
      <c r="BO151" s="197">
        <f t="shared" si="381"/>
        <v>1932.9247386150832</v>
      </c>
      <c r="BP151" s="197">
        <f t="shared" si="382"/>
        <v>6649.5963608368684</v>
      </c>
      <c r="BQ151" s="197">
        <f t="shared" si="383"/>
        <v>9696.9597497703217</v>
      </c>
      <c r="BR151" s="199">
        <f t="shared" si="384"/>
        <v>11629.884488385407</v>
      </c>
      <c r="BV151" s="900">
        <v>14</v>
      </c>
      <c r="BW151" s="911">
        <f>'Arable Inputs'!$H$18</f>
        <v>8.14</v>
      </c>
      <c r="BX151" s="760">
        <f>'Arable Inputs'!$H$25</f>
        <v>182.8</v>
      </c>
      <c r="BY151" s="762">
        <f t="shared" si="385"/>
        <v>1487.9920000000002</v>
      </c>
      <c r="BZ151" s="197">
        <f>'Arable NPV'!$D130</f>
        <v>175.95</v>
      </c>
      <c r="CA151" s="197">
        <f t="shared" si="416"/>
        <v>1663.9420000000002</v>
      </c>
      <c r="CB151" s="197">
        <f>'Arable NPV'!$F130</f>
        <v>574.23049999999989</v>
      </c>
      <c r="CC151" s="197">
        <f>'Arable NPV'!$G130</f>
        <v>636.366536</v>
      </c>
      <c r="CD151" s="197">
        <f t="shared" si="386"/>
        <v>2421.1940719999998</v>
      </c>
      <c r="CE151" s="197">
        <f t="shared" si="387"/>
        <v>-933.20207199999959</v>
      </c>
      <c r="CF151" s="197">
        <f t="shared" si="388"/>
        <v>-757.25207199999954</v>
      </c>
      <c r="CG151" s="196">
        <f t="shared" si="389"/>
        <v>893.64943557571189</v>
      </c>
      <c r="CH151" s="197">
        <f t="shared" si="390"/>
        <v>105.67101045539658</v>
      </c>
      <c r="CI151" s="197">
        <f t="shared" si="391"/>
        <v>1454.1064171460996</v>
      </c>
      <c r="CJ151" s="197">
        <f t="shared" si="392"/>
        <v>-560.45698157038771</v>
      </c>
      <c r="CK151" s="197">
        <f t="shared" si="393"/>
        <v>-454.78597111499113</v>
      </c>
      <c r="CL151" s="196">
        <f t="shared" si="394"/>
        <v>16346.556110607187</v>
      </c>
      <c r="CM151" s="197">
        <f t="shared" si="395"/>
        <v>1932.9247386150832</v>
      </c>
      <c r="CN151" s="197">
        <f t="shared" si="396"/>
        <v>26598.385443347473</v>
      </c>
      <c r="CO151" s="197">
        <f t="shared" si="397"/>
        <v>-10251.829332740284</v>
      </c>
      <c r="CP151" s="199">
        <f t="shared" si="398"/>
        <v>-8318.9045941252007</v>
      </c>
      <c r="CT151" s="900">
        <v>14</v>
      </c>
      <c r="CU151" s="911">
        <f>'Arable Inputs'!$H$18</f>
        <v>8.14</v>
      </c>
      <c r="CV151" s="760">
        <f>'Arable Inputs'!$H$25</f>
        <v>182.8</v>
      </c>
      <c r="CW151" s="762">
        <f t="shared" si="399"/>
        <v>1487.9920000000002</v>
      </c>
      <c r="CX151" s="197">
        <f>'Arable NPV'!$D130</f>
        <v>175.95</v>
      </c>
      <c r="CY151" s="197">
        <f t="shared" si="417"/>
        <v>1663.9420000000002</v>
      </c>
      <c r="CZ151" s="197">
        <f>'Arable NPV'!$F130</f>
        <v>574.23049999999989</v>
      </c>
      <c r="DA151" s="197">
        <f>'Arable NPV'!$G130</f>
        <v>636.366536</v>
      </c>
      <c r="DB151" s="197">
        <f t="shared" si="400"/>
        <v>0</v>
      </c>
      <c r="DC151" s="197">
        <f t="shared" si="401"/>
        <v>1487.9920000000002</v>
      </c>
      <c r="DD151" s="197">
        <f t="shared" si="402"/>
        <v>1663.9420000000002</v>
      </c>
      <c r="DE151" s="196">
        <f t="shared" si="403"/>
        <v>893.64943557571189</v>
      </c>
      <c r="DF151" s="197">
        <f t="shared" si="404"/>
        <v>105.67101045539658</v>
      </c>
      <c r="DG151" s="197">
        <f t="shared" si="405"/>
        <v>0</v>
      </c>
      <c r="DH151" s="197">
        <f t="shared" si="406"/>
        <v>893.64943557571189</v>
      </c>
      <c r="DI151" s="197">
        <f t="shared" si="407"/>
        <v>999.32044603110853</v>
      </c>
      <c r="DJ151" s="196">
        <f t="shared" si="408"/>
        <v>16346.556110607187</v>
      </c>
      <c r="DK151" s="197">
        <f t="shared" si="409"/>
        <v>1932.9247386150832</v>
      </c>
      <c r="DL151" s="197">
        <f t="shared" si="410"/>
        <v>0</v>
      </c>
      <c r="DM151" s="197">
        <f t="shared" si="411"/>
        <v>16346.556110607187</v>
      </c>
      <c r="DN151" s="199">
        <f t="shared" si="412"/>
        <v>18279.480849222276</v>
      </c>
    </row>
    <row r="152" spans="2:118" x14ac:dyDescent="0.3">
      <c r="B152" s="900">
        <v>15</v>
      </c>
      <c r="C152" s="911">
        <f>'Arable Inputs'!$H$18</f>
        <v>8.14</v>
      </c>
      <c r="D152" s="760">
        <f>'Arable Inputs'!$H$25</f>
        <v>182.8</v>
      </c>
      <c r="E152" s="762">
        <f t="shared" si="347"/>
        <v>1487.9920000000002</v>
      </c>
      <c r="F152" s="197">
        <f>'Arable NPV'!$D131</f>
        <v>175.95</v>
      </c>
      <c r="G152" s="197">
        <f t="shared" si="413"/>
        <v>1663.9420000000002</v>
      </c>
      <c r="H152" s="197">
        <f>'Arable NPV'!$F131</f>
        <v>574.23049999999989</v>
      </c>
      <c r="I152" s="197">
        <f>'Arable NPV'!$G131</f>
        <v>636.366536</v>
      </c>
      <c r="J152" s="197">
        <f t="shared" si="348"/>
        <v>1210.5970359999999</v>
      </c>
      <c r="K152" s="197">
        <f t="shared" si="349"/>
        <v>277.3949640000003</v>
      </c>
      <c r="L152" s="197">
        <f t="shared" si="350"/>
        <v>453.34496400000035</v>
      </c>
      <c r="M152" s="196">
        <f t="shared" si="351"/>
        <v>859.27830343818448</v>
      </c>
      <c r="N152" s="197">
        <f t="shared" si="352"/>
        <v>101.60674082249672</v>
      </c>
      <c r="O152" s="197">
        <f t="shared" si="353"/>
        <v>699.0896236279325</v>
      </c>
      <c r="P152" s="197">
        <f t="shared" si="354"/>
        <v>160.18867981025201</v>
      </c>
      <c r="Q152" s="197">
        <f t="shared" si="355"/>
        <v>261.79542063274874</v>
      </c>
      <c r="R152" s="196">
        <f t="shared" si="356"/>
        <v>17205.83441404537</v>
      </c>
      <c r="S152" s="197">
        <f t="shared" si="356"/>
        <v>2034.5314794375799</v>
      </c>
      <c r="T152" s="197">
        <f t="shared" si="356"/>
        <v>13998.28234530167</v>
      </c>
      <c r="U152" s="197">
        <f t="shared" si="356"/>
        <v>3207.5520687437042</v>
      </c>
      <c r="V152" s="199">
        <f t="shared" si="356"/>
        <v>5242.0835481812837</v>
      </c>
      <c r="Z152" s="900">
        <v>15</v>
      </c>
      <c r="AA152" s="911">
        <f>'Arable Inputs'!$H$18</f>
        <v>8.14</v>
      </c>
      <c r="AB152" s="760">
        <f>'Arable Inputs'!$H$25</f>
        <v>182.8</v>
      </c>
      <c r="AC152" s="762">
        <f t="shared" si="357"/>
        <v>1487.9920000000002</v>
      </c>
      <c r="AD152" s="197">
        <f>'Arable NPV'!$D131</f>
        <v>175.95</v>
      </c>
      <c r="AE152" s="197">
        <f t="shared" si="414"/>
        <v>1663.9420000000002</v>
      </c>
      <c r="AF152" s="197">
        <f>'Arable NPV'!$F131</f>
        <v>574.23049999999989</v>
      </c>
      <c r="AG152" s="197">
        <f>'Arable NPV'!$G131</f>
        <v>636.366536</v>
      </c>
      <c r="AH152" s="197">
        <f t="shared" si="358"/>
        <v>1815.8955539999997</v>
      </c>
      <c r="AI152" s="197">
        <f t="shared" si="359"/>
        <v>-327.90355399999953</v>
      </c>
      <c r="AJ152" s="197">
        <f t="shared" si="360"/>
        <v>-151.95355399999949</v>
      </c>
      <c r="AK152" s="196">
        <f t="shared" si="361"/>
        <v>859.27830343818448</v>
      </c>
      <c r="AL152" s="197">
        <f t="shared" si="362"/>
        <v>101.60674082249672</v>
      </c>
      <c r="AM152" s="197">
        <f t="shared" si="363"/>
        <v>1048.6344354418986</v>
      </c>
      <c r="AN152" s="197">
        <f t="shared" si="364"/>
        <v>-189.35613200371418</v>
      </c>
      <c r="AO152" s="197">
        <f t="shared" si="365"/>
        <v>-87.749391181217433</v>
      </c>
      <c r="AP152" s="196">
        <f t="shared" si="366"/>
        <v>17205.83441404537</v>
      </c>
      <c r="AQ152" s="197">
        <f t="shared" si="367"/>
        <v>2034.5314794375799</v>
      </c>
      <c r="AR152" s="197">
        <f t="shared" si="368"/>
        <v>20997.423517952502</v>
      </c>
      <c r="AS152" s="197">
        <f t="shared" si="369"/>
        <v>-3791.5891039071284</v>
      </c>
      <c r="AT152" s="199">
        <f t="shared" si="370"/>
        <v>-1757.0576244695485</v>
      </c>
      <c r="AX152" s="900">
        <v>15</v>
      </c>
      <c r="AY152" s="911">
        <f>'Arable Inputs'!$H$18</f>
        <v>8.14</v>
      </c>
      <c r="AZ152" s="760">
        <f>'Arable Inputs'!$H$25</f>
        <v>182.8</v>
      </c>
      <c r="BA152" s="762">
        <f t="shared" si="371"/>
        <v>1487.9920000000002</v>
      </c>
      <c r="BB152" s="197">
        <f>'Arable NPV'!$D131</f>
        <v>175.95</v>
      </c>
      <c r="BC152" s="197">
        <f t="shared" si="415"/>
        <v>1663.9420000000002</v>
      </c>
      <c r="BD152" s="197">
        <f>'Arable NPV'!$F131</f>
        <v>574.23049999999989</v>
      </c>
      <c r="BE152" s="197">
        <f>'Arable NPV'!$G131</f>
        <v>636.366536</v>
      </c>
      <c r="BF152" s="197">
        <f t="shared" si="372"/>
        <v>605.29851799999994</v>
      </c>
      <c r="BG152" s="197">
        <f t="shared" si="373"/>
        <v>882.69348200000024</v>
      </c>
      <c r="BH152" s="197">
        <f t="shared" si="374"/>
        <v>1058.6434820000004</v>
      </c>
      <c r="BI152" s="196">
        <f t="shared" si="375"/>
        <v>859.27830343818448</v>
      </c>
      <c r="BJ152" s="197">
        <f t="shared" si="376"/>
        <v>101.60674082249672</v>
      </c>
      <c r="BK152" s="197">
        <f t="shared" si="377"/>
        <v>349.54481181396625</v>
      </c>
      <c r="BL152" s="197">
        <f t="shared" si="378"/>
        <v>509.73349162421829</v>
      </c>
      <c r="BM152" s="197">
        <f t="shared" si="379"/>
        <v>611.34023244671505</v>
      </c>
      <c r="BN152" s="196">
        <f t="shared" si="380"/>
        <v>17205.83441404537</v>
      </c>
      <c r="BO152" s="197">
        <f t="shared" si="381"/>
        <v>2034.5314794375799</v>
      </c>
      <c r="BP152" s="197">
        <f t="shared" si="382"/>
        <v>6999.141172650835</v>
      </c>
      <c r="BQ152" s="197">
        <f t="shared" si="383"/>
        <v>10206.69324139454</v>
      </c>
      <c r="BR152" s="199">
        <f t="shared" si="384"/>
        <v>12241.224720832122</v>
      </c>
      <c r="BV152" s="900">
        <v>15</v>
      </c>
      <c r="BW152" s="911">
        <f>'Arable Inputs'!$H$18</f>
        <v>8.14</v>
      </c>
      <c r="BX152" s="760">
        <f>'Arable Inputs'!$H$25</f>
        <v>182.8</v>
      </c>
      <c r="BY152" s="762">
        <f t="shared" si="385"/>
        <v>1487.9920000000002</v>
      </c>
      <c r="BZ152" s="197">
        <f>'Arable NPV'!$D131</f>
        <v>175.95</v>
      </c>
      <c r="CA152" s="197">
        <f t="shared" si="416"/>
        <v>1663.9420000000002</v>
      </c>
      <c r="CB152" s="197">
        <f>'Arable NPV'!$F131</f>
        <v>574.23049999999989</v>
      </c>
      <c r="CC152" s="197">
        <f>'Arable NPV'!$G131</f>
        <v>636.366536</v>
      </c>
      <c r="CD152" s="197">
        <f t="shared" si="386"/>
        <v>2421.1940719999998</v>
      </c>
      <c r="CE152" s="197">
        <f t="shared" si="387"/>
        <v>-933.20207199999959</v>
      </c>
      <c r="CF152" s="197">
        <f t="shared" si="388"/>
        <v>-757.25207199999954</v>
      </c>
      <c r="CG152" s="196">
        <f t="shared" si="389"/>
        <v>859.27830343818448</v>
      </c>
      <c r="CH152" s="197">
        <f t="shared" si="390"/>
        <v>101.60674082249672</v>
      </c>
      <c r="CI152" s="197">
        <f t="shared" si="391"/>
        <v>1398.179247255865</v>
      </c>
      <c r="CJ152" s="197">
        <f t="shared" si="392"/>
        <v>-538.90094381768051</v>
      </c>
      <c r="CK152" s="197">
        <f t="shared" si="393"/>
        <v>-437.29420299518375</v>
      </c>
      <c r="CL152" s="196">
        <f t="shared" si="394"/>
        <v>17205.83441404537</v>
      </c>
      <c r="CM152" s="197">
        <f t="shared" si="395"/>
        <v>2034.5314794375799</v>
      </c>
      <c r="CN152" s="197">
        <f t="shared" si="396"/>
        <v>27996.56469060334</v>
      </c>
      <c r="CO152" s="197">
        <f t="shared" si="397"/>
        <v>-10790.730276557964</v>
      </c>
      <c r="CP152" s="199">
        <f t="shared" si="398"/>
        <v>-8756.1987971203853</v>
      </c>
      <c r="CT152" s="900">
        <v>15</v>
      </c>
      <c r="CU152" s="911">
        <f>'Arable Inputs'!$H$18</f>
        <v>8.14</v>
      </c>
      <c r="CV152" s="760">
        <f>'Arable Inputs'!$H$25</f>
        <v>182.8</v>
      </c>
      <c r="CW152" s="762">
        <f t="shared" si="399"/>
        <v>1487.9920000000002</v>
      </c>
      <c r="CX152" s="197">
        <f>'Arable NPV'!$D131</f>
        <v>175.95</v>
      </c>
      <c r="CY152" s="197">
        <f t="shared" si="417"/>
        <v>1663.9420000000002</v>
      </c>
      <c r="CZ152" s="197">
        <f>'Arable NPV'!$F131</f>
        <v>574.23049999999989</v>
      </c>
      <c r="DA152" s="197">
        <f>'Arable NPV'!$G131</f>
        <v>636.366536</v>
      </c>
      <c r="DB152" s="197">
        <f t="shared" si="400"/>
        <v>0</v>
      </c>
      <c r="DC152" s="197">
        <f t="shared" si="401"/>
        <v>1487.9920000000002</v>
      </c>
      <c r="DD152" s="197">
        <f t="shared" si="402"/>
        <v>1663.9420000000002</v>
      </c>
      <c r="DE152" s="196">
        <f t="shared" si="403"/>
        <v>859.27830343818448</v>
      </c>
      <c r="DF152" s="197">
        <f t="shared" si="404"/>
        <v>101.60674082249672</v>
      </c>
      <c r="DG152" s="197">
        <f t="shared" si="405"/>
        <v>0</v>
      </c>
      <c r="DH152" s="197">
        <f t="shared" si="406"/>
        <v>859.27830343818448</v>
      </c>
      <c r="DI152" s="197">
        <f t="shared" si="407"/>
        <v>960.8850442606813</v>
      </c>
      <c r="DJ152" s="196">
        <f t="shared" si="408"/>
        <v>17205.83441404537</v>
      </c>
      <c r="DK152" s="197">
        <f t="shared" si="409"/>
        <v>2034.5314794375799</v>
      </c>
      <c r="DL152" s="197">
        <f t="shared" si="410"/>
        <v>0</v>
      </c>
      <c r="DM152" s="197">
        <f t="shared" si="411"/>
        <v>17205.83441404537</v>
      </c>
      <c r="DN152" s="199">
        <f t="shared" si="412"/>
        <v>19240.365893482958</v>
      </c>
    </row>
    <row r="153" spans="2:118" x14ac:dyDescent="0.3">
      <c r="B153" s="901">
        <v>16</v>
      </c>
      <c r="C153" s="912">
        <f>'Arable Inputs'!$H$18</f>
        <v>8.14</v>
      </c>
      <c r="D153" s="761">
        <f>'Arable Inputs'!$H$25</f>
        <v>182.8</v>
      </c>
      <c r="E153" s="207">
        <f t="shared" si="347"/>
        <v>1487.9920000000002</v>
      </c>
      <c r="F153" s="207">
        <f>'Arable NPV'!$D132</f>
        <v>175.95</v>
      </c>
      <c r="G153" s="207">
        <f>E153+F153</f>
        <v>1663.9420000000002</v>
      </c>
      <c r="H153" s="207">
        <f>'Arable NPV'!$F132</f>
        <v>574.23049999999989</v>
      </c>
      <c r="I153" s="207">
        <f>'Arable NPV'!$G132</f>
        <v>636.366536</v>
      </c>
      <c r="J153" s="207">
        <f t="shared" si="348"/>
        <v>1210.5970359999999</v>
      </c>
      <c r="K153" s="207">
        <f t="shared" si="349"/>
        <v>277.3949640000003</v>
      </c>
      <c r="L153" s="207">
        <f t="shared" si="350"/>
        <v>453.34496400000035</v>
      </c>
      <c r="M153" s="208">
        <f t="shared" si="351"/>
        <v>826.22913792133136</v>
      </c>
      <c r="N153" s="207">
        <f t="shared" si="352"/>
        <v>97.698789252400701</v>
      </c>
      <c r="O153" s="207">
        <f>J153/(1+$B$4)^(B153-1)</f>
        <v>672.2015611807044</v>
      </c>
      <c r="P153" s="207">
        <f>K153/(1+$B$4)^(B153-1)</f>
        <v>154.02757674062693</v>
      </c>
      <c r="Q153" s="209">
        <f>L153/(1+$B$4)^(B153-1)</f>
        <v>251.72636599302766</v>
      </c>
      <c r="R153" s="208">
        <f t="shared" si="356"/>
        <v>18032.063551966701</v>
      </c>
      <c r="S153" s="207">
        <f t="shared" si="356"/>
        <v>2132.2302686899807</v>
      </c>
      <c r="T153" s="207">
        <f t="shared" si="356"/>
        <v>14670.483906482374</v>
      </c>
      <c r="U153" s="207">
        <f t="shared" si="356"/>
        <v>3361.5796454843312</v>
      </c>
      <c r="V153" s="209">
        <f t="shared" si="356"/>
        <v>5493.8099141743114</v>
      </c>
      <c r="Z153" s="901">
        <v>16</v>
      </c>
      <c r="AA153" s="912">
        <f>'Arable Inputs'!$H$18</f>
        <v>8.14</v>
      </c>
      <c r="AB153" s="761">
        <f>'Arable Inputs'!$H$25</f>
        <v>182.8</v>
      </c>
      <c r="AC153" s="207">
        <f t="shared" si="357"/>
        <v>1487.9920000000002</v>
      </c>
      <c r="AD153" s="207">
        <f>'Arable NPV'!$D132</f>
        <v>175.95</v>
      </c>
      <c r="AE153" s="207">
        <f>AC153+AD153</f>
        <v>1663.9420000000002</v>
      </c>
      <c r="AF153" s="207">
        <f>'Arable NPV'!$F132</f>
        <v>574.23049999999989</v>
      </c>
      <c r="AG153" s="207">
        <f>'Arable NPV'!$G132</f>
        <v>636.366536</v>
      </c>
      <c r="AH153" s="207">
        <f t="shared" si="358"/>
        <v>1815.8955539999997</v>
      </c>
      <c r="AI153" s="207">
        <f t="shared" si="359"/>
        <v>-327.90355399999953</v>
      </c>
      <c r="AJ153" s="207">
        <f t="shared" si="360"/>
        <v>-151.95355399999949</v>
      </c>
      <c r="AK153" s="208">
        <f t="shared" si="361"/>
        <v>826.22913792133136</v>
      </c>
      <c r="AL153" s="207">
        <f t="shared" si="362"/>
        <v>97.698789252400701</v>
      </c>
      <c r="AM153" s="207">
        <f>AH153/(1+$B$4)^(Z153-1)</f>
        <v>1008.3023417710565</v>
      </c>
      <c r="AN153" s="207">
        <f>AI153/(1+$B$4)^(Z153-1)</f>
        <v>-182.07320384972519</v>
      </c>
      <c r="AO153" s="209">
        <f>AJ153/(1+$B$4)^(Z153-1)</f>
        <v>-84.37441459732446</v>
      </c>
      <c r="AP153" s="208">
        <f t="shared" si="366"/>
        <v>18032.063551966701</v>
      </c>
      <c r="AQ153" s="207">
        <f t="shared" si="367"/>
        <v>2132.2302686899807</v>
      </c>
      <c r="AR153" s="207">
        <f t="shared" si="368"/>
        <v>22005.72585972356</v>
      </c>
      <c r="AS153" s="207">
        <f t="shared" si="369"/>
        <v>-3973.6623077568538</v>
      </c>
      <c r="AT153" s="209">
        <f t="shared" si="370"/>
        <v>-1841.4320390668729</v>
      </c>
      <c r="AX153" s="901">
        <v>16</v>
      </c>
      <c r="AY153" s="912">
        <f>'Arable Inputs'!$H$18</f>
        <v>8.14</v>
      </c>
      <c r="AZ153" s="761">
        <f>'Arable Inputs'!$H$25</f>
        <v>182.8</v>
      </c>
      <c r="BA153" s="207">
        <f t="shared" si="371"/>
        <v>1487.9920000000002</v>
      </c>
      <c r="BB153" s="207">
        <f>'Arable NPV'!$D132</f>
        <v>175.95</v>
      </c>
      <c r="BC153" s="207">
        <f>BA153+BB153</f>
        <v>1663.9420000000002</v>
      </c>
      <c r="BD153" s="207">
        <f>'Arable NPV'!$F132</f>
        <v>574.23049999999989</v>
      </c>
      <c r="BE153" s="207">
        <f>'Arable NPV'!$G132</f>
        <v>636.366536</v>
      </c>
      <c r="BF153" s="207">
        <f t="shared" si="372"/>
        <v>605.29851799999994</v>
      </c>
      <c r="BG153" s="207">
        <f t="shared" si="373"/>
        <v>882.69348200000024</v>
      </c>
      <c r="BH153" s="207">
        <f t="shared" si="374"/>
        <v>1058.6434820000004</v>
      </c>
      <c r="BI153" s="208">
        <f t="shared" si="375"/>
        <v>826.22913792133136</v>
      </c>
      <c r="BJ153" s="207">
        <f t="shared" si="376"/>
        <v>97.698789252400701</v>
      </c>
      <c r="BK153" s="207">
        <f>BF153/(1+$B$4)^(AX153-1)</f>
        <v>336.1007805903522</v>
      </c>
      <c r="BL153" s="207">
        <f>BG153/(1+$B$4)^(AX153-1)</f>
        <v>490.1283573309791</v>
      </c>
      <c r="BM153" s="209">
        <f>BH153/(1+$B$4)^(AX153-1)</f>
        <v>587.82714658337989</v>
      </c>
      <c r="BN153" s="208">
        <f t="shared" si="380"/>
        <v>18032.063551966701</v>
      </c>
      <c r="BO153" s="207">
        <f t="shared" si="381"/>
        <v>2132.2302686899807</v>
      </c>
      <c r="BP153" s="207">
        <f t="shared" si="382"/>
        <v>7335.2419532411868</v>
      </c>
      <c r="BQ153" s="207">
        <f t="shared" si="383"/>
        <v>10696.821598725519</v>
      </c>
      <c r="BR153" s="209">
        <f t="shared" si="384"/>
        <v>12829.051867415503</v>
      </c>
      <c r="BV153" s="901">
        <v>16</v>
      </c>
      <c r="BW153" s="912">
        <f>'Arable Inputs'!$H$18</f>
        <v>8.14</v>
      </c>
      <c r="BX153" s="761">
        <f>'Arable Inputs'!$H$25</f>
        <v>182.8</v>
      </c>
      <c r="BY153" s="207">
        <f t="shared" si="385"/>
        <v>1487.9920000000002</v>
      </c>
      <c r="BZ153" s="207">
        <f>'Arable NPV'!$D132</f>
        <v>175.95</v>
      </c>
      <c r="CA153" s="207">
        <f>BY153+BZ153</f>
        <v>1663.9420000000002</v>
      </c>
      <c r="CB153" s="207">
        <f>'Arable NPV'!$F132</f>
        <v>574.23049999999989</v>
      </c>
      <c r="CC153" s="207">
        <f>'Arable NPV'!$G132</f>
        <v>636.366536</v>
      </c>
      <c r="CD153" s="207">
        <f t="shared" si="386"/>
        <v>2421.1940719999998</v>
      </c>
      <c r="CE153" s="207">
        <f t="shared" si="387"/>
        <v>-933.20207199999959</v>
      </c>
      <c r="CF153" s="207">
        <f t="shared" si="388"/>
        <v>-757.25207199999954</v>
      </c>
      <c r="CG153" s="208">
        <f t="shared" si="389"/>
        <v>826.22913792133136</v>
      </c>
      <c r="CH153" s="207">
        <f t="shared" si="390"/>
        <v>97.698789252400701</v>
      </c>
      <c r="CI153" s="207">
        <f>CD153/(1+$B$4)^(BV153-1)</f>
        <v>1344.4031223614088</v>
      </c>
      <c r="CJ153" s="207">
        <f>CE153/(1+$B$4)^(BV153-1)</f>
        <v>-518.17398444007745</v>
      </c>
      <c r="CK153" s="209">
        <f>CF153/(1+$B$4)^(BV153-1)</f>
        <v>-420.47519518767672</v>
      </c>
      <c r="CL153" s="208">
        <f t="shared" si="394"/>
        <v>18032.063551966701</v>
      </c>
      <c r="CM153" s="207">
        <f t="shared" si="395"/>
        <v>2132.2302686899807</v>
      </c>
      <c r="CN153" s="207">
        <f t="shared" si="396"/>
        <v>29340.967812964747</v>
      </c>
      <c r="CO153" s="207">
        <f t="shared" si="397"/>
        <v>-11308.904260998042</v>
      </c>
      <c r="CP153" s="209">
        <f t="shared" si="398"/>
        <v>-9176.6739923080622</v>
      </c>
      <c r="CT153" s="901">
        <v>16</v>
      </c>
      <c r="CU153" s="912">
        <f>'Arable Inputs'!$H$18</f>
        <v>8.14</v>
      </c>
      <c r="CV153" s="761">
        <f>'Arable Inputs'!$H$25</f>
        <v>182.8</v>
      </c>
      <c r="CW153" s="207">
        <f t="shared" si="399"/>
        <v>1487.9920000000002</v>
      </c>
      <c r="CX153" s="207">
        <f>'Arable NPV'!$D132</f>
        <v>175.95</v>
      </c>
      <c r="CY153" s="207">
        <f>CW153+CX153</f>
        <v>1663.9420000000002</v>
      </c>
      <c r="CZ153" s="207">
        <f>'Arable NPV'!$F132</f>
        <v>574.23049999999989</v>
      </c>
      <c r="DA153" s="207">
        <f>'Arable NPV'!$G132</f>
        <v>636.366536</v>
      </c>
      <c r="DB153" s="207">
        <f t="shared" si="400"/>
        <v>0</v>
      </c>
      <c r="DC153" s="207">
        <f t="shared" si="401"/>
        <v>1487.9920000000002</v>
      </c>
      <c r="DD153" s="207">
        <f t="shared" si="402"/>
        <v>1663.9420000000002</v>
      </c>
      <c r="DE153" s="208">
        <f t="shared" si="403"/>
        <v>826.22913792133136</v>
      </c>
      <c r="DF153" s="207">
        <f t="shared" si="404"/>
        <v>97.698789252400701</v>
      </c>
      <c r="DG153" s="207">
        <f>DB153/(1+$B$4)^(CT153-1)</f>
        <v>0</v>
      </c>
      <c r="DH153" s="207">
        <f>DC153/(1+$B$4)^(CT153-1)</f>
        <v>826.22913792133136</v>
      </c>
      <c r="DI153" s="209">
        <f>DD153/(1+$B$4)^(CT153-1)</f>
        <v>923.92792717373209</v>
      </c>
      <c r="DJ153" s="208">
        <f t="shared" si="408"/>
        <v>18032.063551966701</v>
      </c>
      <c r="DK153" s="207">
        <f t="shared" si="409"/>
        <v>2132.2302686899807</v>
      </c>
      <c r="DL153" s="207">
        <f t="shared" si="410"/>
        <v>0</v>
      </c>
      <c r="DM153" s="207">
        <f t="shared" si="411"/>
        <v>18032.063551966701</v>
      </c>
      <c r="DN153" s="209">
        <f t="shared" si="412"/>
        <v>20164.293820656691</v>
      </c>
    </row>
    <row r="159" spans="2:118" x14ac:dyDescent="0.3">
      <c r="B159" s="273" t="s">
        <v>337</v>
      </c>
      <c r="C159" s="274"/>
      <c r="D159" s="88"/>
      <c r="E159" s="88"/>
      <c r="F159" s="88"/>
      <c r="G159" s="275"/>
      <c r="H159" s="276" t="s">
        <v>319</v>
      </c>
      <c r="I159" s="277" t="s">
        <v>320</v>
      </c>
      <c r="J159" s="277" t="s">
        <v>321</v>
      </c>
      <c r="K159" s="277" t="s">
        <v>322</v>
      </c>
      <c r="L159" s="277" t="s">
        <v>323</v>
      </c>
      <c r="M159" s="276" t="s">
        <v>635</v>
      </c>
      <c r="N159" s="277" t="s">
        <v>636</v>
      </c>
      <c r="O159" s="277" t="s">
        <v>637</v>
      </c>
      <c r="P159" s="277" t="s">
        <v>638</v>
      </c>
      <c r="Q159" s="277" t="s">
        <v>639</v>
      </c>
      <c r="R159" s="276" t="s">
        <v>399</v>
      </c>
      <c r="S159" s="277" t="s">
        <v>400</v>
      </c>
      <c r="T159" s="277" t="s">
        <v>401</v>
      </c>
      <c r="U159" s="277" t="s">
        <v>402</v>
      </c>
      <c r="V159" s="277" t="s">
        <v>403</v>
      </c>
      <c r="W159" s="276" t="s">
        <v>430</v>
      </c>
      <c r="X159" s="277" t="s">
        <v>431</v>
      </c>
      <c r="Y159" s="277" t="s">
        <v>432</v>
      </c>
      <c r="Z159" s="277" t="s">
        <v>433</v>
      </c>
      <c r="AA159" s="277" t="s">
        <v>434</v>
      </c>
      <c r="AB159" s="276" t="s">
        <v>435</v>
      </c>
      <c r="AC159" s="277" t="s">
        <v>436</v>
      </c>
      <c r="AD159" s="277" t="s">
        <v>437</v>
      </c>
      <c r="AE159" s="277" t="s">
        <v>438</v>
      </c>
      <c r="AF159" s="277" t="s">
        <v>439</v>
      </c>
      <c r="AG159" s="276" t="s">
        <v>555</v>
      </c>
      <c r="AH159" s="277" t="s">
        <v>556</v>
      </c>
      <c r="AI159" s="277" t="s">
        <v>557</v>
      </c>
      <c r="AJ159" s="277" t="s">
        <v>558</v>
      </c>
      <c r="AK159" s="277" t="s">
        <v>559</v>
      </c>
    </row>
    <row r="160" spans="2:118" x14ac:dyDescent="0.3">
      <c r="B160" s="278" t="s">
        <v>307</v>
      </c>
      <c r="C160" s="24"/>
      <c r="D160" s="279"/>
      <c r="E160" s="279"/>
      <c r="F160" s="279"/>
      <c r="G160" s="280" t="s">
        <v>599</v>
      </c>
      <c r="H160" s="281">
        <f>S27</f>
        <v>9169.376562936568</v>
      </c>
      <c r="I160" s="281">
        <f>AQ27</f>
        <v>9169.376562936568</v>
      </c>
      <c r="J160" s="281">
        <f>BO27</f>
        <v>9169.376562936568</v>
      </c>
      <c r="K160" s="281">
        <f>CM27</f>
        <v>9169.376562936568</v>
      </c>
      <c r="L160" s="281">
        <f>DK27</f>
        <v>9169.376562936568</v>
      </c>
      <c r="M160" s="281">
        <f>S53</f>
        <v>12464.990332449857</v>
      </c>
      <c r="N160" s="281">
        <f>AQ53</f>
        <v>12464.990332449857</v>
      </c>
      <c r="O160" s="107">
        <f>BO53</f>
        <v>12464.990332449857</v>
      </c>
      <c r="P160" s="107">
        <f>CM53</f>
        <v>12464.990332449857</v>
      </c>
      <c r="Q160" s="107">
        <f>DK53</f>
        <v>12464.990332449857</v>
      </c>
      <c r="R160" s="764">
        <f>U$78</f>
        <v>17377.889788211447</v>
      </c>
      <c r="S160" s="764">
        <f>AU$78</f>
        <v>17377.889788211447</v>
      </c>
      <c r="T160" s="107">
        <f>BU$78</f>
        <v>17377.889788211447</v>
      </c>
      <c r="U160" s="107">
        <f>CU$78</f>
        <v>17377.889788211447</v>
      </c>
      <c r="V160" s="107">
        <f>DU$78</f>
        <v>17377.889788211447</v>
      </c>
      <c r="W160" s="764">
        <f>S$103</f>
        <v>7693.3998121101795</v>
      </c>
      <c r="X160" s="764">
        <f>AQ$103</f>
        <v>7693.3998121101795</v>
      </c>
      <c r="Y160" s="107">
        <f>BO$103</f>
        <v>7693.3998121101795</v>
      </c>
      <c r="Z160" s="107">
        <f>CM$103</f>
        <v>7693.3998121101795</v>
      </c>
      <c r="AA160" s="107">
        <f>DK$103</f>
        <v>7693.3998121101795</v>
      </c>
      <c r="AB160" s="764">
        <f>S$128</f>
        <v>9389.4885796671915</v>
      </c>
      <c r="AC160" s="764">
        <f>AQ$128</f>
        <v>9389.4885796671915</v>
      </c>
      <c r="AD160" s="107">
        <f>BO$128</f>
        <v>9389.4885796671915</v>
      </c>
      <c r="AE160" s="107">
        <f>CM$128</f>
        <v>9389.4885796671915</v>
      </c>
      <c r="AF160" s="107">
        <f>DK$128</f>
        <v>9389.4885796671915</v>
      </c>
      <c r="AG160" s="767">
        <f>R153</f>
        <v>18032.063551966701</v>
      </c>
      <c r="AH160" s="767">
        <f>AP153</f>
        <v>18032.063551966701</v>
      </c>
      <c r="AI160" s="767">
        <f>BN153</f>
        <v>18032.063551966701</v>
      </c>
      <c r="AJ160" s="767">
        <f>CL153</f>
        <v>18032.063551966701</v>
      </c>
      <c r="AK160" s="767">
        <f>DJ153</f>
        <v>18032.063551966701</v>
      </c>
    </row>
    <row r="161" spans="2:37" x14ac:dyDescent="0.3">
      <c r="B161" s="282" t="s">
        <v>683</v>
      </c>
      <c r="C161" s="24"/>
      <c r="D161" s="279"/>
      <c r="E161" s="279"/>
      <c r="F161" s="279"/>
      <c r="G161" s="283" t="s">
        <v>599</v>
      </c>
      <c r="H161" s="281">
        <f>T27</f>
        <v>2132.2302686899807</v>
      </c>
      <c r="I161" s="281">
        <f>AR27</f>
        <v>2132.2302686899807</v>
      </c>
      <c r="J161" s="281">
        <f>BP27</f>
        <v>2132.2302686899807</v>
      </c>
      <c r="K161" s="281">
        <f>CN27</f>
        <v>2132.2302686899807</v>
      </c>
      <c r="L161" s="281">
        <f>DL27</f>
        <v>2132.2302686899807</v>
      </c>
      <c r="M161" s="281">
        <f>T53</f>
        <v>2132.2302686899807</v>
      </c>
      <c r="N161" s="281">
        <f>AR53</f>
        <v>2132.2302686899807</v>
      </c>
      <c r="O161" s="108">
        <f>BP53</f>
        <v>2132.2302686899807</v>
      </c>
      <c r="P161" s="108">
        <f>CN53</f>
        <v>2132.2302686899807</v>
      </c>
      <c r="Q161" s="108">
        <f>DL53</f>
        <v>2132.2302686899807</v>
      </c>
      <c r="R161" s="764">
        <f>V$78</f>
        <v>2132.2302686899807</v>
      </c>
      <c r="S161" s="764">
        <f>AV$78</f>
        <v>2132.2302686899807</v>
      </c>
      <c r="T161" s="108">
        <f>BV$78</f>
        <v>2132.2302686899807</v>
      </c>
      <c r="U161" s="108">
        <f>CV$78</f>
        <v>2132.2302686899807</v>
      </c>
      <c r="V161" s="108">
        <f>DV$78</f>
        <v>2132.2302686899807</v>
      </c>
      <c r="W161" s="764">
        <f>T$103</f>
        <v>2132.2302686899807</v>
      </c>
      <c r="X161" s="764">
        <f>AR$103</f>
        <v>2132.2302686899807</v>
      </c>
      <c r="Y161" s="108">
        <f>BP$103</f>
        <v>2132.2302686899807</v>
      </c>
      <c r="Z161" s="108">
        <f>CN$103</f>
        <v>2132.2302686899807</v>
      </c>
      <c r="AA161" s="108">
        <f>DL$103</f>
        <v>2132.2302686899807</v>
      </c>
      <c r="AB161" s="764">
        <f>T$128</f>
        <v>2132.2302686899807</v>
      </c>
      <c r="AC161" s="764">
        <f>AR$128</f>
        <v>2132.2302686899807</v>
      </c>
      <c r="AD161" s="108">
        <f>BP$128</f>
        <v>2132.2302686899807</v>
      </c>
      <c r="AE161" s="108">
        <f>CN$128</f>
        <v>2132.2302686899807</v>
      </c>
      <c r="AF161" s="108">
        <f>DL$128</f>
        <v>2132.2302686899807</v>
      </c>
      <c r="AG161" s="914">
        <f>S153</f>
        <v>2132.2302686899807</v>
      </c>
      <c r="AH161" s="914">
        <f>AQ153</f>
        <v>2132.2302686899807</v>
      </c>
      <c r="AI161" s="914">
        <f>BO153</f>
        <v>2132.2302686899807</v>
      </c>
      <c r="AJ161" s="914">
        <f>CM153</f>
        <v>2132.2302686899807</v>
      </c>
      <c r="AK161" s="914">
        <f>DK153</f>
        <v>2132.2302686899807</v>
      </c>
    </row>
    <row r="162" spans="2:37" x14ac:dyDescent="0.3">
      <c r="B162" s="284" t="s">
        <v>306</v>
      </c>
      <c r="C162" s="165"/>
      <c r="D162" s="279"/>
      <c r="E162" s="279"/>
      <c r="F162" s="279"/>
      <c r="G162" s="285" t="s">
        <v>599</v>
      </c>
      <c r="H162" s="281">
        <f>U27</f>
        <v>9679.4094715981228</v>
      </c>
      <c r="I162" s="281">
        <f>AS27</f>
        <v>14519.114207397181</v>
      </c>
      <c r="J162" s="281">
        <f>BQ27</f>
        <v>4839.7047357990614</v>
      </c>
      <c r="K162" s="281">
        <f>CO27</f>
        <v>19358.818943196246</v>
      </c>
      <c r="L162" s="281">
        <f>DM27</f>
        <v>0</v>
      </c>
      <c r="M162" s="281">
        <f>U53</f>
        <v>7224.3101296559144</v>
      </c>
      <c r="N162" s="281">
        <f>AS53</f>
        <v>10836.465194483872</v>
      </c>
      <c r="O162" s="294">
        <f>BQ53</f>
        <v>3612.1550648279572</v>
      </c>
      <c r="P162" s="294">
        <f>CO53</f>
        <v>14448.620259311829</v>
      </c>
      <c r="Q162" s="294">
        <f>DM53</f>
        <v>0</v>
      </c>
      <c r="R162" s="764">
        <f>W$78</f>
        <v>18018.546784997099</v>
      </c>
      <c r="S162" s="764">
        <f>AW$78</f>
        <v>27027.820177495654</v>
      </c>
      <c r="T162" s="294">
        <f>BW$78</f>
        <v>9009.2733924985496</v>
      </c>
      <c r="U162" s="294">
        <f>CW$78</f>
        <v>36037.093569994198</v>
      </c>
      <c r="V162" s="294">
        <f>DW$78</f>
        <v>0</v>
      </c>
      <c r="W162" s="764">
        <f>U$103</f>
        <v>5505.1137655646044</v>
      </c>
      <c r="X162" s="764">
        <f>AS$103</f>
        <v>8257.6706483469025</v>
      </c>
      <c r="Y162" s="294">
        <f>BQ$103</f>
        <v>2752.5568827823022</v>
      </c>
      <c r="Z162" s="294">
        <f>CO$103</f>
        <v>11010.227531129209</v>
      </c>
      <c r="AA162" s="294">
        <f>DM$103</f>
        <v>0</v>
      </c>
      <c r="AB162" s="764">
        <f>U$128</f>
        <v>6918.0694827921807</v>
      </c>
      <c r="AC162" s="764">
        <f>AS$128</f>
        <v>10377.104224188273</v>
      </c>
      <c r="AD162" s="294">
        <f>BQ$128</f>
        <v>3459.0347413960903</v>
      </c>
      <c r="AE162" s="294">
        <f>CO$128</f>
        <v>13836.138965584361</v>
      </c>
      <c r="AF162" s="294">
        <f>DM$128</f>
        <v>0</v>
      </c>
      <c r="AG162" s="768">
        <f>T153</f>
        <v>14670.483906482374</v>
      </c>
      <c r="AH162" s="768">
        <f>AR153</f>
        <v>22005.72585972356</v>
      </c>
      <c r="AI162" s="768">
        <f>BP153</f>
        <v>7335.2419532411868</v>
      </c>
      <c r="AJ162" s="768">
        <f>CN153</f>
        <v>29340.967812964747</v>
      </c>
      <c r="AK162" s="768">
        <f>DL153</f>
        <v>0</v>
      </c>
    </row>
    <row r="163" spans="2:37" x14ac:dyDescent="0.3">
      <c r="B163" s="278" t="s">
        <v>684</v>
      </c>
      <c r="C163" s="24"/>
      <c r="D163" s="286"/>
      <c r="E163" s="286"/>
      <c r="F163" s="286"/>
      <c r="G163" s="280" t="s">
        <v>599</v>
      </c>
      <c r="H163" s="287">
        <f>H160-H162</f>
        <v>-510.03290866155476</v>
      </c>
      <c r="I163" s="287">
        <f t="shared" ref="I163:W163" si="418">I160-I162</f>
        <v>-5349.7376444606125</v>
      </c>
      <c r="J163" s="287">
        <f t="shared" si="418"/>
        <v>4329.6718271375066</v>
      </c>
      <c r="K163" s="287">
        <f t="shared" si="418"/>
        <v>-10189.442380259678</v>
      </c>
      <c r="L163" s="287">
        <f t="shared" si="418"/>
        <v>9169.376562936568</v>
      </c>
      <c r="M163" s="287">
        <f t="shared" si="418"/>
        <v>5240.680202793943</v>
      </c>
      <c r="N163" s="287">
        <f t="shared" si="418"/>
        <v>1628.5251379659858</v>
      </c>
      <c r="O163" s="287">
        <f t="shared" si="418"/>
        <v>8852.8352676219001</v>
      </c>
      <c r="P163" s="287">
        <f t="shared" si="418"/>
        <v>-1983.6299268619714</v>
      </c>
      <c r="Q163" s="287">
        <f t="shared" si="418"/>
        <v>12464.990332449857</v>
      </c>
      <c r="R163" s="765">
        <f t="shared" si="418"/>
        <v>-640.65699678565215</v>
      </c>
      <c r="S163" s="765">
        <f t="shared" si="418"/>
        <v>-9649.9303892842072</v>
      </c>
      <c r="T163" s="765">
        <f t="shared" si="418"/>
        <v>8368.6163957128974</v>
      </c>
      <c r="U163" s="765">
        <f t="shared" si="418"/>
        <v>-18659.203781782751</v>
      </c>
      <c r="V163" s="765">
        <f t="shared" si="418"/>
        <v>17377.889788211447</v>
      </c>
      <c r="W163" s="765">
        <f t="shared" si="418"/>
        <v>2188.2860465455751</v>
      </c>
      <c r="X163" s="765">
        <f t="shared" ref="X163:AK163" si="419">X160-X162</f>
        <v>-564.27083623672297</v>
      </c>
      <c r="Y163" s="765">
        <f t="shared" si="419"/>
        <v>4940.8429293278768</v>
      </c>
      <c r="Z163" s="765">
        <f t="shared" si="419"/>
        <v>-3316.8277190190292</v>
      </c>
      <c r="AA163" s="765">
        <f t="shared" si="419"/>
        <v>7693.3998121101795</v>
      </c>
      <c r="AB163" s="765">
        <f t="shared" si="419"/>
        <v>2471.4190968750108</v>
      </c>
      <c r="AC163" s="765">
        <f t="shared" si="419"/>
        <v>-987.61564452108178</v>
      </c>
      <c r="AD163" s="765">
        <f t="shared" si="419"/>
        <v>5930.4538382711016</v>
      </c>
      <c r="AE163" s="765">
        <f t="shared" si="419"/>
        <v>-4446.6503859171698</v>
      </c>
      <c r="AF163" s="765">
        <f t="shared" si="419"/>
        <v>9389.4885796671915</v>
      </c>
      <c r="AG163" s="765">
        <f t="shared" si="419"/>
        <v>3361.5796454843276</v>
      </c>
      <c r="AH163" s="765">
        <f t="shared" si="419"/>
        <v>-3973.6623077568584</v>
      </c>
      <c r="AI163" s="765">
        <f t="shared" si="419"/>
        <v>10696.821598725513</v>
      </c>
      <c r="AJ163" s="765">
        <f t="shared" si="419"/>
        <v>-11308.904260998046</v>
      </c>
      <c r="AK163" s="765">
        <f t="shared" si="419"/>
        <v>18032.063551966701</v>
      </c>
    </row>
    <row r="164" spans="2:37" x14ac:dyDescent="0.3">
      <c r="B164" s="284" t="s">
        <v>685</v>
      </c>
      <c r="C164" s="165"/>
      <c r="D164" s="288"/>
      <c r="E164" s="288"/>
      <c r="F164" s="288"/>
      <c r="G164" s="285" t="s">
        <v>599</v>
      </c>
      <c r="H164" s="295">
        <f>H160+H161-H162</f>
        <v>1622.1973600284255</v>
      </c>
      <c r="I164" s="295">
        <f t="shared" ref="I164:U164" si="420">I160+I161-I162</f>
        <v>-3217.5073757706323</v>
      </c>
      <c r="J164" s="295">
        <f t="shared" si="420"/>
        <v>6461.9020958274868</v>
      </c>
      <c r="K164" s="295">
        <f t="shared" si="420"/>
        <v>-8057.2121115696973</v>
      </c>
      <c r="L164" s="295">
        <f t="shared" si="420"/>
        <v>11301.606831626548</v>
      </c>
      <c r="M164" s="295">
        <f t="shared" si="420"/>
        <v>7372.9104714839232</v>
      </c>
      <c r="N164" s="295">
        <f t="shared" si="420"/>
        <v>3760.755406655966</v>
      </c>
      <c r="O164" s="295">
        <f t="shared" si="420"/>
        <v>10985.06553631188</v>
      </c>
      <c r="P164" s="295">
        <f t="shared" si="420"/>
        <v>148.60034182800882</v>
      </c>
      <c r="Q164" s="295">
        <f t="shared" si="420"/>
        <v>14597.220601139838</v>
      </c>
      <c r="R164" s="766">
        <f t="shared" si="420"/>
        <v>1491.5732719043299</v>
      </c>
      <c r="S164" s="766">
        <f t="shared" si="420"/>
        <v>-7517.7001205942252</v>
      </c>
      <c r="T164" s="766">
        <f t="shared" si="420"/>
        <v>10500.846664402879</v>
      </c>
      <c r="U164" s="766">
        <f t="shared" si="420"/>
        <v>-16526.973513092769</v>
      </c>
      <c r="V164" s="766">
        <f t="shared" ref="V164:W164" si="421">V160+V161-V162</f>
        <v>19510.120056901429</v>
      </c>
      <c r="W164" s="766">
        <f t="shared" si="421"/>
        <v>4320.5163152355553</v>
      </c>
      <c r="X164" s="766">
        <f t="shared" ref="X164:AE164" si="422">X160+X161-X162</f>
        <v>1567.9594324532573</v>
      </c>
      <c r="Y164" s="766">
        <f t="shared" si="422"/>
        <v>7073.0731980178571</v>
      </c>
      <c r="Z164" s="766">
        <f t="shared" si="422"/>
        <v>-1184.597450329049</v>
      </c>
      <c r="AA164" s="766">
        <f t="shared" si="422"/>
        <v>9825.6300808001597</v>
      </c>
      <c r="AB164" s="766">
        <f t="shared" si="422"/>
        <v>4603.6493655649911</v>
      </c>
      <c r="AC164" s="766">
        <f t="shared" si="422"/>
        <v>1144.6146241688984</v>
      </c>
      <c r="AD164" s="766">
        <f t="shared" si="422"/>
        <v>8062.6841069610819</v>
      </c>
      <c r="AE164" s="766">
        <f t="shared" si="422"/>
        <v>-2314.4201172271896</v>
      </c>
      <c r="AF164" s="766">
        <f t="shared" ref="AF164:AK164" si="423">AF160+AF161-AF162</f>
        <v>11521.718848357172</v>
      </c>
      <c r="AG164" s="766">
        <f t="shared" si="423"/>
        <v>5493.8099141743096</v>
      </c>
      <c r="AH164" s="766">
        <f t="shared" si="423"/>
        <v>-1841.4320390668763</v>
      </c>
      <c r="AI164" s="766">
        <f t="shared" si="423"/>
        <v>12829.051867415496</v>
      </c>
      <c r="AJ164" s="766">
        <f t="shared" si="423"/>
        <v>-9176.673992308064</v>
      </c>
      <c r="AK164" s="766">
        <f t="shared" si="423"/>
        <v>20164.293820656683</v>
      </c>
    </row>
    <row r="165" spans="2:37" x14ac:dyDescent="0.3">
      <c r="B165" s="62" t="s">
        <v>686</v>
      </c>
      <c r="C165" s="24"/>
      <c r="D165" s="289"/>
      <c r="E165" s="289"/>
      <c r="F165" s="289"/>
      <c r="G165" s="280" t="s">
        <v>599</v>
      </c>
      <c r="H165" s="290">
        <f>H163*((1+$B$4)^16)/(((1+$B$4)^16)-1)</f>
        <v>-1094.2755956126325</v>
      </c>
      <c r="I165" s="290">
        <f t="shared" ref="I165:Q166" si="424">I163*((1+$B$4)^16)/(((1+$B$4)^16)-1)</f>
        <v>-11477.862012131625</v>
      </c>
      <c r="J165" s="290">
        <f t="shared" si="424"/>
        <v>9289.3108209063685</v>
      </c>
      <c r="K165" s="290">
        <f t="shared" si="424"/>
        <v>-21861.448428650634</v>
      </c>
      <c r="L165" s="290">
        <f t="shared" si="424"/>
        <v>19672.897237425368</v>
      </c>
      <c r="M165" s="290">
        <f t="shared" si="424"/>
        <v>11243.879273157081</v>
      </c>
      <c r="N165" s="290">
        <f t="shared" si="424"/>
        <v>3494.0006518293148</v>
      </c>
      <c r="O165" s="290">
        <f t="shared" si="424"/>
        <v>18993.757894484843</v>
      </c>
      <c r="P165" s="290">
        <f t="shared" si="424"/>
        <v>-4255.8779694984505</v>
      </c>
      <c r="Q165" s="290">
        <f>Q163*((1+$B$4)^16)/(((1+$B$4)^16)-1)</f>
        <v>26743.63651581261</v>
      </c>
      <c r="R165" s="290">
        <f>R163*((1+$B$4)^16)/(((1+$B$4)^16)-1)</f>
        <v>-1374.5295741420932</v>
      </c>
      <c r="S165" s="290">
        <f t="shared" ref="S165:V166" si="425">S163*((1+$B$4)^16)/(((1+$B$4)^16)-1)</f>
        <v>-20703.925462506897</v>
      </c>
      <c r="T165" s="290">
        <f t="shared" si="425"/>
        <v>17954.866314222701</v>
      </c>
      <c r="U165" s="290">
        <f t="shared" si="425"/>
        <v>-40033.32135087168</v>
      </c>
      <c r="V165" s="290">
        <f t="shared" si="425"/>
        <v>37284.262202587495</v>
      </c>
      <c r="W165" s="290">
        <f>W163*((1+$B$4)^16)/(((1+$B$4)^16)-1)</f>
        <v>4694.9676702988236</v>
      </c>
      <c r="X165" s="290">
        <f t="shared" ref="X165:AA166" si="426">X163*((1+$B$4)^16)/(((1+$B$4)^16)-1)</f>
        <v>-1210.6430681701652</v>
      </c>
      <c r="Y165" s="290">
        <f t="shared" si="426"/>
        <v>10600.57840876782</v>
      </c>
      <c r="Z165" s="290">
        <f t="shared" si="426"/>
        <v>-7116.2538066391717</v>
      </c>
      <c r="AA165" s="290">
        <f t="shared" si="426"/>
        <v>16506.189147236819</v>
      </c>
      <c r="AB165" s="290">
        <f>AB163*((1+$B$4)^16)/(((1+$B$4)^16)-1)</f>
        <v>5302.4296242733599</v>
      </c>
      <c r="AC165" s="290">
        <f t="shared" ref="AC165:AK166" si="427">AC163*((1+$B$4)^16)/(((1+$B$4)^16)-1)</f>
        <v>-2118.9293461097081</v>
      </c>
      <c r="AD165" s="290">
        <f t="shared" si="427"/>
        <v>12723.788594656426</v>
      </c>
      <c r="AE165" s="290">
        <f t="shared" si="427"/>
        <v>-9540.288316492768</v>
      </c>
      <c r="AF165" s="290">
        <f t="shared" si="427"/>
        <v>20145.14756503949</v>
      </c>
      <c r="AG165" s="290">
        <f t="shared" si="427"/>
        <v>7212.2690639999919</v>
      </c>
      <c r="AH165" s="290">
        <f t="shared" si="427"/>
        <v>-8525.4924039999878</v>
      </c>
      <c r="AI165" s="290">
        <f t="shared" si="427"/>
        <v>22950.030531999968</v>
      </c>
      <c r="AJ165" s="290">
        <f t="shared" si="427"/>
        <v>-24263.253871999968</v>
      </c>
      <c r="AK165" s="290">
        <f t="shared" si="427"/>
        <v>38687.79199999995</v>
      </c>
    </row>
    <row r="166" spans="2:37" x14ac:dyDescent="0.3">
      <c r="B166" s="41" t="s">
        <v>687</v>
      </c>
      <c r="C166" s="24"/>
      <c r="D166" s="149"/>
      <c r="E166" s="149"/>
      <c r="F166" s="149"/>
      <c r="G166" s="285" t="s">
        <v>599</v>
      </c>
      <c r="H166" s="293">
        <f>H164*((1+$B$4)^16)/(((1+$B$4)^16)-1)</f>
        <v>3480.4244043873618</v>
      </c>
      <c r="I166" s="293">
        <f t="shared" si="424"/>
        <v>-6903.1620121316319</v>
      </c>
      <c r="J166" s="293">
        <f t="shared" si="424"/>
        <v>13864.010820906364</v>
      </c>
      <c r="K166" s="293">
        <f t="shared" si="424"/>
        <v>-17286.748428650641</v>
      </c>
      <c r="L166" s="293">
        <f t="shared" si="424"/>
        <v>24247.597237425365</v>
      </c>
      <c r="M166" s="293">
        <f t="shared" si="424"/>
        <v>15818.579273157075</v>
      </c>
      <c r="N166" s="293">
        <f t="shared" si="424"/>
        <v>8068.7006518293092</v>
      </c>
      <c r="O166" s="293">
        <f t="shared" si="424"/>
        <v>23568.457894484844</v>
      </c>
      <c r="P166" s="293">
        <f t="shared" si="424"/>
        <v>318.82203050154345</v>
      </c>
      <c r="Q166" s="293">
        <f t="shared" si="424"/>
        <v>31318.336515812607</v>
      </c>
      <c r="R166" s="768">
        <f>R164*((1+$B$4)^16)/(((1+$B$4)^16)-1)</f>
        <v>3200.1704258579052</v>
      </c>
      <c r="S166" s="768">
        <f t="shared" si="425"/>
        <v>-16129.2254625069</v>
      </c>
      <c r="T166" s="768">
        <f t="shared" si="425"/>
        <v>22529.566314222699</v>
      </c>
      <c r="U166" s="768">
        <f t="shared" si="425"/>
        <v>-35458.621350871683</v>
      </c>
      <c r="V166" s="768">
        <f t="shared" si="425"/>
        <v>41858.962202587492</v>
      </c>
      <c r="W166" s="768">
        <f>W164*((1+$B$4)^16)/(((1+$B$4)^16)-1)</f>
        <v>9269.667670298817</v>
      </c>
      <c r="X166" s="768">
        <f t="shared" si="426"/>
        <v>3364.0569318298294</v>
      </c>
      <c r="Y166" s="768">
        <f t="shared" si="426"/>
        <v>15175.278408767814</v>
      </c>
      <c r="Z166" s="768">
        <f t="shared" si="426"/>
        <v>-2541.5538066391769</v>
      </c>
      <c r="AA166" s="768">
        <f t="shared" si="426"/>
        <v>21080.889147236812</v>
      </c>
      <c r="AB166" s="768">
        <f>AB164*((1+$B$4)^16)/(((1+$B$4)^16)-1)</f>
        <v>9877.1296242733551</v>
      </c>
      <c r="AC166" s="768">
        <f t="shared" si="427"/>
        <v>2455.7706538902862</v>
      </c>
      <c r="AD166" s="768">
        <f t="shared" si="427"/>
        <v>17298.488594656421</v>
      </c>
      <c r="AE166" s="768">
        <f t="shared" si="427"/>
        <v>-4965.5883164927718</v>
      </c>
      <c r="AF166" s="768">
        <f t="shared" si="427"/>
        <v>24719.847565039483</v>
      </c>
      <c r="AG166" s="768">
        <f t="shared" si="427"/>
        <v>11786.96906399999</v>
      </c>
      <c r="AH166" s="768">
        <f t="shared" si="427"/>
        <v>-3950.7924039999889</v>
      </c>
      <c r="AI166" s="768">
        <f t="shared" si="427"/>
        <v>27524.730531999969</v>
      </c>
      <c r="AJ166" s="768">
        <f t="shared" si="427"/>
        <v>-19688.553871999971</v>
      </c>
      <c r="AK166" s="768">
        <f t="shared" si="427"/>
        <v>43262.491999999955</v>
      </c>
    </row>
    <row r="167" spans="2:37" x14ac:dyDescent="0.3">
      <c r="B167" s="62" t="s">
        <v>688</v>
      </c>
      <c r="C167" s="265"/>
      <c r="D167" s="289"/>
      <c r="E167" s="289"/>
      <c r="F167" s="289"/>
      <c r="G167" s="280" t="s">
        <v>615</v>
      </c>
      <c r="H167" s="290">
        <f>H165*$B$4</f>
        <v>-43.771023824505299</v>
      </c>
      <c r="I167" s="290">
        <f t="shared" ref="I167:Q168" si="428">I165*$B$4</f>
        <v>-459.11448048526501</v>
      </c>
      <c r="J167" s="290">
        <f t="shared" si="428"/>
        <v>371.57243283625473</v>
      </c>
      <c r="K167" s="290">
        <f t="shared" si="428"/>
        <v>-874.45793714602542</v>
      </c>
      <c r="L167" s="290">
        <f t="shared" si="428"/>
        <v>786.91588949701475</v>
      </c>
      <c r="M167" s="290">
        <f t="shared" si="428"/>
        <v>449.75517092628326</v>
      </c>
      <c r="N167" s="290">
        <f t="shared" si="428"/>
        <v>139.76002607317261</v>
      </c>
      <c r="O167" s="290">
        <f t="shared" si="428"/>
        <v>759.75031577939376</v>
      </c>
      <c r="P167" s="290">
        <f t="shared" si="428"/>
        <v>-170.23511877993803</v>
      </c>
      <c r="Q167" s="290">
        <f t="shared" si="428"/>
        <v>1069.7454606325043</v>
      </c>
      <c r="R167" s="767">
        <f>R165*$B$4</f>
        <v>-54.981182965683729</v>
      </c>
      <c r="S167" s="767">
        <f t="shared" ref="S167:V168" si="429">S165*$B$4</f>
        <v>-828.15701850027585</v>
      </c>
      <c r="T167" s="767">
        <f t="shared" si="429"/>
        <v>718.19465256890805</v>
      </c>
      <c r="U167" s="767">
        <f t="shared" si="429"/>
        <v>-1601.3328540348673</v>
      </c>
      <c r="V167" s="767">
        <f t="shared" si="429"/>
        <v>1491.3704881034998</v>
      </c>
      <c r="W167" s="767">
        <f>W165*$B$4</f>
        <v>187.79870681195294</v>
      </c>
      <c r="X167" s="767">
        <f t="shared" ref="X167:AA168" si="430">X165*$B$4</f>
        <v>-48.425722726806612</v>
      </c>
      <c r="Y167" s="767">
        <f t="shared" si="430"/>
        <v>424.02313635071283</v>
      </c>
      <c r="Z167" s="767">
        <f t="shared" si="430"/>
        <v>-284.65015226556687</v>
      </c>
      <c r="AA167" s="767">
        <f t="shared" si="430"/>
        <v>660.24756588947275</v>
      </c>
      <c r="AB167" s="767">
        <f>AB165*$B$4</f>
        <v>212.09718497093439</v>
      </c>
      <c r="AC167" s="767">
        <f t="shared" ref="AC167:AK168" si="431">AC165*$B$4</f>
        <v>-84.757173844388333</v>
      </c>
      <c r="AD167" s="767">
        <f t="shared" si="431"/>
        <v>508.95154378625705</v>
      </c>
      <c r="AE167" s="767">
        <f t="shared" si="431"/>
        <v>-381.61153265971075</v>
      </c>
      <c r="AF167" s="767">
        <f t="shared" si="431"/>
        <v>805.80590260157965</v>
      </c>
      <c r="AG167" s="767">
        <f t="shared" si="431"/>
        <v>288.49076255999967</v>
      </c>
      <c r="AH167" s="767">
        <f t="shared" si="431"/>
        <v>-341.01969615999951</v>
      </c>
      <c r="AI167" s="767">
        <f t="shared" si="431"/>
        <v>918.00122127999873</v>
      </c>
      <c r="AJ167" s="767">
        <f t="shared" si="431"/>
        <v>-970.5301548799988</v>
      </c>
      <c r="AK167" s="767">
        <f t="shared" si="431"/>
        <v>1547.511679999998</v>
      </c>
    </row>
    <row r="168" spans="2:37" x14ac:dyDescent="0.3">
      <c r="B168" s="46" t="s">
        <v>689</v>
      </c>
      <c r="C168" s="291"/>
      <c r="D168" s="292"/>
      <c r="E168" s="292"/>
      <c r="F168" s="292"/>
      <c r="G168" s="285" t="s">
        <v>615</v>
      </c>
      <c r="H168" s="293">
        <f>H166*$B$4</f>
        <v>139.21697617549447</v>
      </c>
      <c r="I168" s="293">
        <f t="shared" si="428"/>
        <v>-276.12648048526529</v>
      </c>
      <c r="J168" s="293">
        <f t="shared" si="428"/>
        <v>554.56043283625456</v>
      </c>
      <c r="K168" s="293">
        <f t="shared" si="428"/>
        <v>-691.46993714602559</v>
      </c>
      <c r="L168" s="293">
        <f t="shared" si="428"/>
        <v>969.90388949701457</v>
      </c>
      <c r="M168" s="293">
        <f t="shared" si="428"/>
        <v>632.74317092628303</v>
      </c>
      <c r="N168" s="293">
        <f t="shared" si="428"/>
        <v>322.74802607317235</v>
      </c>
      <c r="O168" s="293">
        <f t="shared" si="428"/>
        <v>942.73831577939382</v>
      </c>
      <c r="P168" s="293">
        <f t="shared" si="428"/>
        <v>12.752881220061738</v>
      </c>
      <c r="Q168" s="293">
        <f t="shared" si="428"/>
        <v>1252.7334606325044</v>
      </c>
      <c r="R168" s="768">
        <f>R166*$B$4</f>
        <v>128.00681703431621</v>
      </c>
      <c r="S168" s="768">
        <f t="shared" si="429"/>
        <v>-645.16901850027602</v>
      </c>
      <c r="T168" s="768">
        <f t="shared" si="429"/>
        <v>901.182652568908</v>
      </c>
      <c r="U168" s="768">
        <f t="shared" si="429"/>
        <v>-1418.3448540348672</v>
      </c>
      <c r="V168" s="768">
        <f t="shared" si="429"/>
        <v>1674.3584881034997</v>
      </c>
      <c r="W168" s="768">
        <f>W166*$B$4</f>
        <v>370.78670681195268</v>
      </c>
      <c r="X168" s="768">
        <f t="shared" si="430"/>
        <v>134.56227727319319</v>
      </c>
      <c r="Y168" s="768">
        <f t="shared" si="430"/>
        <v>607.0111363507126</v>
      </c>
      <c r="Z168" s="768">
        <f t="shared" si="430"/>
        <v>-101.66215226556707</v>
      </c>
      <c r="AA168" s="768">
        <f t="shared" si="430"/>
        <v>843.23556588947247</v>
      </c>
      <c r="AB168" s="768">
        <f>AB166*$B$4</f>
        <v>395.08518497093422</v>
      </c>
      <c r="AC168" s="768">
        <f t="shared" si="431"/>
        <v>98.230826155611453</v>
      </c>
      <c r="AD168" s="768">
        <f t="shared" si="431"/>
        <v>691.93954378625688</v>
      </c>
      <c r="AE168" s="768">
        <f t="shared" si="431"/>
        <v>-198.62353265971089</v>
      </c>
      <c r="AF168" s="768">
        <f t="shared" si="431"/>
        <v>988.79390260157936</v>
      </c>
      <c r="AG168" s="768">
        <f t="shared" si="431"/>
        <v>471.47876255999961</v>
      </c>
      <c r="AH168" s="768">
        <f t="shared" si="431"/>
        <v>-158.03169615999957</v>
      </c>
      <c r="AI168" s="768">
        <f t="shared" si="431"/>
        <v>1100.9892212799987</v>
      </c>
      <c r="AJ168" s="768">
        <f t="shared" si="431"/>
        <v>-787.54215487999886</v>
      </c>
      <c r="AK168" s="768">
        <f t="shared" si="431"/>
        <v>1730.4996799999983</v>
      </c>
    </row>
  </sheetData>
  <mergeCells count="75">
    <mergeCell ref="BJ35:BN35"/>
    <mergeCell ref="DK35:DO35"/>
    <mergeCell ref="BY35:CA35"/>
    <mergeCell ref="CD35:CE35"/>
    <mergeCell ref="CH35:CL35"/>
    <mergeCell ref="CM35:CQ35"/>
    <mergeCell ref="CW35:CY35"/>
    <mergeCell ref="DB35:DC35"/>
    <mergeCell ref="B2:D2"/>
    <mergeCell ref="CH9:CL9"/>
    <mergeCell ref="CM9:CQ9"/>
    <mergeCell ref="DF9:DJ9"/>
    <mergeCell ref="DF35:DJ35"/>
    <mergeCell ref="E35:G35"/>
    <mergeCell ref="J35:K35"/>
    <mergeCell ref="N35:R35"/>
    <mergeCell ref="S35:W35"/>
    <mergeCell ref="AC35:AE35"/>
    <mergeCell ref="AH35:AI35"/>
    <mergeCell ref="BO35:BS35"/>
    <mergeCell ref="AL35:AP35"/>
    <mergeCell ref="AQ35:AU35"/>
    <mergeCell ref="BA35:BC35"/>
    <mergeCell ref="BF35:BG35"/>
    <mergeCell ref="DK9:DO9"/>
    <mergeCell ref="E9:G9"/>
    <mergeCell ref="J9:K9"/>
    <mergeCell ref="N9:R9"/>
    <mergeCell ref="S9:W9"/>
    <mergeCell ref="AC9:AE9"/>
    <mergeCell ref="AH9:AI9"/>
    <mergeCell ref="AL9:AP9"/>
    <mergeCell ref="AQ9:AU9"/>
    <mergeCell ref="BJ9:BN9"/>
    <mergeCell ref="BO9:BS9"/>
    <mergeCell ref="AH85:AI85"/>
    <mergeCell ref="AL85:AP85"/>
    <mergeCell ref="AQ85:AU85"/>
    <mergeCell ref="BA85:BC85"/>
    <mergeCell ref="BF85:BG85"/>
    <mergeCell ref="E85:G85"/>
    <mergeCell ref="J85:K85"/>
    <mergeCell ref="N85:R85"/>
    <mergeCell ref="S85:W85"/>
    <mergeCell ref="AC85:AE85"/>
    <mergeCell ref="CM85:CQ85"/>
    <mergeCell ref="CW85:CY85"/>
    <mergeCell ref="DB85:DC85"/>
    <mergeCell ref="DF85:DJ85"/>
    <mergeCell ref="DK85:DO85"/>
    <mergeCell ref="BJ85:BN85"/>
    <mergeCell ref="BO85:BS85"/>
    <mergeCell ref="BY85:CA85"/>
    <mergeCell ref="CD85:CE85"/>
    <mergeCell ref="CH85:CL85"/>
    <mergeCell ref="AH110:AI110"/>
    <mergeCell ref="AL110:AP110"/>
    <mergeCell ref="AQ110:AU110"/>
    <mergeCell ref="BA110:BC110"/>
    <mergeCell ref="BF110:BG110"/>
    <mergeCell ref="E110:G110"/>
    <mergeCell ref="J110:K110"/>
    <mergeCell ref="N110:R110"/>
    <mergeCell ref="S110:W110"/>
    <mergeCell ref="AC110:AE110"/>
    <mergeCell ref="CM110:CQ110"/>
    <mergeCell ref="CW110:CY110"/>
    <mergeCell ref="DB110:DC110"/>
    <mergeCell ref="DF110:DJ110"/>
    <mergeCell ref="DK110:DO110"/>
    <mergeCell ref="BJ110:BN110"/>
    <mergeCell ref="BO110:BS110"/>
    <mergeCell ref="BY110:CA110"/>
    <mergeCell ref="CD110:CE110"/>
    <mergeCell ref="CH110:CL110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Y168"/>
  <sheetViews>
    <sheetView topLeftCell="A10" zoomScale="110" zoomScaleNormal="110" workbookViewId="0">
      <selection activeCell="E10" sqref="E10"/>
    </sheetView>
  </sheetViews>
  <sheetFormatPr defaultColWidth="9" defaultRowHeight="14" x14ac:dyDescent="0.3"/>
  <sheetData>
    <row r="2" spans="2:119" x14ac:dyDescent="0.3">
      <c r="B2" s="1094" t="s">
        <v>351</v>
      </c>
      <c r="C2" s="1095"/>
      <c r="D2" s="1096"/>
    </row>
    <row r="4" spans="2:119" x14ac:dyDescent="0.3">
      <c r="B4" s="927">
        <f>'Arable NPV'!C6</f>
        <v>0.04</v>
      </c>
      <c r="C4" s="927">
        <f>B4+(B4*0.5)</f>
        <v>0.06</v>
      </c>
      <c r="D4" s="927">
        <f>B4-(B4*0.5)</f>
        <v>0.02</v>
      </c>
      <c r="E4" s="927">
        <f>B4+B4</f>
        <v>0.08</v>
      </c>
      <c r="F4" s="927">
        <f>B4-B4</f>
        <v>0</v>
      </c>
    </row>
    <row r="5" spans="2:119" x14ac:dyDescent="0.3">
      <c r="D5" s="271"/>
    </row>
    <row r="8" spans="2:119" x14ac:dyDescent="0.3">
      <c r="B8" s="227" t="s">
        <v>96</v>
      </c>
      <c r="C8" s="763" t="s">
        <v>420</v>
      </c>
      <c r="D8" s="269" t="s">
        <v>405</v>
      </c>
      <c r="E8" s="194"/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Z8" s="227" t="s">
        <v>96</v>
      </c>
      <c r="AA8" s="1097" t="s">
        <v>406</v>
      </c>
      <c r="AB8" s="1098"/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X8" s="227" t="s">
        <v>96</v>
      </c>
      <c r="AY8" s="1097" t="s">
        <v>407</v>
      </c>
      <c r="AZ8" s="1098"/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V8" s="227" t="s">
        <v>96</v>
      </c>
      <c r="BW8" s="1097" t="s">
        <v>408</v>
      </c>
      <c r="BX8" s="1098"/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T8" s="227" t="s">
        <v>96</v>
      </c>
      <c r="CU8" s="1097" t="s">
        <v>409</v>
      </c>
      <c r="CV8" s="1098"/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</row>
    <row r="9" spans="2:119" x14ac:dyDescent="0.3">
      <c r="B9" s="203"/>
      <c r="C9" s="148"/>
      <c r="D9" s="148"/>
      <c r="E9" s="1086"/>
      <c r="F9" s="1086"/>
      <c r="G9" s="1086"/>
      <c r="H9" s="148"/>
      <c r="I9" s="931"/>
      <c r="J9" s="1086"/>
      <c r="K9" s="1086"/>
      <c r="L9" s="148"/>
      <c r="M9" s="148"/>
      <c r="N9" s="1087" t="s">
        <v>275</v>
      </c>
      <c r="O9" s="1088"/>
      <c r="P9" s="1088"/>
      <c r="Q9" s="1088"/>
      <c r="R9" s="1089"/>
      <c r="S9" s="1087" t="s">
        <v>276</v>
      </c>
      <c r="T9" s="1088"/>
      <c r="U9" s="1088"/>
      <c r="V9" s="1088"/>
      <c r="W9" s="1089"/>
      <c r="X9" s="987"/>
      <c r="Z9" s="203"/>
      <c r="AA9" s="148"/>
      <c r="AB9" s="148"/>
      <c r="AC9" s="1086"/>
      <c r="AD9" s="1086"/>
      <c r="AE9" s="1086"/>
      <c r="AF9" s="148"/>
      <c r="AG9" s="931"/>
      <c r="AH9" s="1086"/>
      <c r="AI9" s="1086"/>
      <c r="AJ9" s="148"/>
      <c r="AK9" s="148"/>
      <c r="AL9" s="1087" t="s">
        <v>317</v>
      </c>
      <c r="AM9" s="1088"/>
      <c r="AN9" s="1088"/>
      <c r="AO9" s="1088"/>
      <c r="AP9" s="1089"/>
      <c r="AQ9" s="1087" t="s">
        <v>276</v>
      </c>
      <c r="AR9" s="1088"/>
      <c r="AS9" s="1088"/>
      <c r="AT9" s="1088"/>
      <c r="AU9" s="1089"/>
      <c r="AV9" s="987"/>
      <c r="AX9" s="203"/>
      <c r="AY9" s="148"/>
      <c r="AZ9" s="148"/>
      <c r="BA9" s="232"/>
      <c r="BB9" s="232"/>
      <c r="BC9" s="232"/>
      <c r="BD9" s="148"/>
      <c r="BE9" s="931"/>
      <c r="BF9" s="232"/>
      <c r="BG9" s="232"/>
      <c r="BH9" s="148"/>
      <c r="BI9" s="148"/>
      <c r="BJ9" s="1087" t="s">
        <v>275</v>
      </c>
      <c r="BK9" s="1088"/>
      <c r="BL9" s="1088"/>
      <c r="BM9" s="1088"/>
      <c r="BN9" s="1089"/>
      <c r="BO9" s="1087" t="s">
        <v>276</v>
      </c>
      <c r="BP9" s="1088"/>
      <c r="BQ9" s="1088"/>
      <c r="BR9" s="1088"/>
      <c r="BS9" s="1089"/>
      <c r="BT9" s="987"/>
      <c r="BV9" s="203"/>
      <c r="BW9" s="148"/>
      <c r="BX9" s="148"/>
      <c r="BY9" s="232"/>
      <c r="BZ9" s="232"/>
      <c r="CA9" s="232"/>
      <c r="CB9" s="148"/>
      <c r="CC9" s="931"/>
      <c r="CD9" s="232"/>
      <c r="CE9" s="232"/>
      <c r="CF9" s="148"/>
      <c r="CG9" s="148"/>
      <c r="CH9" s="1087" t="s">
        <v>275</v>
      </c>
      <c r="CI9" s="1088"/>
      <c r="CJ9" s="1088"/>
      <c r="CK9" s="1088"/>
      <c r="CL9" s="1089"/>
      <c r="CM9" s="1087" t="s">
        <v>276</v>
      </c>
      <c r="CN9" s="1088"/>
      <c r="CO9" s="1088"/>
      <c r="CP9" s="1088"/>
      <c r="CQ9" s="1089"/>
      <c r="CR9" s="987"/>
      <c r="CT9" s="203"/>
      <c r="CU9" s="148"/>
      <c r="CV9" s="148"/>
      <c r="CW9" s="232"/>
      <c r="CX9" s="232"/>
      <c r="CY9" s="232"/>
      <c r="CZ9" s="148"/>
      <c r="DA9" s="931"/>
      <c r="DB9" s="232"/>
      <c r="DC9" s="232"/>
      <c r="DD9" s="148"/>
      <c r="DE9" s="148"/>
      <c r="DF9" s="1087" t="s">
        <v>275</v>
      </c>
      <c r="DG9" s="1088"/>
      <c r="DH9" s="1088"/>
      <c r="DI9" s="1088"/>
      <c r="DJ9" s="1089"/>
      <c r="DK9" s="1087" t="s">
        <v>276</v>
      </c>
      <c r="DL9" s="1088"/>
      <c r="DM9" s="1088"/>
      <c r="DN9" s="1088"/>
      <c r="DO9" s="1089"/>
    </row>
    <row r="10" spans="2:119" ht="51" x14ac:dyDescent="0.3">
      <c r="B10" s="204" t="s">
        <v>277</v>
      </c>
      <c r="C10" s="205" t="s">
        <v>303</v>
      </c>
      <c r="D10" s="205" t="s">
        <v>304</v>
      </c>
      <c r="E10" s="171" t="s">
        <v>675</v>
      </c>
      <c r="F10" s="171" t="s">
        <v>666</v>
      </c>
      <c r="G10" s="171" t="s">
        <v>676</v>
      </c>
      <c r="H10" s="205" t="s">
        <v>301</v>
      </c>
      <c r="I10" s="935" t="s">
        <v>302</v>
      </c>
      <c r="J10" s="205" t="s">
        <v>305</v>
      </c>
      <c r="K10" s="171" t="s">
        <v>283</v>
      </c>
      <c r="L10" s="171" t="s">
        <v>677</v>
      </c>
      <c r="M10" s="171" t="s">
        <v>678</v>
      </c>
      <c r="N10" s="195" t="s">
        <v>286</v>
      </c>
      <c r="O10" s="171" t="s">
        <v>679</v>
      </c>
      <c r="P10" s="171" t="s">
        <v>288</v>
      </c>
      <c r="Q10" s="171" t="s">
        <v>680</v>
      </c>
      <c r="R10" s="198" t="s">
        <v>290</v>
      </c>
      <c r="S10" s="195" t="s">
        <v>291</v>
      </c>
      <c r="T10" s="171" t="s">
        <v>681</v>
      </c>
      <c r="U10" s="171" t="s">
        <v>293</v>
      </c>
      <c r="V10" s="171" t="s">
        <v>682</v>
      </c>
      <c r="W10" s="198" t="s">
        <v>295</v>
      </c>
      <c r="X10" s="171"/>
      <c r="Z10" s="204" t="s">
        <v>277</v>
      </c>
      <c r="AA10" s="205" t="s">
        <v>303</v>
      </c>
      <c r="AB10" s="205" t="s">
        <v>304</v>
      </c>
      <c r="AC10" s="171" t="s">
        <v>675</v>
      </c>
      <c r="AD10" s="171" t="s">
        <v>666</v>
      </c>
      <c r="AE10" s="171" t="s">
        <v>676</v>
      </c>
      <c r="AF10" s="205" t="s">
        <v>301</v>
      </c>
      <c r="AG10" s="935" t="s">
        <v>302</v>
      </c>
      <c r="AH10" s="205" t="s">
        <v>305</v>
      </c>
      <c r="AI10" s="171" t="s">
        <v>283</v>
      </c>
      <c r="AJ10" s="171" t="s">
        <v>677</v>
      </c>
      <c r="AK10" s="171" t="s">
        <v>678</v>
      </c>
      <c r="AL10" s="195" t="s">
        <v>286</v>
      </c>
      <c r="AM10" s="171" t="s">
        <v>679</v>
      </c>
      <c r="AN10" s="171" t="s">
        <v>288</v>
      </c>
      <c r="AO10" s="171" t="s">
        <v>680</v>
      </c>
      <c r="AP10" s="198" t="s">
        <v>290</v>
      </c>
      <c r="AQ10" s="195" t="s">
        <v>291</v>
      </c>
      <c r="AR10" s="171" t="s">
        <v>681</v>
      </c>
      <c r="AS10" s="171" t="s">
        <v>293</v>
      </c>
      <c r="AT10" s="171" t="s">
        <v>682</v>
      </c>
      <c r="AU10" s="198" t="s">
        <v>295</v>
      </c>
      <c r="AV10" s="171"/>
      <c r="AX10" s="204" t="s">
        <v>277</v>
      </c>
      <c r="AY10" s="205" t="s">
        <v>303</v>
      </c>
      <c r="AZ10" s="205" t="s">
        <v>304</v>
      </c>
      <c r="BA10" s="171" t="s">
        <v>675</v>
      </c>
      <c r="BB10" s="171" t="s">
        <v>666</v>
      </c>
      <c r="BC10" s="171" t="s">
        <v>676</v>
      </c>
      <c r="BD10" s="205" t="s">
        <v>301</v>
      </c>
      <c r="BE10" s="935" t="s">
        <v>302</v>
      </c>
      <c r="BF10" s="205" t="s">
        <v>305</v>
      </c>
      <c r="BG10" s="171" t="s">
        <v>283</v>
      </c>
      <c r="BH10" s="171" t="s">
        <v>677</v>
      </c>
      <c r="BI10" s="171" t="s">
        <v>678</v>
      </c>
      <c r="BJ10" s="195" t="s">
        <v>286</v>
      </c>
      <c r="BK10" s="171" t="s">
        <v>679</v>
      </c>
      <c r="BL10" s="171" t="s">
        <v>288</v>
      </c>
      <c r="BM10" s="171" t="s">
        <v>680</v>
      </c>
      <c r="BN10" s="198" t="s">
        <v>290</v>
      </c>
      <c r="BO10" s="195" t="s">
        <v>291</v>
      </c>
      <c r="BP10" s="171" t="s">
        <v>681</v>
      </c>
      <c r="BQ10" s="171" t="s">
        <v>293</v>
      </c>
      <c r="BR10" s="171" t="s">
        <v>682</v>
      </c>
      <c r="BS10" s="198" t="s">
        <v>295</v>
      </c>
      <c r="BT10" s="171"/>
      <c r="BV10" s="204" t="s">
        <v>277</v>
      </c>
      <c r="BW10" s="205" t="s">
        <v>303</v>
      </c>
      <c r="BX10" s="205" t="s">
        <v>304</v>
      </c>
      <c r="BY10" s="171" t="s">
        <v>675</v>
      </c>
      <c r="BZ10" s="171" t="s">
        <v>666</v>
      </c>
      <c r="CA10" s="171" t="s">
        <v>676</v>
      </c>
      <c r="CB10" s="205" t="s">
        <v>301</v>
      </c>
      <c r="CC10" s="935" t="s">
        <v>302</v>
      </c>
      <c r="CD10" s="205" t="s">
        <v>305</v>
      </c>
      <c r="CE10" s="171" t="s">
        <v>283</v>
      </c>
      <c r="CF10" s="171" t="s">
        <v>677</v>
      </c>
      <c r="CG10" s="171" t="s">
        <v>678</v>
      </c>
      <c r="CH10" s="195" t="s">
        <v>286</v>
      </c>
      <c r="CI10" s="171" t="s">
        <v>679</v>
      </c>
      <c r="CJ10" s="171" t="s">
        <v>288</v>
      </c>
      <c r="CK10" s="171" t="s">
        <v>680</v>
      </c>
      <c r="CL10" s="198" t="s">
        <v>290</v>
      </c>
      <c r="CM10" s="195" t="s">
        <v>291</v>
      </c>
      <c r="CN10" s="171" t="s">
        <v>681</v>
      </c>
      <c r="CO10" s="171" t="s">
        <v>293</v>
      </c>
      <c r="CP10" s="171" t="s">
        <v>682</v>
      </c>
      <c r="CQ10" s="198" t="s">
        <v>295</v>
      </c>
      <c r="CR10" s="171"/>
      <c r="CT10" s="204" t="s">
        <v>277</v>
      </c>
      <c r="CU10" s="205" t="s">
        <v>303</v>
      </c>
      <c r="CV10" s="205" t="s">
        <v>304</v>
      </c>
      <c r="CW10" s="171" t="s">
        <v>675</v>
      </c>
      <c r="CX10" s="171" t="s">
        <v>666</v>
      </c>
      <c r="CY10" s="171" t="s">
        <v>676</v>
      </c>
      <c r="CZ10" s="205" t="s">
        <v>301</v>
      </c>
      <c r="DA10" s="935" t="s">
        <v>302</v>
      </c>
      <c r="DB10" s="205" t="s">
        <v>305</v>
      </c>
      <c r="DC10" s="171" t="s">
        <v>283</v>
      </c>
      <c r="DD10" s="171" t="s">
        <v>677</v>
      </c>
      <c r="DE10" s="171" t="s">
        <v>678</v>
      </c>
      <c r="DF10" s="195" t="s">
        <v>286</v>
      </c>
      <c r="DG10" s="171" t="s">
        <v>679</v>
      </c>
      <c r="DH10" s="171" t="s">
        <v>288</v>
      </c>
      <c r="DI10" s="171" t="s">
        <v>680</v>
      </c>
      <c r="DJ10" s="198" t="s">
        <v>290</v>
      </c>
      <c r="DK10" s="195" t="s">
        <v>291</v>
      </c>
      <c r="DL10" s="171" t="s">
        <v>681</v>
      </c>
      <c r="DM10" s="171" t="s">
        <v>293</v>
      </c>
      <c r="DN10" s="171" t="s">
        <v>682</v>
      </c>
      <c r="DO10" s="198" t="s">
        <v>295</v>
      </c>
    </row>
    <row r="11" spans="2:119" x14ac:dyDescent="0.3">
      <c r="B11" s="173"/>
      <c r="C11" s="226" t="s">
        <v>341</v>
      </c>
      <c r="D11" s="226" t="s">
        <v>601</v>
      </c>
      <c r="E11" s="201" t="s">
        <v>599</v>
      </c>
      <c r="F11" s="201" t="s">
        <v>599</v>
      </c>
      <c r="G11" s="201" t="s">
        <v>599</v>
      </c>
      <c r="H11" s="201" t="s">
        <v>599</v>
      </c>
      <c r="I11" s="969" t="s">
        <v>599</v>
      </c>
      <c r="J11" s="201" t="s">
        <v>599</v>
      </c>
      <c r="K11" s="201" t="s">
        <v>599</v>
      </c>
      <c r="L11" s="201" t="s">
        <v>599</v>
      </c>
      <c r="M11" s="202" t="s">
        <v>599</v>
      </c>
      <c r="N11" s="201" t="s">
        <v>599</v>
      </c>
      <c r="O11" s="201" t="s">
        <v>599</v>
      </c>
      <c r="P11" s="201" t="s">
        <v>599</v>
      </c>
      <c r="Q11" s="201" t="s">
        <v>599</v>
      </c>
      <c r="R11" s="202" t="s">
        <v>599</v>
      </c>
      <c r="S11" s="201" t="s">
        <v>599</v>
      </c>
      <c r="T11" s="201" t="s">
        <v>599</v>
      </c>
      <c r="U11" s="201" t="s">
        <v>599</v>
      </c>
      <c r="V11" s="201" t="s">
        <v>599</v>
      </c>
      <c r="W11" s="202" t="s">
        <v>599</v>
      </c>
      <c r="X11" s="988"/>
      <c r="Z11" s="173"/>
      <c r="AA11" s="226" t="s">
        <v>341</v>
      </c>
      <c r="AB11" s="226" t="s">
        <v>601</v>
      </c>
      <c r="AC11" s="201" t="s">
        <v>599</v>
      </c>
      <c r="AD11" s="201" t="s">
        <v>599</v>
      </c>
      <c r="AE11" s="201" t="s">
        <v>599</v>
      </c>
      <c r="AF11" s="201" t="s">
        <v>599</v>
      </c>
      <c r="AG11" s="969" t="s">
        <v>599</v>
      </c>
      <c r="AH11" s="201" t="s">
        <v>599</v>
      </c>
      <c r="AI11" s="201" t="s">
        <v>599</v>
      </c>
      <c r="AJ11" s="201" t="s">
        <v>599</v>
      </c>
      <c r="AK11" s="202" t="s">
        <v>599</v>
      </c>
      <c r="AL11" s="201" t="s">
        <v>599</v>
      </c>
      <c r="AM11" s="201" t="s">
        <v>599</v>
      </c>
      <c r="AN11" s="201" t="s">
        <v>599</v>
      </c>
      <c r="AO11" s="201" t="s">
        <v>599</v>
      </c>
      <c r="AP11" s="202" t="s">
        <v>599</v>
      </c>
      <c r="AQ11" s="201" t="s">
        <v>599</v>
      </c>
      <c r="AR11" s="201" t="s">
        <v>599</v>
      </c>
      <c r="AS11" s="201" t="s">
        <v>599</v>
      </c>
      <c r="AT11" s="201" t="s">
        <v>599</v>
      </c>
      <c r="AU11" s="202" t="s">
        <v>599</v>
      </c>
      <c r="AV11" s="988"/>
      <c r="AX11" s="173"/>
      <c r="AY11" s="226" t="s">
        <v>341</v>
      </c>
      <c r="AZ11" s="226" t="s">
        <v>601</v>
      </c>
      <c r="BA11" s="201" t="s">
        <v>599</v>
      </c>
      <c r="BB11" s="201" t="s">
        <v>599</v>
      </c>
      <c r="BC11" s="201" t="s">
        <v>599</v>
      </c>
      <c r="BD11" s="201" t="s">
        <v>599</v>
      </c>
      <c r="BE11" s="969" t="s">
        <v>599</v>
      </c>
      <c r="BF11" s="201" t="s">
        <v>599</v>
      </c>
      <c r="BG11" s="201" t="s">
        <v>599</v>
      </c>
      <c r="BH11" s="201" t="s">
        <v>599</v>
      </c>
      <c r="BI11" s="202" t="s">
        <v>599</v>
      </c>
      <c r="BJ11" s="201" t="s">
        <v>599</v>
      </c>
      <c r="BK11" s="201" t="s">
        <v>599</v>
      </c>
      <c r="BL11" s="201" t="s">
        <v>599</v>
      </c>
      <c r="BM11" s="201" t="s">
        <v>599</v>
      </c>
      <c r="BN11" s="202" t="s">
        <v>599</v>
      </c>
      <c r="BO11" s="201" t="s">
        <v>599</v>
      </c>
      <c r="BP11" s="201" t="s">
        <v>599</v>
      </c>
      <c r="BQ11" s="201" t="s">
        <v>599</v>
      </c>
      <c r="BR11" s="201" t="s">
        <v>599</v>
      </c>
      <c r="BS11" s="202" t="s">
        <v>599</v>
      </c>
      <c r="BT11" s="988"/>
      <c r="BV11" s="173"/>
      <c r="BW11" s="226" t="s">
        <v>341</v>
      </c>
      <c r="BX11" s="226" t="s">
        <v>601</v>
      </c>
      <c r="BY11" s="201" t="s">
        <v>599</v>
      </c>
      <c r="BZ11" s="201" t="s">
        <v>599</v>
      </c>
      <c r="CA11" s="201" t="s">
        <v>599</v>
      </c>
      <c r="CB11" s="201" t="s">
        <v>599</v>
      </c>
      <c r="CC11" s="969" t="s">
        <v>599</v>
      </c>
      <c r="CD11" s="201" t="s">
        <v>599</v>
      </c>
      <c r="CE11" s="201" t="s">
        <v>599</v>
      </c>
      <c r="CF11" s="201" t="s">
        <v>599</v>
      </c>
      <c r="CG11" s="202" t="s">
        <v>599</v>
      </c>
      <c r="CH11" s="201" t="s">
        <v>599</v>
      </c>
      <c r="CI11" s="201" t="s">
        <v>599</v>
      </c>
      <c r="CJ11" s="201" t="s">
        <v>599</v>
      </c>
      <c r="CK11" s="201" t="s">
        <v>599</v>
      </c>
      <c r="CL11" s="202" t="s">
        <v>599</v>
      </c>
      <c r="CM11" s="201" t="s">
        <v>599</v>
      </c>
      <c r="CN11" s="201" t="s">
        <v>599</v>
      </c>
      <c r="CO11" s="201" t="s">
        <v>599</v>
      </c>
      <c r="CP11" s="201" t="s">
        <v>599</v>
      </c>
      <c r="CQ11" s="202" t="s">
        <v>599</v>
      </c>
      <c r="CR11" s="988"/>
      <c r="CT11" s="173"/>
      <c r="CU11" s="226" t="s">
        <v>341</v>
      </c>
      <c r="CV11" s="226" t="s">
        <v>601</v>
      </c>
      <c r="CW11" s="201" t="s">
        <v>599</v>
      </c>
      <c r="CX11" s="201" t="s">
        <v>599</v>
      </c>
      <c r="CY11" s="201" t="s">
        <v>599</v>
      </c>
      <c r="CZ11" s="201" t="s">
        <v>599</v>
      </c>
      <c r="DA11" s="969" t="s">
        <v>599</v>
      </c>
      <c r="DB11" s="201" t="s">
        <v>599</v>
      </c>
      <c r="DC11" s="201" t="s">
        <v>599</v>
      </c>
      <c r="DD11" s="201" t="s">
        <v>599</v>
      </c>
      <c r="DE11" s="202" t="s">
        <v>599</v>
      </c>
      <c r="DF11" s="201" t="s">
        <v>599</v>
      </c>
      <c r="DG11" s="201" t="s">
        <v>599</v>
      </c>
      <c r="DH11" s="201" t="s">
        <v>599</v>
      </c>
      <c r="DI11" s="201" t="s">
        <v>599</v>
      </c>
      <c r="DJ11" s="202" t="s">
        <v>599</v>
      </c>
      <c r="DK11" s="201" t="s">
        <v>599</v>
      </c>
      <c r="DL11" s="201" t="s">
        <v>599</v>
      </c>
      <c r="DM11" s="201" t="s">
        <v>599</v>
      </c>
      <c r="DN11" s="201" t="s">
        <v>599</v>
      </c>
      <c r="DO11" s="202" t="s">
        <v>599</v>
      </c>
    </row>
    <row r="12" spans="2:119" x14ac:dyDescent="0.3">
      <c r="B12" s="204">
        <v>1</v>
      </c>
      <c r="C12" s="197">
        <f>'Energy NPV'!$D65</f>
        <v>2.0466666666666664</v>
      </c>
      <c r="D12" s="197">
        <f>'Energy margins'!$S$12</f>
        <v>72</v>
      </c>
      <c r="E12" s="197">
        <f>C12*D12</f>
        <v>147.35999999999999</v>
      </c>
      <c r="F12" s="197">
        <f>'Margins summary'!$U$14</f>
        <v>175.95</v>
      </c>
      <c r="G12" s="197">
        <f>E12+F12</f>
        <v>323.30999999999995</v>
      </c>
      <c r="H12" s="197">
        <f>'Margins summary'!$T$20</f>
        <v>5737.3339839999999</v>
      </c>
      <c r="I12" s="918">
        <f>'Energy NPV'!U65</f>
        <v>112.99999999999999</v>
      </c>
      <c r="J12" s="197"/>
      <c r="K12" s="197">
        <f>H12+I12+J12</f>
        <v>5850.3339839999999</v>
      </c>
      <c r="L12" s="197">
        <f t="shared" ref="L12:L27" si="0">E12-K12</f>
        <v>-5702.9739840000002</v>
      </c>
      <c r="M12" s="197">
        <f t="shared" ref="M12:M27" si="1">G12-K12</f>
        <v>-5527.0239839999995</v>
      </c>
      <c r="N12" s="1018">
        <f>E12/((1+$B$4)^(B12-1))</f>
        <v>147.35999999999999</v>
      </c>
      <c r="O12" s="213">
        <f>F12/((1+$B$4)^(B12-1))</f>
        <v>175.95</v>
      </c>
      <c r="P12" s="213">
        <f>K12/((1+$B$4)^(B12-1))</f>
        <v>5850.3339839999999</v>
      </c>
      <c r="Q12" s="213">
        <f>L12/((1+$B$4)^(B12-1))</f>
        <v>-5702.9739840000002</v>
      </c>
      <c r="R12" s="929">
        <f>M12/((1+$B$4)^(B12-1))</f>
        <v>-5527.0239839999995</v>
      </c>
      <c r="S12" s="196">
        <f>N12</f>
        <v>147.35999999999999</v>
      </c>
      <c r="T12" s="197">
        <f>O12</f>
        <v>175.95</v>
      </c>
      <c r="U12" s="197">
        <f>P12</f>
        <v>5850.3339839999999</v>
      </c>
      <c r="V12" s="197">
        <f>Q12</f>
        <v>-5702.9739840000002</v>
      </c>
      <c r="W12" s="199">
        <f>R12</f>
        <v>-5527.0239839999995</v>
      </c>
      <c r="X12" s="197"/>
      <c r="Z12" s="204">
        <v>1</v>
      </c>
      <c r="AA12" s="225">
        <f>'Energy NPV'!$D65</f>
        <v>2.0466666666666664</v>
      </c>
      <c r="AB12" s="197">
        <f>'Energy margins'!$S$12</f>
        <v>72</v>
      </c>
      <c r="AC12" s="197">
        <f>AA12*AB12</f>
        <v>147.35999999999999</v>
      </c>
      <c r="AD12" s="197">
        <f>'Margins summary'!$U$14</f>
        <v>175.95</v>
      </c>
      <c r="AE12" s="197">
        <f>AC12+AD12</f>
        <v>323.30999999999995</v>
      </c>
      <c r="AF12" s="197">
        <f>'Margins summary'!$T$20</f>
        <v>5737.3339839999999</v>
      </c>
      <c r="AG12" s="918">
        <f>'Energy NPV'!U65</f>
        <v>112.99999999999999</v>
      </c>
      <c r="AH12" s="197"/>
      <c r="AI12" s="197">
        <f>AF12+AG12+AH12</f>
        <v>5850.3339839999999</v>
      </c>
      <c r="AJ12" s="197">
        <f t="shared" ref="AJ12:AJ27" si="2">AC12-AI12</f>
        <v>-5702.9739840000002</v>
      </c>
      <c r="AK12" s="197">
        <f t="shared" ref="AK12:AK27" si="3">AE12-AI12</f>
        <v>-5527.0239839999995</v>
      </c>
      <c r="AL12" s="1018">
        <f>AC12/((1+$C$4)^(Z12-1))</f>
        <v>147.35999999999999</v>
      </c>
      <c r="AM12" s="213">
        <f>AD12/((1+$C$4)^(Z12-1))</f>
        <v>175.95</v>
      </c>
      <c r="AN12" s="213">
        <f>AI12/((1+$C$4)^(Z12-1))</f>
        <v>5850.3339839999999</v>
      </c>
      <c r="AO12" s="213">
        <f>AJ12/((1+$C$4)^(Z12-1))</f>
        <v>-5702.9739840000002</v>
      </c>
      <c r="AP12" s="929">
        <f>AK12/((1+$C$4)^(Z12-1))</f>
        <v>-5527.0239839999995</v>
      </c>
      <c r="AQ12" s="196">
        <f>AL12</f>
        <v>147.35999999999999</v>
      </c>
      <c r="AR12" s="197">
        <f>AM12</f>
        <v>175.95</v>
      </c>
      <c r="AS12" s="197">
        <f>AN12</f>
        <v>5850.3339839999999</v>
      </c>
      <c r="AT12" s="197">
        <f>AO12</f>
        <v>-5702.9739840000002</v>
      </c>
      <c r="AU12" s="199">
        <f>AP12</f>
        <v>-5527.0239839999995</v>
      </c>
      <c r="AV12" s="197"/>
      <c r="AX12" s="204">
        <v>1</v>
      </c>
      <c r="AY12" s="225">
        <f>'Energy NPV'!$D65</f>
        <v>2.0466666666666664</v>
      </c>
      <c r="AZ12" s="197">
        <f>'Energy margins'!$S$12</f>
        <v>72</v>
      </c>
      <c r="BA12" s="197">
        <f>AY12*AZ12</f>
        <v>147.35999999999999</v>
      </c>
      <c r="BB12" s="197">
        <f>'Margins summary'!$U$14</f>
        <v>175.95</v>
      </c>
      <c r="BC12" s="197">
        <f>BA12+BB12</f>
        <v>323.30999999999995</v>
      </c>
      <c r="BD12" s="197">
        <f>'Margins summary'!$T$20</f>
        <v>5737.3339839999999</v>
      </c>
      <c r="BE12" s="918">
        <f>'Energy NPV'!U65</f>
        <v>112.99999999999999</v>
      </c>
      <c r="BF12" s="197"/>
      <c r="BG12" s="197">
        <f>BD12+BE12+BF12</f>
        <v>5850.3339839999999</v>
      </c>
      <c r="BH12" s="197">
        <f t="shared" ref="BH12:BH27" si="4">BA12-BG12</f>
        <v>-5702.9739840000002</v>
      </c>
      <c r="BI12" s="197">
        <f t="shared" ref="BI12:BI27" si="5">BC12-BG12</f>
        <v>-5527.0239839999995</v>
      </c>
      <c r="BJ12" s="1018">
        <f>BA12/((1+$D$4)^(AX12-1))</f>
        <v>147.35999999999999</v>
      </c>
      <c r="BK12" s="213">
        <f>BB12/((1+$D$4)^(AX12-1))</f>
        <v>175.95</v>
      </c>
      <c r="BL12" s="213">
        <f>BG12/((1+$D$4)^(AX12-1))</f>
        <v>5850.3339839999999</v>
      </c>
      <c r="BM12" s="213">
        <f>BH12/((1+$D$4)^(AX12-1))</f>
        <v>-5702.9739840000002</v>
      </c>
      <c r="BN12" s="929">
        <f>BI12/((1+$D$4)^(AX12-1))</f>
        <v>-5527.0239839999995</v>
      </c>
      <c r="BO12" s="196">
        <f>BJ12</f>
        <v>147.35999999999999</v>
      </c>
      <c r="BP12" s="197">
        <f>BK12</f>
        <v>175.95</v>
      </c>
      <c r="BQ12" s="197">
        <f>BL12</f>
        <v>5850.3339839999999</v>
      </c>
      <c r="BR12" s="197">
        <f>BM12</f>
        <v>-5702.9739840000002</v>
      </c>
      <c r="BS12" s="199">
        <f>BN12</f>
        <v>-5527.0239839999995</v>
      </c>
      <c r="BT12" s="197"/>
      <c r="BV12" s="204">
        <v>1</v>
      </c>
      <c r="BW12" s="225">
        <f>'Energy NPV'!$D65</f>
        <v>2.0466666666666664</v>
      </c>
      <c r="BX12" s="197">
        <f>'Energy margins'!$S$12</f>
        <v>72</v>
      </c>
      <c r="BY12" s="197">
        <f>BW12*BX12</f>
        <v>147.35999999999999</v>
      </c>
      <c r="BZ12" s="197">
        <f>'Margins summary'!$U$14</f>
        <v>175.95</v>
      </c>
      <c r="CA12" s="197">
        <f>BY12+BZ12</f>
        <v>323.30999999999995</v>
      </c>
      <c r="CB12" s="197">
        <f>'Margins summary'!$T$20</f>
        <v>5737.3339839999999</v>
      </c>
      <c r="CC12" s="918">
        <f>'Energy NPV'!U65</f>
        <v>112.99999999999999</v>
      </c>
      <c r="CD12" s="197"/>
      <c r="CE12" s="197">
        <f>CB12+CC12+CD12</f>
        <v>5850.3339839999999</v>
      </c>
      <c r="CF12" s="197">
        <f t="shared" ref="CF12:CF27" si="6">BY12-CE12</f>
        <v>-5702.9739840000002</v>
      </c>
      <c r="CG12" s="197">
        <f t="shared" ref="CG12:CG27" si="7">CA12-CE12</f>
        <v>-5527.0239839999995</v>
      </c>
      <c r="CH12" s="1018">
        <f>BY12/((1+$E$4)^(BV12-1))</f>
        <v>147.35999999999999</v>
      </c>
      <c r="CI12" s="213">
        <f>BZ12/((1+$E$4)^(BV12-1))</f>
        <v>175.95</v>
      </c>
      <c r="CJ12" s="213">
        <f>CE12/((1+$E$4)^(BV12-1))</f>
        <v>5850.3339839999999</v>
      </c>
      <c r="CK12" s="213">
        <f>CF12/((1+$E$4)^(BV12-1))</f>
        <v>-5702.9739840000002</v>
      </c>
      <c r="CL12" s="929">
        <f>CG12/((1+$E$4)^(BV12-1))</f>
        <v>-5527.0239839999995</v>
      </c>
      <c r="CM12" s="196">
        <f>CH12</f>
        <v>147.35999999999999</v>
      </c>
      <c r="CN12" s="197">
        <f>CI12</f>
        <v>175.95</v>
      </c>
      <c r="CO12" s="197">
        <f>CJ12</f>
        <v>5850.3339839999999</v>
      </c>
      <c r="CP12" s="197">
        <f>CK12</f>
        <v>-5702.9739840000002</v>
      </c>
      <c r="CQ12" s="199">
        <f>CL12</f>
        <v>-5527.0239839999995</v>
      </c>
      <c r="CR12" s="197"/>
      <c r="CT12" s="204">
        <v>1</v>
      </c>
      <c r="CU12" s="225">
        <f>'Energy NPV'!$D65</f>
        <v>2.0466666666666664</v>
      </c>
      <c r="CV12" s="197">
        <f>'Energy margins'!$S$12</f>
        <v>72</v>
      </c>
      <c r="CW12" s="197">
        <f>CU12*CV12</f>
        <v>147.35999999999999</v>
      </c>
      <c r="CX12" s="197">
        <f>'Margins summary'!$U$14</f>
        <v>175.95</v>
      </c>
      <c r="CY12" s="197">
        <f>CW12+CX12</f>
        <v>323.30999999999995</v>
      </c>
      <c r="CZ12" s="197">
        <f>'Margins summary'!$T$20</f>
        <v>5737.3339839999999</v>
      </c>
      <c r="DA12" s="918">
        <f>'Energy NPV'!U65</f>
        <v>112.99999999999999</v>
      </c>
      <c r="DB12" s="197"/>
      <c r="DC12" s="197">
        <f>CZ12+DA12+DB12</f>
        <v>5850.3339839999999</v>
      </c>
      <c r="DD12" s="197">
        <f t="shared" ref="DD12:DD27" si="8">CW12-DC12</f>
        <v>-5702.9739840000002</v>
      </c>
      <c r="DE12" s="197">
        <f t="shared" ref="DE12:DE27" si="9">CY12-DC12</f>
        <v>-5527.0239839999995</v>
      </c>
      <c r="DF12" s="1018">
        <f>CW12/((1+$F$4)^(CT12-1))</f>
        <v>147.35999999999999</v>
      </c>
      <c r="DG12" s="213">
        <f>CX12/((1+$F$4)^(CT12-1))</f>
        <v>175.95</v>
      </c>
      <c r="DH12" s="213">
        <f>DC12/((1+$F$4)^(CT12-1))</f>
        <v>5850.3339839999999</v>
      </c>
      <c r="DI12" s="213">
        <f>DD12/((1+$F$4)^(CT12-1))</f>
        <v>-5702.9739840000002</v>
      </c>
      <c r="DJ12" s="929">
        <f>DE12/((1+$F$4)^(CT12-1))</f>
        <v>-5527.0239839999995</v>
      </c>
      <c r="DK12" s="196">
        <f>DF12</f>
        <v>147.35999999999999</v>
      </c>
      <c r="DL12" s="197">
        <f>DG12</f>
        <v>175.95</v>
      </c>
      <c r="DM12" s="197">
        <f>DH12</f>
        <v>5850.3339839999999</v>
      </c>
      <c r="DN12" s="197">
        <f>DI12</f>
        <v>-5702.9739840000002</v>
      </c>
      <c r="DO12" s="199">
        <f>DJ12</f>
        <v>-5527.0239839999995</v>
      </c>
    </row>
    <row r="13" spans="2:119" x14ac:dyDescent="0.3">
      <c r="B13" s="204">
        <v>2</v>
      </c>
      <c r="C13" s="225">
        <f>'Energy NPV'!$D66</f>
        <v>8.27</v>
      </c>
      <c r="D13" s="197">
        <f>'Energy margins'!$S$12</f>
        <v>72</v>
      </c>
      <c r="E13" s="197">
        <f t="shared" ref="E13:E27" si="10">C13*D13</f>
        <v>595.43999999999994</v>
      </c>
      <c r="F13" s="197">
        <f>'Margins summary'!$U$14</f>
        <v>175.95</v>
      </c>
      <c r="G13" s="197">
        <f t="shared" ref="G13:G27" si="11">E13+F13</f>
        <v>771.38999999999987</v>
      </c>
      <c r="H13" s="197"/>
      <c r="I13" s="918">
        <f>'Energy NPV'!U66</f>
        <v>491.50878399999999</v>
      </c>
      <c r="J13" s="197"/>
      <c r="K13" s="197">
        <f t="shared" ref="K13:K27" si="12">H13+I13+J13</f>
        <v>491.50878399999999</v>
      </c>
      <c r="L13" s="197">
        <f t="shared" si="0"/>
        <v>103.93121599999995</v>
      </c>
      <c r="M13" s="197">
        <f t="shared" si="1"/>
        <v>279.88121599999988</v>
      </c>
      <c r="N13" s="196">
        <f t="shared" ref="N13:N27" si="13">E13/((1+$B$4)^(B13-1))</f>
        <v>572.53846153846143</v>
      </c>
      <c r="O13" s="197">
        <f t="shared" ref="O13:O27" si="14">F13/((1+$B$4)^(B13-1))</f>
        <v>169.18269230769229</v>
      </c>
      <c r="P13" s="197">
        <f t="shared" ref="P13:P27" si="15">K13/((1+$B$4)^(B13-1))</f>
        <v>472.60459999999995</v>
      </c>
      <c r="Q13" s="197">
        <f t="shared" ref="Q13:Q27" si="16">L13/((1+$B$4)^(B13-1))</f>
        <v>99.933861538461485</v>
      </c>
      <c r="R13" s="199">
        <f t="shared" ref="R13:R26" si="17">M13/((1+$B$4)^(B13-1))</f>
        <v>269.11655384615375</v>
      </c>
      <c r="S13" s="196">
        <f>S12+N13</f>
        <v>719.89846153846145</v>
      </c>
      <c r="T13" s="197">
        <f t="shared" ref="T13:W27" si="18">T12+O13</f>
        <v>345.13269230769231</v>
      </c>
      <c r="U13" s="197">
        <f t="shared" si="18"/>
        <v>6322.9385839999995</v>
      </c>
      <c r="V13" s="197">
        <f t="shared" si="18"/>
        <v>-5603.0401224615389</v>
      </c>
      <c r="W13" s="199">
        <f t="shared" si="18"/>
        <v>-5257.9074301538458</v>
      </c>
      <c r="X13" s="197"/>
      <c r="Z13" s="204">
        <v>2</v>
      </c>
      <c r="AA13" s="225">
        <f>'Energy NPV'!$D66</f>
        <v>8.27</v>
      </c>
      <c r="AB13" s="197">
        <f>'Energy margins'!$S$12</f>
        <v>72</v>
      </c>
      <c r="AC13" s="197">
        <f t="shared" ref="AC13:AC26" si="19">AA13*AB13</f>
        <v>595.43999999999994</v>
      </c>
      <c r="AD13" s="197">
        <f>'Margins summary'!$U$14</f>
        <v>175.95</v>
      </c>
      <c r="AE13" s="197">
        <f t="shared" ref="AE13:AE27" si="20">AC13+AD13</f>
        <v>771.38999999999987</v>
      </c>
      <c r="AF13" s="197"/>
      <c r="AG13" s="918">
        <f>'Energy NPV'!U66</f>
        <v>491.50878399999999</v>
      </c>
      <c r="AH13" s="197"/>
      <c r="AI13" s="197">
        <f t="shared" ref="AI13:AI27" si="21">AF13+AG13+AH13</f>
        <v>491.50878399999999</v>
      </c>
      <c r="AJ13" s="197">
        <f t="shared" si="2"/>
        <v>103.93121599999995</v>
      </c>
      <c r="AK13" s="197">
        <f t="shared" si="3"/>
        <v>279.88121599999988</v>
      </c>
      <c r="AL13" s="196">
        <f t="shared" ref="AL13:AL27" si="22">AC13/((1+$C$4)^(Z13-1))</f>
        <v>561.73584905660368</v>
      </c>
      <c r="AM13" s="197">
        <f t="shared" ref="AM13:AM27" si="23">AD13/((1+$C$4)^(Z13-1))</f>
        <v>165.99056603773582</v>
      </c>
      <c r="AN13" s="197">
        <f t="shared" ref="AN13:AN27" si="24">AI13/((1+$C$4)^(Z13-1))</f>
        <v>463.68753207547167</v>
      </c>
      <c r="AO13" s="197">
        <f t="shared" ref="AO13:AO27" si="25">AJ13/((1+$C$4)^(Z13-1))</f>
        <v>98.048316981132018</v>
      </c>
      <c r="AP13" s="199">
        <f t="shared" ref="AP13:AP27" si="26">AK13/((1+$C$4)^(Z13-1))</f>
        <v>264.03888301886781</v>
      </c>
      <c r="AQ13" s="196">
        <f>AQ12+AL13</f>
        <v>709.0958490566037</v>
      </c>
      <c r="AR13" s="197">
        <f t="shared" ref="AR13:AU27" si="27">AR12+AM13</f>
        <v>341.94056603773583</v>
      </c>
      <c r="AS13" s="197">
        <f t="shared" si="27"/>
        <v>6314.0215160754715</v>
      </c>
      <c r="AT13" s="197">
        <f t="shared" si="27"/>
        <v>-5604.9256670188679</v>
      </c>
      <c r="AU13" s="199">
        <f t="shared" si="27"/>
        <v>-5262.9851009811318</v>
      </c>
      <c r="AV13" s="197"/>
      <c r="AX13" s="204">
        <v>2</v>
      </c>
      <c r="AY13" s="225">
        <f>'Energy NPV'!$D66</f>
        <v>8.27</v>
      </c>
      <c r="AZ13" s="197">
        <f>'Energy margins'!$S$12</f>
        <v>72</v>
      </c>
      <c r="BA13" s="197">
        <f t="shared" ref="BA13:BA27" si="28">AY13*AZ13</f>
        <v>595.43999999999994</v>
      </c>
      <c r="BB13" s="197">
        <f>'Margins summary'!$U$14</f>
        <v>175.95</v>
      </c>
      <c r="BC13" s="197">
        <f t="shared" ref="BC13:BC27" si="29">BA13+BB13</f>
        <v>771.38999999999987</v>
      </c>
      <c r="BD13" s="197"/>
      <c r="BE13" s="918">
        <f>'Energy NPV'!U66</f>
        <v>491.50878399999999</v>
      </c>
      <c r="BF13" s="197"/>
      <c r="BG13" s="197">
        <f t="shared" ref="BG13:BG27" si="30">BD13+BE13+BF13</f>
        <v>491.50878399999999</v>
      </c>
      <c r="BH13" s="197">
        <f t="shared" si="4"/>
        <v>103.93121599999995</v>
      </c>
      <c r="BI13" s="197">
        <f t="shared" si="5"/>
        <v>279.88121599999988</v>
      </c>
      <c r="BJ13" s="196">
        <f t="shared" ref="BJ13:BJ27" si="31">BA13/((1+$D$4)^(AX13-1))</f>
        <v>583.76470588235293</v>
      </c>
      <c r="BK13" s="197">
        <f t="shared" ref="BK13:BK27" si="32">BB13/((1+$D$4)^(AX13-1))</f>
        <v>172.5</v>
      </c>
      <c r="BL13" s="197">
        <f t="shared" ref="BL13:BL27" si="33">BG13/((1+$D$4)^(AX13-1))</f>
        <v>481.87135686274507</v>
      </c>
      <c r="BM13" s="197">
        <f t="shared" ref="BM13:BM27" si="34">BH13/((1+$D$4)^(AX13-1))</f>
        <v>101.8933490196078</v>
      </c>
      <c r="BN13" s="199">
        <f t="shared" ref="BN13:BN27" si="35">BI13/((1+$D$4)^(AX13-1))</f>
        <v>274.39334901960774</v>
      </c>
      <c r="BO13" s="196">
        <f>BO12+BJ13</f>
        <v>731.12470588235294</v>
      </c>
      <c r="BP13" s="197">
        <f t="shared" ref="BP13:BS27" si="36">BP12+BK13</f>
        <v>348.45</v>
      </c>
      <c r="BQ13" s="197">
        <f t="shared" si="36"/>
        <v>6332.2053408627453</v>
      </c>
      <c r="BR13" s="197">
        <f t="shared" si="36"/>
        <v>-5601.0806349803925</v>
      </c>
      <c r="BS13" s="199">
        <f t="shared" si="36"/>
        <v>-5252.6306349803917</v>
      </c>
      <c r="BT13" s="197"/>
      <c r="BV13" s="204">
        <v>2</v>
      </c>
      <c r="BW13" s="225">
        <f>'Energy NPV'!$D66</f>
        <v>8.27</v>
      </c>
      <c r="BX13" s="197">
        <f>'Energy margins'!$S$12</f>
        <v>72</v>
      </c>
      <c r="BY13" s="197">
        <f t="shared" ref="BY13:BY27" si="37">BW13*BX13</f>
        <v>595.43999999999994</v>
      </c>
      <c r="BZ13" s="197">
        <f>'Margins summary'!$U$14</f>
        <v>175.95</v>
      </c>
      <c r="CA13" s="197">
        <f t="shared" ref="CA13:CA27" si="38">BY13+BZ13</f>
        <v>771.38999999999987</v>
      </c>
      <c r="CB13" s="197"/>
      <c r="CC13" s="918">
        <f>'Energy NPV'!U66</f>
        <v>491.50878399999999</v>
      </c>
      <c r="CD13" s="197"/>
      <c r="CE13" s="197">
        <f t="shared" ref="CE13:CE27" si="39">CB13+CC13+CD13</f>
        <v>491.50878399999999</v>
      </c>
      <c r="CF13" s="197">
        <f t="shared" si="6"/>
        <v>103.93121599999995</v>
      </c>
      <c r="CG13" s="197">
        <f t="shared" si="7"/>
        <v>279.88121599999988</v>
      </c>
      <c r="CH13" s="196">
        <f t="shared" ref="CH13:CH27" si="40">BY13/((1+$E$4)^(BV13-1))</f>
        <v>551.33333333333326</v>
      </c>
      <c r="CI13" s="197">
        <f t="shared" ref="CI13:CI27" si="41">BZ13/((1+$E$4)^(BV13-1))</f>
        <v>162.91666666666666</v>
      </c>
      <c r="CJ13" s="197">
        <f t="shared" ref="CJ13:CJ27" si="42">CE13/((1+$E$4)^(BV13-1))</f>
        <v>455.10072592592587</v>
      </c>
      <c r="CK13" s="197">
        <f t="shared" ref="CK13:CK27" si="43">CF13/((1+$E$4)^(BV13-1))</f>
        <v>96.232607407407357</v>
      </c>
      <c r="CL13" s="199">
        <f t="shared" ref="CL13:CL27" si="44">CG13/((1+$E$4)^(BV13-1))</f>
        <v>259.14927407407396</v>
      </c>
      <c r="CM13" s="196">
        <f>CM12+CH13</f>
        <v>698.69333333333327</v>
      </c>
      <c r="CN13" s="197">
        <f t="shared" ref="CN13:CN27" si="45">CN12+CI13</f>
        <v>338.86666666666667</v>
      </c>
      <c r="CO13" s="197">
        <f t="shared" ref="CO13:CO27" si="46">CO12+CJ13</f>
        <v>6305.4347099259257</v>
      </c>
      <c r="CP13" s="197">
        <f t="shared" ref="CP13:CP27" si="47">CP12+CK13</f>
        <v>-5606.741376592593</v>
      </c>
      <c r="CQ13" s="199">
        <f t="shared" ref="CQ13:CQ27" si="48">CQ12+CL13</f>
        <v>-5267.8747099259253</v>
      </c>
      <c r="CR13" s="197"/>
      <c r="CT13" s="204">
        <f>CT12+1</f>
        <v>2</v>
      </c>
      <c r="CU13" s="225">
        <f>'Energy NPV'!$D66</f>
        <v>8.27</v>
      </c>
      <c r="CV13" s="197">
        <f>'Energy margins'!$S$12</f>
        <v>72</v>
      </c>
      <c r="CW13" s="197">
        <f t="shared" ref="CW13:CW27" si="49">CU13*CV13</f>
        <v>595.43999999999994</v>
      </c>
      <c r="CX13" s="197">
        <f>'Margins summary'!$U$14</f>
        <v>175.95</v>
      </c>
      <c r="CY13" s="197">
        <f t="shared" ref="CY13:CY27" si="50">CW13+CX13</f>
        <v>771.38999999999987</v>
      </c>
      <c r="CZ13" s="197"/>
      <c r="DA13" s="918">
        <f>'Energy NPV'!U66</f>
        <v>491.50878399999999</v>
      </c>
      <c r="DB13" s="197"/>
      <c r="DC13" s="197">
        <f t="shared" ref="DC13:DC27" si="51">CZ13+DA13+DB13</f>
        <v>491.50878399999999</v>
      </c>
      <c r="DD13" s="197">
        <f t="shared" si="8"/>
        <v>103.93121599999995</v>
      </c>
      <c r="DE13" s="197">
        <f t="shared" si="9"/>
        <v>279.88121599999988</v>
      </c>
      <c r="DF13" s="196">
        <f t="shared" ref="DF13:DF27" si="52">CW13/((1+$F$4)^(CT13-1))</f>
        <v>595.43999999999994</v>
      </c>
      <c r="DG13" s="197">
        <f t="shared" ref="DG13:DG27" si="53">CX13/((1+$F$4)^(CT13-1))</f>
        <v>175.95</v>
      </c>
      <c r="DH13" s="197">
        <f t="shared" ref="DH13:DH27" si="54">DC13/((1+$F$4)^(CT13-1))</f>
        <v>491.50878399999999</v>
      </c>
      <c r="DI13" s="197">
        <f t="shared" ref="DI13:DI27" si="55">DD13/((1+$F$4)^(CT13-1))</f>
        <v>103.93121599999995</v>
      </c>
      <c r="DJ13" s="199">
        <f t="shared" ref="DJ13:DJ27" si="56">DE13/((1+$F$4)^(CT13-1))</f>
        <v>279.88121599999988</v>
      </c>
      <c r="DK13" s="196">
        <f>DK12+DF13</f>
        <v>742.8</v>
      </c>
      <c r="DL13" s="197">
        <f t="shared" ref="DL13:DL27" si="57">DL12+DG13</f>
        <v>351.9</v>
      </c>
      <c r="DM13" s="197">
        <f t="shared" ref="DM13:DM27" si="58">DM12+DH13</f>
        <v>6341.8427679999995</v>
      </c>
      <c r="DN13" s="197">
        <f t="shared" ref="DN13:DN27" si="59">DN12+DI13</f>
        <v>-5599.0427680000003</v>
      </c>
      <c r="DO13" s="199">
        <f t="shared" ref="DO13:DO27" si="60">DO12+DJ13</f>
        <v>-5247.1427679999997</v>
      </c>
    </row>
    <row r="14" spans="2:119" x14ac:dyDescent="0.3">
      <c r="B14" s="204">
        <f t="shared" ref="B14:B27" si="61">B13+1</f>
        <v>3</v>
      </c>
      <c r="C14" s="197">
        <f>'Energy NPV'!$D67</f>
        <v>10.926666666666668</v>
      </c>
      <c r="D14" s="197">
        <f>'Energy margins'!$S$12</f>
        <v>72</v>
      </c>
      <c r="E14" s="197">
        <f t="shared" si="10"/>
        <v>786.72</v>
      </c>
      <c r="F14" s="197">
        <f>'Margins summary'!$U$14</f>
        <v>175.95</v>
      </c>
      <c r="G14" s="197">
        <f t="shared" si="11"/>
        <v>962.67000000000007</v>
      </c>
      <c r="H14" s="197"/>
      <c r="I14" s="918">
        <f>'Energy NPV'!U67</f>
        <v>491.50878399999999</v>
      </c>
      <c r="J14" s="197"/>
      <c r="K14" s="197">
        <f t="shared" si="12"/>
        <v>491.50878399999999</v>
      </c>
      <c r="L14" s="197">
        <f t="shared" si="0"/>
        <v>295.21121600000004</v>
      </c>
      <c r="M14" s="197">
        <f t="shared" si="1"/>
        <v>471.16121600000008</v>
      </c>
      <c r="N14" s="196">
        <f t="shared" si="13"/>
        <v>727.36686390532543</v>
      </c>
      <c r="O14" s="197">
        <f t="shared" si="14"/>
        <v>162.67566568047334</v>
      </c>
      <c r="P14" s="197">
        <f t="shared" si="15"/>
        <v>454.42749999999995</v>
      </c>
      <c r="Q14" s="197">
        <f t="shared" si="16"/>
        <v>272.93936390532542</v>
      </c>
      <c r="R14" s="199">
        <f t="shared" si="17"/>
        <v>435.61502958579882</v>
      </c>
      <c r="S14" s="196">
        <f t="shared" ref="S14:S27" si="62">S13+N14</f>
        <v>1447.2653254437869</v>
      </c>
      <c r="T14" s="197">
        <f t="shared" si="18"/>
        <v>507.80835798816565</v>
      </c>
      <c r="U14" s="197">
        <f t="shared" si="18"/>
        <v>6777.3660839999993</v>
      </c>
      <c r="V14" s="197">
        <f t="shared" si="18"/>
        <v>-5330.1007585562138</v>
      </c>
      <c r="W14" s="199">
        <f t="shared" si="18"/>
        <v>-4822.292400568047</v>
      </c>
      <c r="X14" s="197"/>
      <c r="Z14" s="204">
        <f t="shared" ref="Z14:Z27" si="63">Z13+1</f>
        <v>3</v>
      </c>
      <c r="AA14" s="225">
        <f>'Energy NPV'!$D67</f>
        <v>10.926666666666668</v>
      </c>
      <c r="AB14" s="197">
        <f>'Energy margins'!$S$12</f>
        <v>72</v>
      </c>
      <c r="AC14" s="197">
        <f t="shared" si="19"/>
        <v>786.72</v>
      </c>
      <c r="AD14" s="197">
        <f>'Margins summary'!$U$14</f>
        <v>175.95</v>
      </c>
      <c r="AE14" s="197">
        <f t="shared" si="20"/>
        <v>962.67000000000007</v>
      </c>
      <c r="AF14" s="197"/>
      <c r="AG14" s="918">
        <f>'Energy NPV'!U67</f>
        <v>491.50878399999999</v>
      </c>
      <c r="AH14" s="197"/>
      <c r="AI14" s="197">
        <f t="shared" si="21"/>
        <v>491.50878399999999</v>
      </c>
      <c r="AJ14" s="197">
        <f t="shared" si="2"/>
        <v>295.21121600000004</v>
      </c>
      <c r="AK14" s="197">
        <f t="shared" si="3"/>
        <v>471.16121600000008</v>
      </c>
      <c r="AL14" s="196">
        <f t="shared" si="22"/>
        <v>700.17799928800275</v>
      </c>
      <c r="AM14" s="197">
        <f t="shared" si="23"/>
        <v>156.5948736205055</v>
      </c>
      <c r="AN14" s="197">
        <f t="shared" si="24"/>
        <v>437.44106799572796</v>
      </c>
      <c r="AO14" s="197">
        <f t="shared" si="25"/>
        <v>262.73693129227485</v>
      </c>
      <c r="AP14" s="199">
        <f t="shared" si="26"/>
        <v>419.33180491278034</v>
      </c>
      <c r="AQ14" s="196">
        <f t="shared" ref="AQ14:AQ27" si="64">AQ13+AL14</f>
        <v>1409.2738483446064</v>
      </c>
      <c r="AR14" s="197">
        <f t="shared" si="27"/>
        <v>498.53543965824133</v>
      </c>
      <c r="AS14" s="197">
        <f t="shared" si="27"/>
        <v>6751.4625840711997</v>
      </c>
      <c r="AT14" s="197">
        <f t="shared" si="27"/>
        <v>-5342.1887357265932</v>
      </c>
      <c r="AU14" s="199">
        <f t="shared" si="27"/>
        <v>-4843.6532960683517</v>
      </c>
      <c r="AV14" s="197"/>
      <c r="AX14" s="204">
        <f t="shared" ref="AX14:AX27" si="65">AX13+1</f>
        <v>3</v>
      </c>
      <c r="AY14" s="225">
        <f>'Energy NPV'!$D67</f>
        <v>10.926666666666668</v>
      </c>
      <c r="AZ14" s="197">
        <f>'Energy margins'!$S$12</f>
        <v>72</v>
      </c>
      <c r="BA14" s="197">
        <f t="shared" si="28"/>
        <v>786.72</v>
      </c>
      <c r="BB14" s="197">
        <f>'Margins summary'!$U$14</f>
        <v>175.95</v>
      </c>
      <c r="BC14" s="197">
        <f t="shared" si="29"/>
        <v>962.67000000000007</v>
      </c>
      <c r="BD14" s="197"/>
      <c r="BE14" s="918">
        <f>'Energy NPV'!U67</f>
        <v>491.50878399999999</v>
      </c>
      <c r="BF14" s="197"/>
      <c r="BG14" s="197">
        <f t="shared" si="30"/>
        <v>491.50878399999999</v>
      </c>
      <c r="BH14" s="197">
        <f t="shared" si="4"/>
        <v>295.21121600000004</v>
      </c>
      <c r="BI14" s="197">
        <f t="shared" si="5"/>
        <v>471.16121600000008</v>
      </c>
      <c r="BJ14" s="196">
        <f t="shared" si="31"/>
        <v>756.17070357554792</v>
      </c>
      <c r="BK14" s="197">
        <f t="shared" si="32"/>
        <v>169.11764705882351</v>
      </c>
      <c r="BL14" s="197">
        <f t="shared" si="33"/>
        <v>472.42289888504422</v>
      </c>
      <c r="BM14" s="197">
        <f t="shared" si="34"/>
        <v>283.7478046905037</v>
      </c>
      <c r="BN14" s="199">
        <f t="shared" si="35"/>
        <v>452.86545174932729</v>
      </c>
      <c r="BO14" s="196">
        <f t="shared" ref="BO14:BO27" si="66">BO13+BJ14</f>
        <v>1487.2954094579009</v>
      </c>
      <c r="BP14" s="197">
        <f t="shared" si="36"/>
        <v>517.56764705882347</v>
      </c>
      <c r="BQ14" s="197">
        <f t="shared" si="36"/>
        <v>6804.6282397477898</v>
      </c>
      <c r="BR14" s="197">
        <f t="shared" si="36"/>
        <v>-5317.332830289889</v>
      </c>
      <c r="BS14" s="199">
        <f t="shared" si="36"/>
        <v>-4799.7651832310648</v>
      </c>
      <c r="BT14" s="197"/>
      <c r="BV14" s="204">
        <f t="shared" ref="BV14:BV27" si="67">BV13+1</f>
        <v>3</v>
      </c>
      <c r="BW14" s="225">
        <f>'Energy NPV'!$D67</f>
        <v>10.926666666666668</v>
      </c>
      <c r="BX14" s="197">
        <f>'Energy margins'!$S$12</f>
        <v>72</v>
      </c>
      <c r="BY14" s="197">
        <f t="shared" si="37"/>
        <v>786.72</v>
      </c>
      <c r="BZ14" s="197">
        <f>'Margins summary'!$U$14</f>
        <v>175.95</v>
      </c>
      <c r="CA14" s="197">
        <f t="shared" si="38"/>
        <v>962.67000000000007</v>
      </c>
      <c r="CB14" s="197"/>
      <c r="CC14" s="918">
        <f>'Energy NPV'!U67</f>
        <v>491.50878399999999</v>
      </c>
      <c r="CD14" s="197"/>
      <c r="CE14" s="197">
        <f t="shared" si="39"/>
        <v>491.50878399999999</v>
      </c>
      <c r="CF14" s="197">
        <f t="shared" si="6"/>
        <v>295.21121600000004</v>
      </c>
      <c r="CG14" s="197">
        <f t="shared" si="7"/>
        <v>471.16121600000008</v>
      </c>
      <c r="CH14" s="196">
        <f t="shared" si="40"/>
        <v>674.4855967078189</v>
      </c>
      <c r="CI14" s="197">
        <f t="shared" si="41"/>
        <v>150.84876543209873</v>
      </c>
      <c r="CJ14" s="197">
        <f t="shared" si="42"/>
        <v>421.38956104252395</v>
      </c>
      <c r="CK14" s="197">
        <f t="shared" si="43"/>
        <v>253.09603566529492</v>
      </c>
      <c r="CL14" s="199">
        <f t="shared" si="44"/>
        <v>403.94480109739374</v>
      </c>
      <c r="CM14" s="196">
        <f t="shared" ref="CM14:CM27" si="68">CM13+CH14</f>
        <v>1373.1789300411522</v>
      </c>
      <c r="CN14" s="197">
        <f t="shared" si="45"/>
        <v>489.7154320987654</v>
      </c>
      <c r="CO14" s="197">
        <f t="shared" si="46"/>
        <v>6726.82427096845</v>
      </c>
      <c r="CP14" s="197">
        <f t="shared" si="47"/>
        <v>-5353.6453409272981</v>
      </c>
      <c r="CQ14" s="199">
        <f t="shared" si="48"/>
        <v>-4863.9299088285316</v>
      </c>
      <c r="CR14" s="197"/>
      <c r="CT14" s="204">
        <f t="shared" ref="CT14:CT27" si="69">CT13+1</f>
        <v>3</v>
      </c>
      <c r="CU14" s="225">
        <f>'Energy NPV'!$D67</f>
        <v>10.926666666666668</v>
      </c>
      <c r="CV14" s="197">
        <f>'Energy margins'!$S$12</f>
        <v>72</v>
      </c>
      <c r="CW14" s="197">
        <f t="shared" si="49"/>
        <v>786.72</v>
      </c>
      <c r="CX14" s="197">
        <f>'Margins summary'!$U$14</f>
        <v>175.95</v>
      </c>
      <c r="CY14" s="197">
        <f t="shared" si="50"/>
        <v>962.67000000000007</v>
      </c>
      <c r="CZ14" s="197"/>
      <c r="DA14" s="918">
        <f>'Energy NPV'!U67</f>
        <v>491.50878399999999</v>
      </c>
      <c r="DB14" s="197"/>
      <c r="DC14" s="197">
        <f t="shared" si="51"/>
        <v>491.50878399999999</v>
      </c>
      <c r="DD14" s="197">
        <f t="shared" si="8"/>
        <v>295.21121600000004</v>
      </c>
      <c r="DE14" s="197">
        <f t="shared" si="9"/>
        <v>471.16121600000008</v>
      </c>
      <c r="DF14" s="196">
        <f t="shared" si="52"/>
        <v>786.72</v>
      </c>
      <c r="DG14" s="197">
        <f t="shared" si="53"/>
        <v>175.95</v>
      </c>
      <c r="DH14" s="197">
        <f t="shared" si="54"/>
        <v>491.50878399999999</v>
      </c>
      <c r="DI14" s="197">
        <f t="shared" si="55"/>
        <v>295.21121600000004</v>
      </c>
      <c r="DJ14" s="199">
        <f t="shared" si="56"/>
        <v>471.16121600000008</v>
      </c>
      <c r="DK14" s="196">
        <f t="shared" ref="DK14:DK27" si="70">DK13+DF14</f>
        <v>1529.52</v>
      </c>
      <c r="DL14" s="197">
        <f t="shared" si="57"/>
        <v>527.84999999999991</v>
      </c>
      <c r="DM14" s="197">
        <f t="shared" si="58"/>
        <v>6833.3515519999992</v>
      </c>
      <c r="DN14" s="197">
        <f t="shared" si="59"/>
        <v>-5303.8315520000006</v>
      </c>
      <c r="DO14" s="199">
        <f t="shared" si="60"/>
        <v>-4775.9815519999993</v>
      </c>
    </row>
    <row r="15" spans="2:119" x14ac:dyDescent="0.3">
      <c r="B15" s="204">
        <f t="shared" si="61"/>
        <v>4</v>
      </c>
      <c r="C15" s="197">
        <f>'Energy NPV'!$D68</f>
        <v>11.617000000000001</v>
      </c>
      <c r="D15" s="197">
        <f>'Energy margins'!$S$12</f>
        <v>72</v>
      </c>
      <c r="E15" s="197">
        <f t="shared" si="10"/>
        <v>836.42400000000009</v>
      </c>
      <c r="F15" s="197">
        <f>'Margins summary'!$U$14</f>
        <v>175.95</v>
      </c>
      <c r="G15" s="197">
        <f t="shared" si="11"/>
        <v>1012.374</v>
      </c>
      <c r="H15" s="197"/>
      <c r="I15" s="918">
        <f>'Energy NPV'!U68</f>
        <v>309.57878399999998</v>
      </c>
      <c r="J15" s="197"/>
      <c r="K15" s="197">
        <f t="shared" si="12"/>
        <v>309.57878399999998</v>
      </c>
      <c r="L15" s="197">
        <f t="shared" si="0"/>
        <v>526.84521600000016</v>
      </c>
      <c r="M15" s="197">
        <f t="shared" si="1"/>
        <v>702.79521599999998</v>
      </c>
      <c r="N15" s="196">
        <f t="shared" si="13"/>
        <v>743.57789030496133</v>
      </c>
      <c r="O15" s="197">
        <f t="shared" si="14"/>
        <v>156.41890930814745</v>
      </c>
      <c r="P15" s="197">
        <f t="shared" si="15"/>
        <v>275.21441169776966</v>
      </c>
      <c r="Q15" s="197">
        <f t="shared" si="16"/>
        <v>468.36347860719172</v>
      </c>
      <c r="R15" s="199">
        <f t="shared" si="17"/>
        <v>624.78238791533909</v>
      </c>
      <c r="S15" s="196">
        <f t="shared" si="62"/>
        <v>2190.8432157487482</v>
      </c>
      <c r="T15" s="197">
        <f t="shared" si="18"/>
        <v>664.22726729631313</v>
      </c>
      <c r="U15" s="197">
        <f t="shared" si="18"/>
        <v>7052.580495697769</v>
      </c>
      <c r="V15" s="197">
        <f t="shared" si="18"/>
        <v>-4861.7372799490222</v>
      </c>
      <c r="W15" s="199">
        <f t="shared" si="18"/>
        <v>-4197.5100126527077</v>
      </c>
      <c r="X15" s="197"/>
      <c r="Z15" s="204">
        <f t="shared" si="63"/>
        <v>4</v>
      </c>
      <c r="AA15" s="225">
        <f>'Energy NPV'!$D68</f>
        <v>11.617000000000001</v>
      </c>
      <c r="AB15" s="197">
        <f>'Energy margins'!$S$12</f>
        <v>72</v>
      </c>
      <c r="AC15" s="197">
        <f t="shared" si="19"/>
        <v>836.42400000000009</v>
      </c>
      <c r="AD15" s="197">
        <f>'Margins summary'!$U$14</f>
        <v>175.95</v>
      </c>
      <c r="AE15" s="197">
        <f t="shared" si="20"/>
        <v>1012.374</v>
      </c>
      <c r="AF15" s="197"/>
      <c r="AG15" s="918">
        <f>'Energy NPV'!U68</f>
        <v>309.57878399999998</v>
      </c>
      <c r="AH15" s="197"/>
      <c r="AI15" s="197">
        <f t="shared" si="21"/>
        <v>309.57878399999998</v>
      </c>
      <c r="AJ15" s="197">
        <f t="shared" si="2"/>
        <v>526.84521600000016</v>
      </c>
      <c r="AK15" s="197">
        <f t="shared" si="3"/>
        <v>702.79521599999998</v>
      </c>
      <c r="AL15" s="196">
        <f t="shared" si="22"/>
        <v>702.27771919100996</v>
      </c>
      <c r="AM15" s="197">
        <f t="shared" si="23"/>
        <v>147.73101284953347</v>
      </c>
      <c r="AN15" s="197">
        <f t="shared" si="24"/>
        <v>259.92831666409177</v>
      </c>
      <c r="AO15" s="197">
        <f t="shared" si="25"/>
        <v>442.3494025269182</v>
      </c>
      <c r="AP15" s="199">
        <f t="shared" si="26"/>
        <v>590.08041537645158</v>
      </c>
      <c r="AQ15" s="196">
        <f t="shared" si="64"/>
        <v>2111.5515675356164</v>
      </c>
      <c r="AR15" s="197">
        <f t="shared" si="27"/>
        <v>646.26645250777483</v>
      </c>
      <c r="AS15" s="197">
        <f t="shared" si="27"/>
        <v>7011.3909007352913</v>
      </c>
      <c r="AT15" s="197">
        <f t="shared" si="27"/>
        <v>-4899.8393331996749</v>
      </c>
      <c r="AU15" s="199">
        <f t="shared" si="27"/>
        <v>-4253.5728806918996</v>
      </c>
      <c r="AV15" s="197"/>
      <c r="AX15" s="204">
        <f t="shared" si="65"/>
        <v>4</v>
      </c>
      <c r="AY15" s="225">
        <f>'Energy NPV'!$D68</f>
        <v>11.617000000000001</v>
      </c>
      <c r="AZ15" s="197">
        <f>'Energy margins'!$S$12</f>
        <v>72</v>
      </c>
      <c r="BA15" s="197">
        <f t="shared" si="28"/>
        <v>836.42400000000009</v>
      </c>
      <c r="BB15" s="197">
        <f>'Margins summary'!$U$14</f>
        <v>175.95</v>
      </c>
      <c r="BC15" s="197">
        <f t="shared" si="29"/>
        <v>1012.374</v>
      </c>
      <c r="BD15" s="197"/>
      <c r="BE15" s="918">
        <f>'Energy NPV'!U68</f>
        <v>309.57878399999998</v>
      </c>
      <c r="BF15" s="197"/>
      <c r="BG15" s="197">
        <f t="shared" si="30"/>
        <v>309.57878399999998</v>
      </c>
      <c r="BH15" s="197">
        <f t="shared" si="4"/>
        <v>526.84521600000016</v>
      </c>
      <c r="BI15" s="197">
        <f t="shared" si="5"/>
        <v>702.79521599999998</v>
      </c>
      <c r="BJ15" s="196">
        <f t="shared" si="31"/>
        <v>788.18101635117728</v>
      </c>
      <c r="BK15" s="197">
        <f t="shared" si="32"/>
        <v>165.80161476355249</v>
      </c>
      <c r="BL15" s="197">
        <f t="shared" si="33"/>
        <v>291.72300246511526</v>
      </c>
      <c r="BM15" s="197">
        <f t="shared" si="34"/>
        <v>496.45801388606213</v>
      </c>
      <c r="BN15" s="199">
        <f t="shared" si="35"/>
        <v>662.25962864961446</v>
      </c>
      <c r="BO15" s="196">
        <f t="shared" si="66"/>
        <v>2275.4764258090781</v>
      </c>
      <c r="BP15" s="197">
        <f t="shared" si="36"/>
        <v>683.36926182237596</v>
      </c>
      <c r="BQ15" s="197">
        <f t="shared" si="36"/>
        <v>7096.3512422129052</v>
      </c>
      <c r="BR15" s="197">
        <f t="shared" si="36"/>
        <v>-4820.874816403827</v>
      </c>
      <c r="BS15" s="199">
        <f t="shared" si="36"/>
        <v>-4137.5055545814503</v>
      </c>
      <c r="BT15" s="197"/>
      <c r="BV15" s="204">
        <f t="shared" si="67"/>
        <v>4</v>
      </c>
      <c r="BW15" s="225">
        <f>'Energy NPV'!$D68</f>
        <v>11.617000000000001</v>
      </c>
      <c r="BX15" s="197">
        <f>'Energy margins'!$S$12</f>
        <v>72</v>
      </c>
      <c r="BY15" s="197">
        <f t="shared" si="37"/>
        <v>836.42400000000009</v>
      </c>
      <c r="BZ15" s="197">
        <f>'Margins summary'!$U$14</f>
        <v>175.95</v>
      </c>
      <c r="CA15" s="197">
        <f t="shared" si="38"/>
        <v>1012.374</v>
      </c>
      <c r="CB15" s="197"/>
      <c r="CC15" s="918">
        <f>'Energy NPV'!U68</f>
        <v>309.57878399999998</v>
      </c>
      <c r="CD15" s="197"/>
      <c r="CE15" s="197">
        <f t="shared" si="39"/>
        <v>309.57878399999998</v>
      </c>
      <c r="CF15" s="197">
        <f t="shared" si="6"/>
        <v>526.84521600000016</v>
      </c>
      <c r="CG15" s="197">
        <f t="shared" si="7"/>
        <v>702.79521599999998</v>
      </c>
      <c r="CH15" s="196">
        <f t="shared" si="40"/>
        <v>663.98033836305444</v>
      </c>
      <c r="CI15" s="197">
        <f t="shared" si="41"/>
        <v>139.67478280749884</v>
      </c>
      <c r="CJ15" s="197">
        <f t="shared" si="42"/>
        <v>245.75361987501901</v>
      </c>
      <c r="CK15" s="197">
        <f t="shared" si="43"/>
        <v>418.22671848803543</v>
      </c>
      <c r="CL15" s="199">
        <f t="shared" si="44"/>
        <v>557.9015012955341</v>
      </c>
      <c r="CM15" s="196">
        <f t="shared" si="68"/>
        <v>2037.1592684042066</v>
      </c>
      <c r="CN15" s="197">
        <f t="shared" si="45"/>
        <v>629.39021490626419</v>
      </c>
      <c r="CO15" s="197">
        <f t="shared" si="46"/>
        <v>6972.5778908434695</v>
      </c>
      <c r="CP15" s="197">
        <f t="shared" si="47"/>
        <v>-4935.4186224392624</v>
      </c>
      <c r="CQ15" s="199">
        <f t="shared" si="48"/>
        <v>-4306.0284075329973</v>
      </c>
      <c r="CR15" s="197"/>
      <c r="CT15" s="204">
        <f t="shared" si="69"/>
        <v>4</v>
      </c>
      <c r="CU15" s="225">
        <f>'Energy NPV'!$D68</f>
        <v>11.617000000000001</v>
      </c>
      <c r="CV15" s="197">
        <f>'Energy margins'!$S$12</f>
        <v>72</v>
      </c>
      <c r="CW15" s="197">
        <f t="shared" si="49"/>
        <v>836.42400000000009</v>
      </c>
      <c r="CX15" s="197">
        <f>'Margins summary'!$U$14</f>
        <v>175.95</v>
      </c>
      <c r="CY15" s="197">
        <f t="shared" si="50"/>
        <v>1012.374</v>
      </c>
      <c r="CZ15" s="197"/>
      <c r="DA15" s="918">
        <f>'Energy NPV'!U68</f>
        <v>309.57878399999998</v>
      </c>
      <c r="DB15" s="197"/>
      <c r="DC15" s="197">
        <f t="shared" si="51"/>
        <v>309.57878399999998</v>
      </c>
      <c r="DD15" s="197">
        <f t="shared" si="8"/>
        <v>526.84521600000016</v>
      </c>
      <c r="DE15" s="197">
        <f t="shared" si="9"/>
        <v>702.79521599999998</v>
      </c>
      <c r="DF15" s="196">
        <f t="shared" si="52"/>
        <v>836.42400000000009</v>
      </c>
      <c r="DG15" s="197">
        <f t="shared" si="53"/>
        <v>175.95</v>
      </c>
      <c r="DH15" s="197">
        <f t="shared" si="54"/>
        <v>309.57878399999998</v>
      </c>
      <c r="DI15" s="197">
        <f t="shared" si="55"/>
        <v>526.84521600000016</v>
      </c>
      <c r="DJ15" s="199">
        <f t="shared" si="56"/>
        <v>702.79521599999998</v>
      </c>
      <c r="DK15" s="196">
        <f t="shared" si="70"/>
        <v>2365.944</v>
      </c>
      <c r="DL15" s="197">
        <f t="shared" si="57"/>
        <v>703.8</v>
      </c>
      <c r="DM15" s="197">
        <f t="shared" si="58"/>
        <v>7142.9303359999994</v>
      </c>
      <c r="DN15" s="197">
        <f t="shared" si="59"/>
        <v>-4776.9863359999999</v>
      </c>
      <c r="DO15" s="199">
        <f t="shared" si="60"/>
        <v>-4073.1863359999993</v>
      </c>
    </row>
    <row r="16" spans="2:119" x14ac:dyDescent="0.3">
      <c r="B16" s="204">
        <f t="shared" si="61"/>
        <v>5</v>
      </c>
      <c r="C16" s="197">
        <f>'Energy NPV'!$D69</f>
        <v>11.617000000000001</v>
      </c>
      <c r="D16" s="197">
        <f>'Energy margins'!$S$12</f>
        <v>72</v>
      </c>
      <c r="E16" s="197">
        <f t="shared" si="10"/>
        <v>836.42400000000009</v>
      </c>
      <c r="F16" s="197">
        <f>'Margins summary'!$U$14</f>
        <v>175.95</v>
      </c>
      <c r="G16" s="197">
        <f t="shared" si="11"/>
        <v>1012.374</v>
      </c>
      <c r="H16" s="197"/>
      <c r="I16" s="918">
        <f>'Energy NPV'!U69</f>
        <v>309.57878399999998</v>
      </c>
      <c r="J16" s="197"/>
      <c r="K16" s="197">
        <f t="shared" si="12"/>
        <v>309.57878399999998</v>
      </c>
      <c r="L16" s="197">
        <f t="shared" si="0"/>
        <v>526.84521600000016</v>
      </c>
      <c r="M16" s="197">
        <f t="shared" si="1"/>
        <v>702.79521599999998</v>
      </c>
      <c r="N16" s="196">
        <f t="shared" si="13"/>
        <v>714.97874067784733</v>
      </c>
      <c r="O16" s="197">
        <f t="shared" si="14"/>
        <v>150.40279741168024</v>
      </c>
      <c r="P16" s="197">
        <f t="shared" si="15"/>
        <v>264.6292420170862</v>
      </c>
      <c r="Q16" s="197">
        <f t="shared" si="16"/>
        <v>450.34949866076124</v>
      </c>
      <c r="R16" s="199">
        <f t="shared" si="17"/>
        <v>600.75229607244137</v>
      </c>
      <c r="S16" s="196">
        <f t="shared" si="62"/>
        <v>2905.8219564265955</v>
      </c>
      <c r="T16" s="197">
        <f t="shared" si="18"/>
        <v>814.63006470799337</v>
      </c>
      <c r="U16" s="197">
        <f t="shared" si="18"/>
        <v>7317.2097377148548</v>
      </c>
      <c r="V16" s="197">
        <f t="shared" si="18"/>
        <v>-4411.3877812882611</v>
      </c>
      <c r="W16" s="199">
        <f t="shared" si="18"/>
        <v>-3596.7577165802663</v>
      </c>
      <c r="X16" s="197"/>
      <c r="Z16" s="204">
        <f t="shared" si="63"/>
        <v>5</v>
      </c>
      <c r="AA16" s="225">
        <f>'Energy NPV'!$D69</f>
        <v>11.617000000000001</v>
      </c>
      <c r="AB16" s="197">
        <f>'Energy margins'!$S$12</f>
        <v>72</v>
      </c>
      <c r="AC16" s="197">
        <f t="shared" si="19"/>
        <v>836.42400000000009</v>
      </c>
      <c r="AD16" s="197">
        <f>'Margins summary'!$U$14</f>
        <v>175.95</v>
      </c>
      <c r="AE16" s="197">
        <f t="shared" si="20"/>
        <v>1012.374</v>
      </c>
      <c r="AF16" s="197"/>
      <c r="AG16" s="918">
        <f>'Energy NPV'!U69</f>
        <v>309.57878399999998</v>
      </c>
      <c r="AH16" s="197"/>
      <c r="AI16" s="197">
        <f t="shared" si="21"/>
        <v>309.57878399999998</v>
      </c>
      <c r="AJ16" s="197">
        <f t="shared" si="2"/>
        <v>526.84521600000016</v>
      </c>
      <c r="AK16" s="197">
        <f t="shared" si="3"/>
        <v>702.79521599999998</v>
      </c>
      <c r="AL16" s="196">
        <f t="shared" si="22"/>
        <v>662.5261501801981</v>
      </c>
      <c r="AM16" s="197">
        <f t="shared" si="23"/>
        <v>139.36888004672969</v>
      </c>
      <c r="AN16" s="197">
        <f t="shared" si="24"/>
        <v>245.21539307933185</v>
      </c>
      <c r="AO16" s="197">
        <f t="shared" si="25"/>
        <v>417.31075710086623</v>
      </c>
      <c r="AP16" s="199">
        <f t="shared" si="26"/>
        <v>556.67963714759583</v>
      </c>
      <c r="AQ16" s="196">
        <f t="shared" si="64"/>
        <v>2774.0777177158143</v>
      </c>
      <c r="AR16" s="197">
        <f t="shared" si="27"/>
        <v>785.63533255450454</v>
      </c>
      <c r="AS16" s="197">
        <f t="shared" si="27"/>
        <v>7256.6062938146233</v>
      </c>
      <c r="AT16" s="197">
        <f t="shared" si="27"/>
        <v>-4482.528576098809</v>
      </c>
      <c r="AU16" s="199">
        <f t="shared" si="27"/>
        <v>-3696.8932435443039</v>
      </c>
      <c r="AV16" s="197"/>
      <c r="AX16" s="204">
        <f t="shared" si="65"/>
        <v>5</v>
      </c>
      <c r="AY16" s="225">
        <f>'Energy NPV'!$D69</f>
        <v>11.617000000000001</v>
      </c>
      <c r="AZ16" s="197">
        <f>'Energy margins'!$S$12</f>
        <v>72</v>
      </c>
      <c r="BA16" s="197">
        <f t="shared" si="28"/>
        <v>836.42400000000009</v>
      </c>
      <c r="BB16" s="197">
        <f>'Margins summary'!$U$14</f>
        <v>175.95</v>
      </c>
      <c r="BC16" s="197">
        <f t="shared" si="29"/>
        <v>1012.374</v>
      </c>
      <c r="BD16" s="197"/>
      <c r="BE16" s="918">
        <f>'Energy NPV'!U69</f>
        <v>309.57878399999998</v>
      </c>
      <c r="BF16" s="197"/>
      <c r="BG16" s="197">
        <f t="shared" si="30"/>
        <v>309.57878399999998</v>
      </c>
      <c r="BH16" s="197">
        <f t="shared" si="4"/>
        <v>526.84521600000016</v>
      </c>
      <c r="BI16" s="197">
        <f t="shared" si="5"/>
        <v>702.79521599999998</v>
      </c>
      <c r="BJ16" s="196">
        <f t="shared" si="31"/>
        <v>772.72648661880123</v>
      </c>
      <c r="BK16" s="197">
        <f t="shared" si="32"/>
        <v>162.55060270936517</v>
      </c>
      <c r="BL16" s="197">
        <f t="shared" si="33"/>
        <v>286.00294359325022</v>
      </c>
      <c r="BM16" s="197">
        <f t="shared" si="34"/>
        <v>486.72354302555107</v>
      </c>
      <c r="BN16" s="199">
        <f t="shared" si="35"/>
        <v>649.27414573491603</v>
      </c>
      <c r="BO16" s="196">
        <f t="shared" si="66"/>
        <v>3048.2029124278793</v>
      </c>
      <c r="BP16" s="197">
        <f t="shared" si="36"/>
        <v>845.91986453174115</v>
      </c>
      <c r="BQ16" s="197">
        <f t="shared" si="36"/>
        <v>7382.3541858061553</v>
      </c>
      <c r="BR16" s="197">
        <f t="shared" si="36"/>
        <v>-4334.1512733782756</v>
      </c>
      <c r="BS16" s="199">
        <f t="shared" si="36"/>
        <v>-3488.2314088465341</v>
      </c>
      <c r="BT16" s="197"/>
      <c r="BV16" s="204">
        <f t="shared" si="67"/>
        <v>5</v>
      </c>
      <c r="BW16" s="225">
        <f>'Energy NPV'!$D69</f>
        <v>11.617000000000001</v>
      </c>
      <c r="BX16" s="197">
        <f>'Energy margins'!$S$12</f>
        <v>72</v>
      </c>
      <c r="BY16" s="197">
        <f t="shared" si="37"/>
        <v>836.42400000000009</v>
      </c>
      <c r="BZ16" s="197">
        <f>'Margins summary'!$U$14</f>
        <v>175.95</v>
      </c>
      <c r="CA16" s="197">
        <f t="shared" si="38"/>
        <v>1012.374</v>
      </c>
      <c r="CB16" s="197"/>
      <c r="CC16" s="918">
        <f>'Energy NPV'!U69</f>
        <v>309.57878399999998</v>
      </c>
      <c r="CD16" s="197"/>
      <c r="CE16" s="197">
        <f t="shared" si="39"/>
        <v>309.57878399999998</v>
      </c>
      <c r="CF16" s="197">
        <f t="shared" si="6"/>
        <v>526.84521600000016</v>
      </c>
      <c r="CG16" s="197">
        <f t="shared" si="7"/>
        <v>702.79521599999998</v>
      </c>
      <c r="CH16" s="196">
        <f t="shared" si="40"/>
        <v>614.7966095954207</v>
      </c>
      <c r="CI16" s="197">
        <f t="shared" si="41"/>
        <v>129.32850259953594</v>
      </c>
      <c r="CJ16" s="197">
        <f t="shared" si="42"/>
        <v>227.54964803242498</v>
      </c>
      <c r="CK16" s="197">
        <f t="shared" si="43"/>
        <v>387.24696156299575</v>
      </c>
      <c r="CL16" s="199">
        <f t="shared" si="44"/>
        <v>516.5754641625316</v>
      </c>
      <c r="CM16" s="196">
        <f t="shared" si="68"/>
        <v>2651.9558779996273</v>
      </c>
      <c r="CN16" s="197">
        <f t="shared" si="45"/>
        <v>758.7187175058001</v>
      </c>
      <c r="CO16" s="197">
        <f t="shared" si="46"/>
        <v>7200.1275388758941</v>
      </c>
      <c r="CP16" s="197">
        <f t="shared" si="47"/>
        <v>-4548.1716608762663</v>
      </c>
      <c r="CQ16" s="199">
        <f t="shared" si="48"/>
        <v>-3789.4529433704656</v>
      </c>
      <c r="CR16" s="197"/>
      <c r="CT16" s="204">
        <f t="shared" si="69"/>
        <v>5</v>
      </c>
      <c r="CU16" s="225">
        <f>'Energy NPV'!$D69</f>
        <v>11.617000000000001</v>
      </c>
      <c r="CV16" s="197">
        <f>'Energy margins'!$S$12</f>
        <v>72</v>
      </c>
      <c r="CW16" s="197">
        <f t="shared" si="49"/>
        <v>836.42400000000009</v>
      </c>
      <c r="CX16" s="197">
        <f>'Margins summary'!$U$14</f>
        <v>175.95</v>
      </c>
      <c r="CY16" s="197">
        <f t="shared" si="50"/>
        <v>1012.374</v>
      </c>
      <c r="CZ16" s="197"/>
      <c r="DA16" s="918">
        <f>'Energy NPV'!U69</f>
        <v>309.57878399999998</v>
      </c>
      <c r="DB16" s="197"/>
      <c r="DC16" s="197">
        <f t="shared" si="51"/>
        <v>309.57878399999998</v>
      </c>
      <c r="DD16" s="197">
        <f t="shared" si="8"/>
        <v>526.84521600000016</v>
      </c>
      <c r="DE16" s="197">
        <f t="shared" si="9"/>
        <v>702.79521599999998</v>
      </c>
      <c r="DF16" s="196">
        <f t="shared" si="52"/>
        <v>836.42400000000009</v>
      </c>
      <c r="DG16" s="197">
        <f t="shared" si="53"/>
        <v>175.95</v>
      </c>
      <c r="DH16" s="197">
        <f t="shared" si="54"/>
        <v>309.57878399999998</v>
      </c>
      <c r="DI16" s="197">
        <f t="shared" si="55"/>
        <v>526.84521600000016</v>
      </c>
      <c r="DJ16" s="199">
        <f t="shared" si="56"/>
        <v>702.79521599999998</v>
      </c>
      <c r="DK16" s="196">
        <f t="shared" si="70"/>
        <v>3202.3679999999999</v>
      </c>
      <c r="DL16" s="197">
        <f t="shared" si="57"/>
        <v>879.75</v>
      </c>
      <c r="DM16" s="197">
        <f t="shared" si="58"/>
        <v>7452.5091199999997</v>
      </c>
      <c r="DN16" s="197">
        <f t="shared" si="59"/>
        <v>-4250.1411200000002</v>
      </c>
      <c r="DO16" s="199">
        <f t="shared" si="60"/>
        <v>-3370.3911199999993</v>
      </c>
    </row>
    <row r="17" spans="2:119" x14ac:dyDescent="0.3">
      <c r="B17" s="204">
        <f t="shared" si="61"/>
        <v>6</v>
      </c>
      <c r="C17" s="197">
        <f>'Energy NPV'!$D70</f>
        <v>11.617000000000001</v>
      </c>
      <c r="D17" s="197">
        <f>'Energy margins'!$S$12</f>
        <v>72</v>
      </c>
      <c r="E17" s="197">
        <f t="shared" si="10"/>
        <v>836.42400000000009</v>
      </c>
      <c r="F17" s="197">
        <f>'Margins summary'!$U$14</f>
        <v>175.95</v>
      </c>
      <c r="G17" s="197">
        <f t="shared" si="11"/>
        <v>1012.374</v>
      </c>
      <c r="H17" s="197"/>
      <c r="I17" s="918">
        <f>'Energy NPV'!U70</f>
        <v>309.57878399999998</v>
      </c>
      <c r="J17" s="197"/>
      <c r="K17" s="197">
        <f t="shared" si="12"/>
        <v>309.57878399999998</v>
      </c>
      <c r="L17" s="197">
        <f t="shared" si="0"/>
        <v>526.84521600000016</v>
      </c>
      <c r="M17" s="197">
        <f t="shared" si="1"/>
        <v>702.79521599999998</v>
      </c>
      <c r="N17" s="196">
        <f t="shared" si="13"/>
        <v>687.4795583440839</v>
      </c>
      <c r="O17" s="197">
        <f t="shared" si="14"/>
        <v>144.61807443430789</v>
      </c>
      <c r="P17" s="197">
        <f t="shared" si="15"/>
        <v>254.45119424719823</v>
      </c>
      <c r="Q17" s="197">
        <f t="shared" si="16"/>
        <v>433.02836409688575</v>
      </c>
      <c r="R17" s="199">
        <f t="shared" si="17"/>
        <v>577.64643853119355</v>
      </c>
      <c r="S17" s="196">
        <f t="shared" si="62"/>
        <v>3593.3015147706792</v>
      </c>
      <c r="T17" s="197">
        <f t="shared" si="18"/>
        <v>959.24813914230128</v>
      </c>
      <c r="U17" s="197">
        <f t="shared" si="18"/>
        <v>7571.6609319620529</v>
      </c>
      <c r="V17" s="197">
        <f t="shared" si="18"/>
        <v>-3978.3594171913755</v>
      </c>
      <c r="W17" s="199">
        <f t="shared" si="18"/>
        <v>-3019.111278049073</v>
      </c>
      <c r="X17" s="197"/>
      <c r="Z17" s="204">
        <f t="shared" si="63"/>
        <v>6</v>
      </c>
      <c r="AA17" s="225">
        <f>'Energy NPV'!$D70</f>
        <v>11.617000000000001</v>
      </c>
      <c r="AB17" s="197">
        <f>'Energy margins'!$S$12</f>
        <v>72</v>
      </c>
      <c r="AC17" s="197">
        <f t="shared" si="19"/>
        <v>836.42400000000009</v>
      </c>
      <c r="AD17" s="197">
        <f>'Margins summary'!$U$14</f>
        <v>175.95</v>
      </c>
      <c r="AE17" s="197">
        <f t="shared" si="20"/>
        <v>1012.374</v>
      </c>
      <c r="AF17" s="197"/>
      <c r="AG17" s="918">
        <f>'Energy NPV'!U70</f>
        <v>309.57878399999998</v>
      </c>
      <c r="AH17" s="197"/>
      <c r="AI17" s="197">
        <f t="shared" si="21"/>
        <v>309.57878399999998</v>
      </c>
      <c r="AJ17" s="197">
        <f t="shared" si="2"/>
        <v>526.84521600000016</v>
      </c>
      <c r="AK17" s="197">
        <f t="shared" si="3"/>
        <v>702.79521599999998</v>
      </c>
      <c r="AL17" s="196">
        <f t="shared" si="22"/>
        <v>625.02466998131888</v>
      </c>
      <c r="AM17" s="197">
        <f t="shared" si="23"/>
        <v>131.48007551578272</v>
      </c>
      <c r="AN17" s="197">
        <f t="shared" si="24"/>
        <v>231.33527648993567</v>
      </c>
      <c r="AO17" s="197">
        <f t="shared" si="25"/>
        <v>393.68939349138321</v>
      </c>
      <c r="AP17" s="199">
        <f t="shared" si="26"/>
        <v>525.16946900716573</v>
      </c>
      <c r="AQ17" s="196">
        <f t="shared" si="64"/>
        <v>3399.1023876971331</v>
      </c>
      <c r="AR17" s="197">
        <f t="shared" si="27"/>
        <v>917.11540807028723</v>
      </c>
      <c r="AS17" s="197">
        <f t="shared" si="27"/>
        <v>7487.9415703045588</v>
      </c>
      <c r="AT17" s="197">
        <f t="shared" si="27"/>
        <v>-4088.8391826074258</v>
      </c>
      <c r="AU17" s="199">
        <f t="shared" si="27"/>
        <v>-3171.7237745371381</v>
      </c>
      <c r="AV17" s="197"/>
      <c r="AX17" s="204">
        <f t="shared" si="65"/>
        <v>6</v>
      </c>
      <c r="AY17" s="225">
        <f>'Energy NPV'!$D70</f>
        <v>11.617000000000001</v>
      </c>
      <c r="AZ17" s="197">
        <f>'Energy margins'!$S$12</f>
        <v>72</v>
      </c>
      <c r="BA17" s="197">
        <f t="shared" si="28"/>
        <v>836.42400000000009</v>
      </c>
      <c r="BB17" s="197">
        <f>'Margins summary'!$U$14</f>
        <v>175.95</v>
      </c>
      <c r="BC17" s="197">
        <f t="shared" si="29"/>
        <v>1012.374</v>
      </c>
      <c r="BD17" s="197"/>
      <c r="BE17" s="918">
        <f>'Energy NPV'!U70</f>
        <v>309.57878399999998</v>
      </c>
      <c r="BF17" s="197"/>
      <c r="BG17" s="197">
        <f t="shared" si="30"/>
        <v>309.57878399999998</v>
      </c>
      <c r="BH17" s="197">
        <f t="shared" si="4"/>
        <v>526.84521600000016</v>
      </c>
      <c r="BI17" s="197">
        <f t="shared" si="5"/>
        <v>702.79521599999998</v>
      </c>
      <c r="BJ17" s="196">
        <f t="shared" si="31"/>
        <v>757.57498688117767</v>
      </c>
      <c r="BK17" s="197">
        <f t="shared" si="32"/>
        <v>159.3633359895737</v>
      </c>
      <c r="BL17" s="197">
        <f t="shared" si="33"/>
        <v>280.39504273848058</v>
      </c>
      <c r="BM17" s="197">
        <f t="shared" si="34"/>
        <v>477.17994414269708</v>
      </c>
      <c r="BN17" s="199">
        <f t="shared" si="35"/>
        <v>636.54328013227064</v>
      </c>
      <c r="BO17" s="196">
        <f t="shared" si="66"/>
        <v>3805.7778993090569</v>
      </c>
      <c r="BP17" s="197">
        <f t="shared" si="36"/>
        <v>1005.2832005213148</v>
      </c>
      <c r="BQ17" s="197">
        <f t="shared" si="36"/>
        <v>7662.749228544636</v>
      </c>
      <c r="BR17" s="197">
        <f t="shared" si="36"/>
        <v>-3856.9713292355787</v>
      </c>
      <c r="BS17" s="199">
        <f t="shared" si="36"/>
        <v>-2851.6881287142633</v>
      </c>
      <c r="BT17" s="197"/>
      <c r="BV17" s="204">
        <f t="shared" si="67"/>
        <v>6</v>
      </c>
      <c r="BW17" s="225">
        <f>'Energy NPV'!$D70</f>
        <v>11.617000000000001</v>
      </c>
      <c r="BX17" s="197">
        <f>'Energy margins'!$S$12</f>
        <v>72</v>
      </c>
      <c r="BY17" s="197">
        <f t="shared" si="37"/>
        <v>836.42400000000009</v>
      </c>
      <c r="BZ17" s="197">
        <f>'Margins summary'!$U$14</f>
        <v>175.95</v>
      </c>
      <c r="CA17" s="197">
        <f t="shared" si="38"/>
        <v>1012.374</v>
      </c>
      <c r="CB17" s="197"/>
      <c r="CC17" s="918">
        <f>'Energy NPV'!U70</f>
        <v>309.57878399999998</v>
      </c>
      <c r="CD17" s="197"/>
      <c r="CE17" s="197">
        <f t="shared" si="39"/>
        <v>309.57878399999998</v>
      </c>
      <c r="CF17" s="197">
        <f t="shared" si="6"/>
        <v>526.84521600000016</v>
      </c>
      <c r="CG17" s="197">
        <f t="shared" si="7"/>
        <v>702.79521599999998</v>
      </c>
      <c r="CH17" s="196">
        <f t="shared" si="40"/>
        <v>569.25611999575995</v>
      </c>
      <c r="CI17" s="197">
        <f t="shared" si="41"/>
        <v>119.74861351808883</v>
      </c>
      <c r="CJ17" s="197">
        <f t="shared" si="42"/>
        <v>210.69411854854167</v>
      </c>
      <c r="CK17" s="197">
        <f t="shared" si="43"/>
        <v>358.56200144721828</v>
      </c>
      <c r="CL17" s="199">
        <f t="shared" si="44"/>
        <v>478.31061496530697</v>
      </c>
      <c r="CM17" s="196">
        <f t="shared" si="68"/>
        <v>3221.2119979953873</v>
      </c>
      <c r="CN17" s="197">
        <f t="shared" si="45"/>
        <v>878.46733102388896</v>
      </c>
      <c r="CO17" s="197">
        <f t="shared" si="46"/>
        <v>7410.8216574244361</v>
      </c>
      <c r="CP17" s="197">
        <f t="shared" si="47"/>
        <v>-4189.6096594290484</v>
      </c>
      <c r="CQ17" s="199">
        <f t="shared" si="48"/>
        <v>-3311.1423284051589</v>
      </c>
      <c r="CR17" s="197"/>
      <c r="CT17" s="204">
        <f t="shared" si="69"/>
        <v>6</v>
      </c>
      <c r="CU17" s="225">
        <f>'Energy NPV'!$D70</f>
        <v>11.617000000000001</v>
      </c>
      <c r="CV17" s="197">
        <f>'Energy margins'!$S$12</f>
        <v>72</v>
      </c>
      <c r="CW17" s="197">
        <f t="shared" si="49"/>
        <v>836.42400000000009</v>
      </c>
      <c r="CX17" s="197">
        <f>'Margins summary'!$U$14</f>
        <v>175.95</v>
      </c>
      <c r="CY17" s="197">
        <f t="shared" si="50"/>
        <v>1012.374</v>
      </c>
      <c r="CZ17" s="197"/>
      <c r="DA17" s="918">
        <f>'Energy NPV'!U70</f>
        <v>309.57878399999998</v>
      </c>
      <c r="DB17" s="197"/>
      <c r="DC17" s="197">
        <f t="shared" si="51"/>
        <v>309.57878399999998</v>
      </c>
      <c r="DD17" s="197">
        <f t="shared" si="8"/>
        <v>526.84521600000016</v>
      </c>
      <c r="DE17" s="197">
        <f t="shared" si="9"/>
        <v>702.79521599999998</v>
      </c>
      <c r="DF17" s="196">
        <f t="shared" si="52"/>
        <v>836.42400000000009</v>
      </c>
      <c r="DG17" s="197">
        <f t="shared" si="53"/>
        <v>175.95</v>
      </c>
      <c r="DH17" s="197">
        <f t="shared" si="54"/>
        <v>309.57878399999998</v>
      </c>
      <c r="DI17" s="197">
        <f t="shared" si="55"/>
        <v>526.84521600000016</v>
      </c>
      <c r="DJ17" s="199">
        <f t="shared" si="56"/>
        <v>702.79521599999998</v>
      </c>
      <c r="DK17" s="196">
        <f t="shared" si="70"/>
        <v>4038.7919999999999</v>
      </c>
      <c r="DL17" s="197">
        <f t="shared" si="57"/>
        <v>1055.7</v>
      </c>
      <c r="DM17" s="197">
        <f t="shared" si="58"/>
        <v>7762.087904</v>
      </c>
      <c r="DN17" s="197">
        <f t="shared" si="59"/>
        <v>-3723.2959040000001</v>
      </c>
      <c r="DO17" s="199">
        <f t="shared" si="60"/>
        <v>-2667.5959039999993</v>
      </c>
    </row>
    <row r="18" spans="2:119" x14ac:dyDescent="0.3">
      <c r="B18" s="204">
        <f t="shared" si="61"/>
        <v>7</v>
      </c>
      <c r="C18" s="197">
        <f>'Energy NPV'!$D71</f>
        <v>11.617000000000001</v>
      </c>
      <c r="D18" s="197">
        <f>'Energy margins'!$S$12</f>
        <v>72</v>
      </c>
      <c r="E18" s="197">
        <f t="shared" si="10"/>
        <v>836.42400000000009</v>
      </c>
      <c r="F18" s="197">
        <f>'Margins summary'!$U$14</f>
        <v>175.95</v>
      </c>
      <c r="G18" s="197">
        <f t="shared" si="11"/>
        <v>1012.374</v>
      </c>
      <c r="H18" s="197"/>
      <c r="I18" s="918">
        <f>'Energy NPV'!U71</f>
        <v>309.57878399999998</v>
      </c>
      <c r="J18" s="197"/>
      <c r="K18" s="197">
        <f t="shared" si="12"/>
        <v>309.57878399999998</v>
      </c>
      <c r="L18" s="197">
        <f t="shared" si="0"/>
        <v>526.84521600000016</v>
      </c>
      <c r="M18" s="197">
        <f t="shared" si="1"/>
        <v>702.79521599999998</v>
      </c>
      <c r="N18" s="196">
        <f t="shared" si="13"/>
        <v>661.03803686931144</v>
      </c>
      <c r="O18" s="197">
        <f t="shared" si="14"/>
        <v>139.05584080221914</v>
      </c>
      <c r="P18" s="197">
        <f t="shared" si="15"/>
        <v>244.66460985307521</v>
      </c>
      <c r="Q18" s="197">
        <f t="shared" si="16"/>
        <v>416.37342701623629</v>
      </c>
      <c r="R18" s="199">
        <f t="shared" si="17"/>
        <v>555.42926781845529</v>
      </c>
      <c r="S18" s="196">
        <f t="shared" si="62"/>
        <v>4254.3395516399905</v>
      </c>
      <c r="T18" s="197">
        <f t="shared" si="18"/>
        <v>1098.3039799445205</v>
      </c>
      <c r="U18" s="197">
        <f t="shared" si="18"/>
        <v>7816.3255418151284</v>
      </c>
      <c r="V18" s="197">
        <f t="shared" si="18"/>
        <v>-3561.9859901751392</v>
      </c>
      <c r="W18" s="199">
        <f t="shared" si="18"/>
        <v>-2463.6820102306178</v>
      </c>
      <c r="X18" s="197"/>
      <c r="Z18" s="204">
        <f t="shared" si="63"/>
        <v>7</v>
      </c>
      <c r="AA18" s="225">
        <f>'Energy NPV'!$D71</f>
        <v>11.617000000000001</v>
      </c>
      <c r="AB18" s="197">
        <f>'Energy margins'!$S$12</f>
        <v>72</v>
      </c>
      <c r="AC18" s="197">
        <f t="shared" si="19"/>
        <v>836.42400000000009</v>
      </c>
      <c r="AD18" s="197">
        <f>'Margins summary'!$U$14</f>
        <v>175.95</v>
      </c>
      <c r="AE18" s="197">
        <f t="shared" si="20"/>
        <v>1012.374</v>
      </c>
      <c r="AF18" s="197"/>
      <c r="AG18" s="918">
        <f>'Energy NPV'!U71</f>
        <v>309.57878399999998</v>
      </c>
      <c r="AH18" s="197"/>
      <c r="AI18" s="197">
        <f t="shared" si="21"/>
        <v>309.57878399999998</v>
      </c>
      <c r="AJ18" s="197">
        <f t="shared" si="2"/>
        <v>526.84521600000016</v>
      </c>
      <c r="AK18" s="197">
        <f t="shared" si="3"/>
        <v>702.79521599999998</v>
      </c>
      <c r="AL18" s="196">
        <f t="shared" si="22"/>
        <v>589.64591507671582</v>
      </c>
      <c r="AM18" s="197">
        <f t="shared" si="23"/>
        <v>124.03780709036103</v>
      </c>
      <c r="AN18" s="197">
        <f t="shared" si="24"/>
        <v>218.24082687729779</v>
      </c>
      <c r="AO18" s="197">
        <f t="shared" si="25"/>
        <v>371.40508819941812</v>
      </c>
      <c r="AP18" s="199">
        <f t="shared" si="26"/>
        <v>495.44289528977902</v>
      </c>
      <c r="AQ18" s="196">
        <f t="shared" si="64"/>
        <v>3988.748302773849</v>
      </c>
      <c r="AR18" s="197">
        <f t="shared" si="27"/>
        <v>1041.1532151606482</v>
      </c>
      <c r="AS18" s="197">
        <f t="shared" si="27"/>
        <v>7706.1823971818567</v>
      </c>
      <c r="AT18" s="197">
        <f t="shared" si="27"/>
        <v>-3717.4340944080077</v>
      </c>
      <c r="AU18" s="199">
        <f t="shared" si="27"/>
        <v>-2676.2808792473588</v>
      </c>
      <c r="AV18" s="197"/>
      <c r="AX18" s="204">
        <f t="shared" si="65"/>
        <v>7</v>
      </c>
      <c r="AY18" s="225">
        <f>'Energy NPV'!$D71</f>
        <v>11.617000000000001</v>
      </c>
      <c r="AZ18" s="197">
        <f>'Energy margins'!$S$12</f>
        <v>72</v>
      </c>
      <c r="BA18" s="197">
        <f t="shared" si="28"/>
        <v>836.42400000000009</v>
      </c>
      <c r="BB18" s="197">
        <f>'Margins summary'!$U$14</f>
        <v>175.95</v>
      </c>
      <c r="BC18" s="197">
        <f t="shared" si="29"/>
        <v>1012.374</v>
      </c>
      <c r="BD18" s="197"/>
      <c r="BE18" s="918">
        <f>'Energy NPV'!U71</f>
        <v>309.57878399999998</v>
      </c>
      <c r="BF18" s="197"/>
      <c r="BG18" s="197">
        <f t="shared" si="30"/>
        <v>309.57878399999998</v>
      </c>
      <c r="BH18" s="197">
        <f t="shared" si="4"/>
        <v>526.84521600000016</v>
      </c>
      <c r="BI18" s="197">
        <f t="shared" si="5"/>
        <v>702.79521599999998</v>
      </c>
      <c r="BJ18" s="196">
        <f t="shared" si="31"/>
        <v>742.72057537370358</v>
      </c>
      <c r="BK18" s="197">
        <f t="shared" si="32"/>
        <v>156.23856469566047</v>
      </c>
      <c r="BL18" s="197">
        <f t="shared" si="33"/>
        <v>274.89710072400055</v>
      </c>
      <c r="BM18" s="197">
        <f t="shared" si="34"/>
        <v>467.82347464970303</v>
      </c>
      <c r="BN18" s="199">
        <f t="shared" si="35"/>
        <v>624.06203934536336</v>
      </c>
      <c r="BO18" s="196">
        <f t="shared" si="66"/>
        <v>4548.4984746827604</v>
      </c>
      <c r="BP18" s="197">
        <f t="shared" si="36"/>
        <v>1161.5217652169754</v>
      </c>
      <c r="BQ18" s="197">
        <f t="shared" si="36"/>
        <v>7937.6463292686367</v>
      </c>
      <c r="BR18" s="197">
        <f t="shared" si="36"/>
        <v>-3389.1478545858754</v>
      </c>
      <c r="BS18" s="199">
        <f t="shared" si="36"/>
        <v>-2227.6260893689</v>
      </c>
      <c r="BT18" s="197"/>
      <c r="BV18" s="204">
        <f t="shared" si="67"/>
        <v>7</v>
      </c>
      <c r="BW18" s="225">
        <f>'Energy NPV'!$D71</f>
        <v>11.617000000000001</v>
      </c>
      <c r="BX18" s="197">
        <f>'Energy margins'!$S$12</f>
        <v>72</v>
      </c>
      <c r="BY18" s="197">
        <f t="shared" si="37"/>
        <v>836.42400000000009</v>
      </c>
      <c r="BZ18" s="197">
        <f>'Margins summary'!$U$14</f>
        <v>175.95</v>
      </c>
      <c r="CA18" s="197">
        <f t="shared" si="38"/>
        <v>1012.374</v>
      </c>
      <c r="CB18" s="197"/>
      <c r="CC18" s="918">
        <f>'Energy NPV'!U71</f>
        <v>309.57878399999998</v>
      </c>
      <c r="CD18" s="197"/>
      <c r="CE18" s="197">
        <f t="shared" si="39"/>
        <v>309.57878399999998</v>
      </c>
      <c r="CF18" s="197">
        <f t="shared" si="6"/>
        <v>526.84521600000016</v>
      </c>
      <c r="CG18" s="197">
        <f t="shared" si="7"/>
        <v>702.79521599999998</v>
      </c>
      <c r="CH18" s="196">
        <f t="shared" si="40"/>
        <v>527.08899999607388</v>
      </c>
      <c r="CI18" s="197">
        <f t="shared" si="41"/>
        <v>110.87834585008224</v>
      </c>
      <c r="CJ18" s="197">
        <f t="shared" si="42"/>
        <v>195.08714680420522</v>
      </c>
      <c r="CK18" s="197">
        <f t="shared" si="43"/>
        <v>332.00185319186875</v>
      </c>
      <c r="CL18" s="199">
        <f t="shared" si="44"/>
        <v>442.88019904195085</v>
      </c>
      <c r="CM18" s="196">
        <f t="shared" si="68"/>
        <v>3748.3009979914614</v>
      </c>
      <c r="CN18" s="197">
        <f t="shared" si="45"/>
        <v>989.34567687397123</v>
      </c>
      <c r="CO18" s="197">
        <f t="shared" si="46"/>
        <v>7605.9088042286412</v>
      </c>
      <c r="CP18" s="197">
        <f t="shared" si="47"/>
        <v>-3857.6078062371798</v>
      </c>
      <c r="CQ18" s="199">
        <f t="shared" si="48"/>
        <v>-2868.2621293632083</v>
      </c>
      <c r="CR18" s="197"/>
      <c r="CT18" s="204">
        <f t="shared" si="69"/>
        <v>7</v>
      </c>
      <c r="CU18" s="225">
        <f>'Energy NPV'!$D71</f>
        <v>11.617000000000001</v>
      </c>
      <c r="CV18" s="197">
        <f>'Energy margins'!$S$12</f>
        <v>72</v>
      </c>
      <c r="CW18" s="197">
        <f t="shared" si="49"/>
        <v>836.42400000000009</v>
      </c>
      <c r="CX18" s="197">
        <f>'Margins summary'!$U$14</f>
        <v>175.95</v>
      </c>
      <c r="CY18" s="197">
        <f t="shared" si="50"/>
        <v>1012.374</v>
      </c>
      <c r="CZ18" s="197"/>
      <c r="DA18" s="918">
        <f>'Energy NPV'!U71</f>
        <v>309.57878399999998</v>
      </c>
      <c r="DB18" s="197"/>
      <c r="DC18" s="197">
        <f t="shared" si="51"/>
        <v>309.57878399999998</v>
      </c>
      <c r="DD18" s="197">
        <f t="shared" si="8"/>
        <v>526.84521600000016</v>
      </c>
      <c r="DE18" s="197">
        <f t="shared" si="9"/>
        <v>702.79521599999998</v>
      </c>
      <c r="DF18" s="196">
        <f t="shared" si="52"/>
        <v>836.42400000000009</v>
      </c>
      <c r="DG18" s="197">
        <f t="shared" si="53"/>
        <v>175.95</v>
      </c>
      <c r="DH18" s="197">
        <f t="shared" si="54"/>
        <v>309.57878399999998</v>
      </c>
      <c r="DI18" s="197">
        <f t="shared" si="55"/>
        <v>526.84521600000016</v>
      </c>
      <c r="DJ18" s="199">
        <f t="shared" si="56"/>
        <v>702.79521599999998</v>
      </c>
      <c r="DK18" s="196">
        <f t="shared" si="70"/>
        <v>4875.2160000000003</v>
      </c>
      <c r="DL18" s="197">
        <f t="shared" si="57"/>
        <v>1231.6500000000001</v>
      </c>
      <c r="DM18" s="197">
        <f t="shared" si="58"/>
        <v>8071.6666880000002</v>
      </c>
      <c r="DN18" s="197">
        <f t="shared" si="59"/>
        <v>-3196.4506879999999</v>
      </c>
      <c r="DO18" s="199">
        <f t="shared" si="60"/>
        <v>-1964.8006879999994</v>
      </c>
    </row>
    <row r="19" spans="2:119" x14ac:dyDescent="0.3">
      <c r="B19" s="204">
        <f t="shared" si="61"/>
        <v>8</v>
      </c>
      <c r="C19" s="197">
        <f>'Energy NPV'!$D72</f>
        <v>11.617000000000001</v>
      </c>
      <c r="D19" s="197">
        <f>'Energy margins'!$S$12</f>
        <v>72</v>
      </c>
      <c r="E19" s="197">
        <f t="shared" si="10"/>
        <v>836.42400000000009</v>
      </c>
      <c r="F19" s="197">
        <f>'Margins summary'!$U$14</f>
        <v>175.95</v>
      </c>
      <c r="G19" s="197">
        <f t="shared" si="11"/>
        <v>1012.374</v>
      </c>
      <c r="H19" s="197"/>
      <c r="I19" s="918">
        <f>'Energy NPV'!U72</f>
        <v>309.57878399999998</v>
      </c>
      <c r="J19" s="197"/>
      <c r="K19" s="197">
        <f t="shared" si="12"/>
        <v>309.57878399999998</v>
      </c>
      <c r="L19" s="197">
        <f t="shared" si="0"/>
        <v>526.84521600000016</v>
      </c>
      <c r="M19" s="197">
        <f t="shared" si="1"/>
        <v>702.79521599999998</v>
      </c>
      <c r="N19" s="196">
        <f t="shared" si="13"/>
        <v>635.61349698972265</v>
      </c>
      <c r="O19" s="197">
        <f t="shared" si="14"/>
        <v>133.70753923290303</v>
      </c>
      <c r="P19" s="197">
        <f t="shared" si="15"/>
        <v>235.25443255103389</v>
      </c>
      <c r="Q19" s="197">
        <f t="shared" si="16"/>
        <v>400.35906443868879</v>
      </c>
      <c r="R19" s="199">
        <f t="shared" si="17"/>
        <v>534.06660367159168</v>
      </c>
      <c r="S19" s="196">
        <f t="shared" si="62"/>
        <v>4889.9530486297135</v>
      </c>
      <c r="T19" s="197">
        <f t="shared" si="18"/>
        <v>1232.0115191774235</v>
      </c>
      <c r="U19" s="197">
        <f t="shared" si="18"/>
        <v>8051.5799743661619</v>
      </c>
      <c r="V19" s="197">
        <f t="shared" si="18"/>
        <v>-3161.6269257364506</v>
      </c>
      <c r="W19" s="199">
        <f t="shared" si="18"/>
        <v>-1929.6154065590263</v>
      </c>
      <c r="X19" s="197"/>
      <c r="Z19" s="204">
        <f t="shared" si="63"/>
        <v>8</v>
      </c>
      <c r="AA19" s="225">
        <f>'Energy NPV'!$D72</f>
        <v>11.617000000000001</v>
      </c>
      <c r="AB19" s="197">
        <f>'Energy margins'!$S$12</f>
        <v>72</v>
      </c>
      <c r="AC19" s="197">
        <f t="shared" si="19"/>
        <v>836.42400000000009</v>
      </c>
      <c r="AD19" s="197">
        <f>'Margins summary'!$U$14</f>
        <v>175.95</v>
      </c>
      <c r="AE19" s="197">
        <f t="shared" si="20"/>
        <v>1012.374</v>
      </c>
      <c r="AF19" s="197"/>
      <c r="AG19" s="918">
        <f>'Energy NPV'!U72</f>
        <v>309.57878399999998</v>
      </c>
      <c r="AH19" s="197"/>
      <c r="AI19" s="197">
        <f t="shared" si="21"/>
        <v>309.57878399999998</v>
      </c>
      <c r="AJ19" s="197">
        <f t="shared" si="2"/>
        <v>526.84521600000016</v>
      </c>
      <c r="AK19" s="197">
        <f t="shared" si="3"/>
        <v>702.79521599999998</v>
      </c>
      <c r="AL19" s="196">
        <f t="shared" si="22"/>
        <v>556.26973120444882</v>
      </c>
      <c r="AM19" s="197">
        <f t="shared" si="23"/>
        <v>117.01679914185002</v>
      </c>
      <c r="AN19" s="197">
        <f t="shared" si="24"/>
        <v>205.8875725257526</v>
      </c>
      <c r="AO19" s="197">
        <f t="shared" si="25"/>
        <v>350.38215867869627</v>
      </c>
      <c r="AP19" s="199">
        <f t="shared" si="26"/>
        <v>467.39895782054617</v>
      </c>
      <c r="AQ19" s="196">
        <f t="shared" si="64"/>
        <v>4545.0180339782983</v>
      </c>
      <c r="AR19" s="197">
        <f t="shared" si="27"/>
        <v>1158.1700143024982</v>
      </c>
      <c r="AS19" s="197">
        <f t="shared" si="27"/>
        <v>7912.0699697076088</v>
      </c>
      <c r="AT19" s="197">
        <f t="shared" si="27"/>
        <v>-3367.0519357293115</v>
      </c>
      <c r="AU19" s="199">
        <f t="shared" si="27"/>
        <v>-2208.8819214268128</v>
      </c>
      <c r="AV19" s="197"/>
      <c r="AX19" s="204">
        <f t="shared" si="65"/>
        <v>8</v>
      </c>
      <c r="AY19" s="225">
        <f>'Energy NPV'!$D72</f>
        <v>11.617000000000001</v>
      </c>
      <c r="AZ19" s="197">
        <f>'Energy margins'!$S$12</f>
        <v>72</v>
      </c>
      <c r="BA19" s="197">
        <f t="shared" si="28"/>
        <v>836.42400000000009</v>
      </c>
      <c r="BB19" s="197">
        <f>'Margins summary'!$U$14</f>
        <v>175.95</v>
      </c>
      <c r="BC19" s="197">
        <f t="shared" si="29"/>
        <v>1012.374</v>
      </c>
      <c r="BD19" s="197"/>
      <c r="BE19" s="918">
        <f>'Energy NPV'!U72</f>
        <v>309.57878399999998</v>
      </c>
      <c r="BF19" s="197"/>
      <c r="BG19" s="197">
        <f t="shared" si="30"/>
        <v>309.57878399999998</v>
      </c>
      <c r="BH19" s="197">
        <f t="shared" si="4"/>
        <v>526.84521600000016</v>
      </c>
      <c r="BI19" s="197">
        <f t="shared" si="5"/>
        <v>702.79521599999998</v>
      </c>
      <c r="BJ19" s="196">
        <f t="shared" si="31"/>
        <v>728.15742683696442</v>
      </c>
      <c r="BK19" s="197">
        <f t="shared" si="32"/>
        <v>153.17506342711815</v>
      </c>
      <c r="BL19" s="197">
        <f t="shared" si="33"/>
        <v>269.50696149411829</v>
      </c>
      <c r="BM19" s="197">
        <f t="shared" si="34"/>
        <v>458.65046534284619</v>
      </c>
      <c r="BN19" s="199">
        <f t="shared" si="35"/>
        <v>611.82552876996419</v>
      </c>
      <c r="BO19" s="196">
        <f t="shared" si="66"/>
        <v>5276.6559015197245</v>
      </c>
      <c r="BP19" s="197">
        <f t="shared" si="36"/>
        <v>1314.6968286440936</v>
      </c>
      <c r="BQ19" s="197">
        <f t="shared" si="36"/>
        <v>8207.1532907627552</v>
      </c>
      <c r="BR19" s="197">
        <f t="shared" si="36"/>
        <v>-2930.4973892430294</v>
      </c>
      <c r="BS19" s="199">
        <f t="shared" si="36"/>
        <v>-1615.8005605989358</v>
      </c>
      <c r="BT19" s="197"/>
      <c r="BV19" s="204">
        <f t="shared" si="67"/>
        <v>8</v>
      </c>
      <c r="BW19" s="225">
        <f>'Energy NPV'!$D72</f>
        <v>11.617000000000001</v>
      </c>
      <c r="BX19" s="197">
        <f>'Energy margins'!$S$12</f>
        <v>72</v>
      </c>
      <c r="BY19" s="197">
        <f t="shared" si="37"/>
        <v>836.42400000000009</v>
      </c>
      <c r="BZ19" s="197">
        <f>'Margins summary'!$U$14</f>
        <v>175.95</v>
      </c>
      <c r="CA19" s="197">
        <f t="shared" si="38"/>
        <v>1012.374</v>
      </c>
      <c r="CB19" s="197"/>
      <c r="CC19" s="918">
        <f>'Energy NPV'!U72</f>
        <v>309.57878399999998</v>
      </c>
      <c r="CD19" s="197"/>
      <c r="CE19" s="197">
        <f t="shared" si="39"/>
        <v>309.57878399999998</v>
      </c>
      <c r="CF19" s="197">
        <f t="shared" si="6"/>
        <v>526.84521600000016</v>
      </c>
      <c r="CG19" s="197">
        <f t="shared" si="7"/>
        <v>702.79521599999998</v>
      </c>
      <c r="CH19" s="196">
        <f t="shared" si="40"/>
        <v>488.04537036673509</v>
      </c>
      <c r="CI19" s="197">
        <f t="shared" si="41"/>
        <v>102.66513504637244</v>
      </c>
      <c r="CJ19" s="197">
        <f t="shared" si="42"/>
        <v>180.63624704093075</v>
      </c>
      <c r="CK19" s="197">
        <f t="shared" si="43"/>
        <v>307.40912332580439</v>
      </c>
      <c r="CL19" s="199">
        <f t="shared" si="44"/>
        <v>410.0742583721767</v>
      </c>
      <c r="CM19" s="196">
        <f t="shared" si="68"/>
        <v>4236.3463683581967</v>
      </c>
      <c r="CN19" s="197">
        <f t="shared" si="45"/>
        <v>1092.0108119203437</v>
      </c>
      <c r="CO19" s="197">
        <f t="shared" si="46"/>
        <v>7786.5450512695716</v>
      </c>
      <c r="CP19" s="197">
        <f t="shared" si="47"/>
        <v>-3550.1986829113753</v>
      </c>
      <c r="CQ19" s="199">
        <f t="shared" si="48"/>
        <v>-2458.1878709910316</v>
      </c>
      <c r="CR19" s="197"/>
      <c r="CT19" s="204">
        <f t="shared" si="69"/>
        <v>8</v>
      </c>
      <c r="CU19" s="225">
        <f>'Energy NPV'!$D72</f>
        <v>11.617000000000001</v>
      </c>
      <c r="CV19" s="197">
        <f>'Energy margins'!$S$12</f>
        <v>72</v>
      </c>
      <c r="CW19" s="197">
        <f t="shared" si="49"/>
        <v>836.42400000000009</v>
      </c>
      <c r="CX19" s="197">
        <f>'Margins summary'!$U$14</f>
        <v>175.95</v>
      </c>
      <c r="CY19" s="197">
        <f t="shared" si="50"/>
        <v>1012.374</v>
      </c>
      <c r="CZ19" s="197"/>
      <c r="DA19" s="918">
        <f>'Energy NPV'!U72</f>
        <v>309.57878399999998</v>
      </c>
      <c r="DB19" s="197"/>
      <c r="DC19" s="197">
        <f t="shared" si="51"/>
        <v>309.57878399999998</v>
      </c>
      <c r="DD19" s="197">
        <f t="shared" si="8"/>
        <v>526.84521600000016</v>
      </c>
      <c r="DE19" s="197">
        <f t="shared" si="9"/>
        <v>702.79521599999998</v>
      </c>
      <c r="DF19" s="196">
        <f t="shared" si="52"/>
        <v>836.42400000000009</v>
      </c>
      <c r="DG19" s="197">
        <f t="shared" si="53"/>
        <v>175.95</v>
      </c>
      <c r="DH19" s="197">
        <f t="shared" si="54"/>
        <v>309.57878399999998</v>
      </c>
      <c r="DI19" s="197">
        <f t="shared" si="55"/>
        <v>526.84521600000016</v>
      </c>
      <c r="DJ19" s="199">
        <f t="shared" si="56"/>
        <v>702.79521599999998</v>
      </c>
      <c r="DK19" s="196">
        <f t="shared" si="70"/>
        <v>5711.64</v>
      </c>
      <c r="DL19" s="197">
        <f t="shared" si="57"/>
        <v>1407.6000000000001</v>
      </c>
      <c r="DM19" s="197">
        <f t="shared" si="58"/>
        <v>8381.2454720000005</v>
      </c>
      <c r="DN19" s="197">
        <f t="shared" si="59"/>
        <v>-2669.6054719999997</v>
      </c>
      <c r="DO19" s="199">
        <f t="shared" si="60"/>
        <v>-1262.0054719999994</v>
      </c>
    </row>
    <row r="20" spans="2:119" x14ac:dyDescent="0.3">
      <c r="B20" s="204">
        <f t="shared" si="61"/>
        <v>9</v>
      </c>
      <c r="C20" s="197">
        <f>'Energy NPV'!$D73</f>
        <v>11.617000000000001</v>
      </c>
      <c r="D20" s="197">
        <f>'Energy margins'!$S$12</f>
        <v>72</v>
      </c>
      <c r="E20" s="197">
        <f t="shared" si="10"/>
        <v>836.42400000000009</v>
      </c>
      <c r="F20" s="197">
        <f>'Margins summary'!$U$14</f>
        <v>175.95</v>
      </c>
      <c r="G20" s="197">
        <f t="shared" si="11"/>
        <v>1012.374</v>
      </c>
      <c r="H20" s="197"/>
      <c r="I20" s="918">
        <f>'Energy NPV'!U73</f>
        <v>309.57878399999998</v>
      </c>
      <c r="J20" s="197"/>
      <c r="K20" s="197">
        <f t="shared" si="12"/>
        <v>309.57878399999998</v>
      </c>
      <c r="L20" s="197">
        <f t="shared" si="0"/>
        <v>526.84521600000016</v>
      </c>
      <c r="M20" s="197">
        <f t="shared" si="1"/>
        <v>702.79521599999998</v>
      </c>
      <c r="N20" s="196">
        <f t="shared" si="13"/>
        <v>611.1668240285793</v>
      </c>
      <c r="O20" s="197">
        <f t="shared" si="14"/>
        <v>128.56494157009902</v>
      </c>
      <c r="P20" s="197">
        <f t="shared" si="15"/>
        <v>226.20618514522485</v>
      </c>
      <c r="Q20" s="197">
        <f t="shared" si="16"/>
        <v>384.96063888335453</v>
      </c>
      <c r="R20" s="199">
        <f t="shared" si="17"/>
        <v>513.52558045345347</v>
      </c>
      <c r="S20" s="196">
        <f t="shared" si="62"/>
        <v>5501.1198726582925</v>
      </c>
      <c r="T20" s="197">
        <f t="shared" si="18"/>
        <v>1360.5764607475226</v>
      </c>
      <c r="U20" s="197">
        <f t="shared" si="18"/>
        <v>8277.7861595113864</v>
      </c>
      <c r="V20" s="197">
        <f t="shared" si="18"/>
        <v>-2776.6662868530962</v>
      </c>
      <c r="W20" s="199">
        <f t="shared" si="18"/>
        <v>-1416.0898261055727</v>
      </c>
      <c r="X20" s="197"/>
      <c r="Z20" s="204">
        <f t="shared" si="63"/>
        <v>9</v>
      </c>
      <c r="AA20" s="225">
        <f>'Energy NPV'!$D73</f>
        <v>11.617000000000001</v>
      </c>
      <c r="AB20" s="197">
        <f>'Energy margins'!$S$12</f>
        <v>72</v>
      </c>
      <c r="AC20" s="197">
        <f t="shared" si="19"/>
        <v>836.42400000000009</v>
      </c>
      <c r="AD20" s="197">
        <f>'Margins summary'!$U$14</f>
        <v>175.95</v>
      </c>
      <c r="AE20" s="197">
        <f t="shared" si="20"/>
        <v>1012.374</v>
      </c>
      <c r="AF20" s="197"/>
      <c r="AG20" s="918">
        <f>'Energy NPV'!U73</f>
        <v>309.57878399999998</v>
      </c>
      <c r="AH20" s="197"/>
      <c r="AI20" s="197">
        <f t="shared" si="21"/>
        <v>309.57878399999998</v>
      </c>
      <c r="AJ20" s="197">
        <f t="shared" si="2"/>
        <v>526.84521600000016</v>
      </c>
      <c r="AK20" s="197">
        <f t="shared" si="3"/>
        <v>702.79521599999998</v>
      </c>
      <c r="AL20" s="196">
        <f t="shared" si="22"/>
        <v>524.78276528721597</v>
      </c>
      <c r="AM20" s="197">
        <f t="shared" si="23"/>
        <v>110.39320673759437</v>
      </c>
      <c r="AN20" s="197">
        <f t="shared" si="24"/>
        <v>194.23355898655907</v>
      </c>
      <c r="AO20" s="197">
        <f t="shared" si="25"/>
        <v>330.54920630065692</v>
      </c>
      <c r="AP20" s="199">
        <f t="shared" si="26"/>
        <v>440.94241303825117</v>
      </c>
      <c r="AQ20" s="196">
        <f t="shared" si="64"/>
        <v>5069.8007992655139</v>
      </c>
      <c r="AR20" s="197">
        <f t="shared" si="27"/>
        <v>1268.5632210400927</v>
      </c>
      <c r="AS20" s="197">
        <f t="shared" si="27"/>
        <v>8106.3035286941677</v>
      </c>
      <c r="AT20" s="197">
        <f t="shared" si="27"/>
        <v>-3036.5027294286547</v>
      </c>
      <c r="AU20" s="199">
        <f t="shared" si="27"/>
        <v>-1767.9395083885615</v>
      </c>
      <c r="AV20" s="197"/>
      <c r="AX20" s="204">
        <f t="shared" si="65"/>
        <v>9</v>
      </c>
      <c r="AY20" s="225">
        <f>'Energy NPV'!$D73</f>
        <v>11.617000000000001</v>
      </c>
      <c r="AZ20" s="197">
        <f>'Energy margins'!$S$12</f>
        <v>72</v>
      </c>
      <c r="BA20" s="197">
        <f t="shared" si="28"/>
        <v>836.42400000000009</v>
      </c>
      <c r="BB20" s="197">
        <f>'Margins summary'!$U$14</f>
        <v>175.95</v>
      </c>
      <c r="BC20" s="197">
        <f t="shared" si="29"/>
        <v>1012.374</v>
      </c>
      <c r="BD20" s="197"/>
      <c r="BE20" s="918">
        <f>'Energy NPV'!U73</f>
        <v>309.57878399999998</v>
      </c>
      <c r="BF20" s="197"/>
      <c r="BG20" s="197">
        <f t="shared" si="30"/>
        <v>309.57878399999998</v>
      </c>
      <c r="BH20" s="197">
        <f t="shared" si="4"/>
        <v>526.84521600000016</v>
      </c>
      <c r="BI20" s="197">
        <f t="shared" si="5"/>
        <v>702.79521599999998</v>
      </c>
      <c r="BJ20" s="196">
        <f t="shared" si="31"/>
        <v>713.879830232318</v>
      </c>
      <c r="BK20" s="197">
        <f t="shared" si="32"/>
        <v>150.17163081090013</v>
      </c>
      <c r="BL20" s="197">
        <f t="shared" si="33"/>
        <v>264.22251126874335</v>
      </c>
      <c r="BM20" s="197">
        <f t="shared" si="34"/>
        <v>449.65731896357465</v>
      </c>
      <c r="BN20" s="199">
        <f t="shared" si="35"/>
        <v>599.82894977447461</v>
      </c>
      <c r="BO20" s="196">
        <f t="shared" si="66"/>
        <v>5990.5357317520429</v>
      </c>
      <c r="BP20" s="197">
        <f t="shared" si="36"/>
        <v>1464.8684594549936</v>
      </c>
      <c r="BQ20" s="197">
        <f t="shared" si="36"/>
        <v>8471.3758020314981</v>
      </c>
      <c r="BR20" s="197">
        <f t="shared" si="36"/>
        <v>-2480.8400702794547</v>
      </c>
      <c r="BS20" s="199">
        <f t="shared" si="36"/>
        <v>-1015.9716108244612</v>
      </c>
      <c r="BT20" s="197"/>
      <c r="BV20" s="204">
        <f t="shared" si="67"/>
        <v>9</v>
      </c>
      <c r="BW20" s="225">
        <f>'Energy NPV'!$D73</f>
        <v>11.617000000000001</v>
      </c>
      <c r="BX20" s="197">
        <f>'Energy margins'!$S$12</f>
        <v>72</v>
      </c>
      <c r="BY20" s="197">
        <f t="shared" si="37"/>
        <v>836.42400000000009</v>
      </c>
      <c r="BZ20" s="197">
        <f>'Margins summary'!$U$14</f>
        <v>175.95</v>
      </c>
      <c r="CA20" s="197">
        <f t="shared" si="38"/>
        <v>1012.374</v>
      </c>
      <c r="CB20" s="197"/>
      <c r="CC20" s="918">
        <f>'Energy NPV'!U73</f>
        <v>309.57878399999998</v>
      </c>
      <c r="CD20" s="197"/>
      <c r="CE20" s="197">
        <f t="shared" si="39"/>
        <v>309.57878399999998</v>
      </c>
      <c r="CF20" s="197">
        <f t="shared" si="6"/>
        <v>526.84521600000016</v>
      </c>
      <c r="CG20" s="197">
        <f t="shared" si="7"/>
        <v>702.79521599999998</v>
      </c>
      <c r="CH20" s="196">
        <f t="shared" si="40"/>
        <v>451.89386145068062</v>
      </c>
      <c r="CI20" s="197">
        <f t="shared" si="41"/>
        <v>95.060310228122631</v>
      </c>
      <c r="CJ20" s="197">
        <f t="shared" si="42"/>
        <v>167.2557842971581</v>
      </c>
      <c r="CK20" s="197">
        <f t="shared" si="43"/>
        <v>284.63807715352254</v>
      </c>
      <c r="CL20" s="199">
        <f t="shared" si="44"/>
        <v>379.69838738164509</v>
      </c>
      <c r="CM20" s="196">
        <f t="shared" si="68"/>
        <v>4688.2402298088773</v>
      </c>
      <c r="CN20" s="197">
        <f t="shared" si="45"/>
        <v>1187.0711221484664</v>
      </c>
      <c r="CO20" s="197">
        <f t="shared" si="46"/>
        <v>7953.8008355667298</v>
      </c>
      <c r="CP20" s="197">
        <f t="shared" si="47"/>
        <v>-3265.5606057578525</v>
      </c>
      <c r="CQ20" s="199">
        <f t="shared" si="48"/>
        <v>-2078.4894836093863</v>
      </c>
      <c r="CR20" s="197"/>
      <c r="CT20" s="204">
        <f t="shared" si="69"/>
        <v>9</v>
      </c>
      <c r="CU20" s="225">
        <f>'Energy NPV'!$D73</f>
        <v>11.617000000000001</v>
      </c>
      <c r="CV20" s="197">
        <f>'Energy margins'!$S$12</f>
        <v>72</v>
      </c>
      <c r="CW20" s="197">
        <f t="shared" si="49"/>
        <v>836.42400000000009</v>
      </c>
      <c r="CX20" s="197">
        <f>'Margins summary'!$U$14</f>
        <v>175.95</v>
      </c>
      <c r="CY20" s="197">
        <f t="shared" si="50"/>
        <v>1012.374</v>
      </c>
      <c r="CZ20" s="197"/>
      <c r="DA20" s="918">
        <f>'Energy NPV'!U73</f>
        <v>309.57878399999998</v>
      </c>
      <c r="DB20" s="197"/>
      <c r="DC20" s="197">
        <f t="shared" si="51"/>
        <v>309.57878399999998</v>
      </c>
      <c r="DD20" s="197">
        <f t="shared" si="8"/>
        <v>526.84521600000016</v>
      </c>
      <c r="DE20" s="197">
        <f t="shared" si="9"/>
        <v>702.79521599999998</v>
      </c>
      <c r="DF20" s="196">
        <f t="shared" si="52"/>
        <v>836.42400000000009</v>
      </c>
      <c r="DG20" s="197">
        <f t="shared" si="53"/>
        <v>175.95</v>
      </c>
      <c r="DH20" s="197">
        <f t="shared" si="54"/>
        <v>309.57878399999998</v>
      </c>
      <c r="DI20" s="197">
        <f t="shared" si="55"/>
        <v>526.84521600000016</v>
      </c>
      <c r="DJ20" s="199">
        <f t="shared" si="56"/>
        <v>702.79521599999998</v>
      </c>
      <c r="DK20" s="196">
        <f t="shared" si="70"/>
        <v>6548.0640000000003</v>
      </c>
      <c r="DL20" s="197">
        <f t="shared" si="57"/>
        <v>1583.5500000000002</v>
      </c>
      <c r="DM20" s="197">
        <f t="shared" si="58"/>
        <v>8690.8242559999999</v>
      </c>
      <c r="DN20" s="197">
        <f t="shared" si="59"/>
        <v>-2142.7602559999996</v>
      </c>
      <c r="DO20" s="199">
        <f t="shared" si="60"/>
        <v>-559.21025599999939</v>
      </c>
    </row>
    <row r="21" spans="2:119" x14ac:dyDescent="0.3">
      <c r="B21" s="204">
        <f t="shared" si="61"/>
        <v>10</v>
      </c>
      <c r="C21" s="197">
        <f>'Energy NPV'!$D74</f>
        <v>11.617000000000001</v>
      </c>
      <c r="D21" s="197">
        <f>'Energy margins'!$S$12</f>
        <v>72</v>
      </c>
      <c r="E21" s="197">
        <f t="shared" si="10"/>
        <v>836.42400000000009</v>
      </c>
      <c r="F21" s="197">
        <f>'Margins summary'!$U$14</f>
        <v>175.95</v>
      </c>
      <c r="G21" s="197">
        <f t="shared" si="11"/>
        <v>1012.374</v>
      </c>
      <c r="H21" s="197"/>
      <c r="I21" s="918">
        <f>'Energy NPV'!U74</f>
        <v>309.57878399999998</v>
      </c>
      <c r="J21" s="197"/>
      <c r="K21" s="197">
        <f t="shared" si="12"/>
        <v>309.57878399999998</v>
      </c>
      <c r="L21" s="197">
        <f t="shared" si="0"/>
        <v>526.84521600000016</v>
      </c>
      <c r="M21" s="197">
        <f t="shared" si="1"/>
        <v>702.79521599999998</v>
      </c>
      <c r="N21" s="196">
        <f t="shared" si="13"/>
        <v>587.66040771978783</v>
      </c>
      <c r="O21" s="197">
        <f t="shared" si="14"/>
        <v>123.62013612509521</v>
      </c>
      <c r="P21" s="197">
        <f t="shared" si="15"/>
        <v>217.50594725502387</v>
      </c>
      <c r="Q21" s="197">
        <f t="shared" si="16"/>
        <v>370.15446046476393</v>
      </c>
      <c r="R21" s="199">
        <f t="shared" si="17"/>
        <v>493.77459658985907</v>
      </c>
      <c r="S21" s="196">
        <f t="shared" si="62"/>
        <v>6088.7802803780805</v>
      </c>
      <c r="T21" s="197">
        <f t="shared" si="18"/>
        <v>1484.1965968726179</v>
      </c>
      <c r="U21" s="197">
        <f t="shared" si="18"/>
        <v>8495.2921067664101</v>
      </c>
      <c r="V21" s="197">
        <f t="shared" si="18"/>
        <v>-2406.5118263883323</v>
      </c>
      <c r="W21" s="199">
        <f t="shared" si="18"/>
        <v>-922.31522951571355</v>
      </c>
      <c r="X21" s="197"/>
      <c r="Z21" s="204">
        <f t="shared" si="63"/>
        <v>10</v>
      </c>
      <c r="AA21" s="225">
        <f>'Energy NPV'!$D74</f>
        <v>11.617000000000001</v>
      </c>
      <c r="AB21" s="197">
        <f>'Energy margins'!$S$12</f>
        <v>72</v>
      </c>
      <c r="AC21" s="197">
        <f t="shared" si="19"/>
        <v>836.42400000000009</v>
      </c>
      <c r="AD21" s="197">
        <f>'Margins summary'!$U$14</f>
        <v>175.95</v>
      </c>
      <c r="AE21" s="197">
        <f t="shared" si="20"/>
        <v>1012.374</v>
      </c>
      <c r="AF21" s="197"/>
      <c r="AG21" s="918">
        <f>'Energy NPV'!U74</f>
        <v>309.57878399999998</v>
      </c>
      <c r="AH21" s="197"/>
      <c r="AI21" s="197">
        <f t="shared" si="21"/>
        <v>309.57878399999998</v>
      </c>
      <c r="AJ21" s="197">
        <f t="shared" si="2"/>
        <v>526.84521600000016</v>
      </c>
      <c r="AK21" s="197">
        <f t="shared" si="3"/>
        <v>702.79521599999998</v>
      </c>
      <c r="AL21" s="196">
        <f t="shared" si="22"/>
        <v>495.0780804596377</v>
      </c>
      <c r="AM21" s="197">
        <f t="shared" si="23"/>
        <v>104.14453465810789</v>
      </c>
      <c r="AN21" s="197">
        <f t="shared" si="24"/>
        <v>183.23920659109348</v>
      </c>
      <c r="AO21" s="197">
        <f t="shared" si="25"/>
        <v>311.83887386854423</v>
      </c>
      <c r="AP21" s="199">
        <f t="shared" si="26"/>
        <v>415.98340852665206</v>
      </c>
      <c r="AQ21" s="196">
        <f t="shared" si="64"/>
        <v>5564.8788797251518</v>
      </c>
      <c r="AR21" s="197">
        <f t="shared" si="27"/>
        <v>1372.7077556982006</v>
      </c>
      <c r="AS21" s="197">
        <f t="shared" si="27"/>
        <v>8289.5427352852603</v>
      </c>
      <c r="AT21" s="197">
        <f t="shared" si="27"/>
        <v>-2724.6638555601103</v>
      </c>
      <c r="AU21" s="199">
        <f t="shared" si="27"/>
        <v>-1351.9560998619095</v>
      </c>
      <c r="AV21" s="197"/>
      <c r="AX21" s="204">
        <f t="shared" si="65"/>
        <v>10</v>
      </c>
      <c r="AY21" s="225">
        <f>'Energy NPV'!$D74</f>
        <v>11.617000000000001</v>
      </c>
      <c r="AZ21" s="197">
        <f>'Energy margins'!$S$12</f>
        <v>72</v>
      </c>
      <c r="BA21" s="197">
        <f t="shared" si="28"/>
        <v>836.42400000000009</v>
      </c>
      <c r="BB21" s="197">
        <f>'Margins summary'!$U$14</f>
        <v>175.95</v>
      </c>
      <c r="BC21" s="197">
        <f t="shared" si="29"/>
        <v>1012.374</v>
      </c>
      <c r="BD21" s="197"/>
      <c r="BE21" s="918">
        <f>'Energy NPV'!U74</f>
        <v>309.57878399999998</v>
      </c>
      <c r="BF21" s="197"/>
      <c r="BG21" s="197">
        <f t="shared" si="30"/>
        <v>309.57878399999998</v>
      </c>
      <c r="BH21" s="197">
        <f t="shared" si="4"/>
        <v>526.84521600000016</v>
      </c>
      <c r="BI21" s="197">
        <f t="shared" si="5"/>
        <v>702.79521599999998</v>
      </c>
      <c r="BJ21" s="196">
        <f t="shared" si="31"/>
        <v>699.88218650227259</v>
      </c>
      <c r="BK21" s="197">
        <f t="shared" si="32"/>
        <v>147.22708903029425</v>
      </c>
      <c r="BL21" s="197">
        <f t="shared" si="33"/>
        <v>259.04167771445429</v>
      </c>
      <c r="BM21" s="197">
        <f t="shared" si="34"/>
        <v>440.84050878781829</v>
      </c>
      <c r="BN21" s="199">
        <f t="shared" si="35"/>
        <v>588.0675978181124</v>
      </c>
      <c r="BO21" s="196">
        <f t="shared" si="66"/>
        <v>6690.4179182543157</v>
      </c>
      <c r="BP21" s="197">
        <f t="shared" si="36"/>
        <v>1612.095548485288</v>
      </c>
      <c r="BQ21" s="197">
        <f t="shared" si="36"/>
        <v>8730.4174797459527</v>
      </c>
      <c r="BR21" s="197">
        <f t="shared" si="36"/>
        <v>-2039.9995614916365</v>
      </c>
      <c r="BS21" s="199">
        <f t="shared" si="36"/>
        <v>-427.9040130063488</v>
      </c>
      <c r="BT21" s="197"/>
      <c r="BV21" s="204">
        <f t="shared" si="67"/>
        <v>10</v>
      </c>
      <c r="BW21" s="225">
        <f>'Energy NPV'!$D74</f>
        <v>11.617000000000001</v>
      </c>
      <c r="BX21" s="197">
        <f>'Energy margins'!$S$12</f>
        <v>72</v>
      </c>
      <c r="BY21" s="197">
        <f t="shared" si="37"/>
        <v>836.42400000000009</v>
      </c>
      <c r="BZ21" s="197">
        <f>'Margins summary'!$U$14</f>
        <v>175.95</v>
      </c>
      <c r="CA21" s="197">
        <f t="shared" si="38"/>
        <v>1012.374</v>
      </c>
      <c r="CB21" s="197"/>
      <c r="CC21" s="918">
        <f>'Energy NPV'!U74</f>
        <v>309.57878399999998</v>
      </c>
      <c r="CD21" s="197"/>
      <c r="CE21" s="197">
        <f t="shared" si="39"/>
        <v>309.57878399999998</v>
      </c>
      <c r="CF21" s="197">
        <f t="shared" si="6"/>
        <v>526.84521600000016</v>
      </c>
      <c r="CG21" s="197">
        <f t="shared" si="7"/>
        <v>702.79521599999998</v>
      </c>
      <c r="CH21" s="196">
        <f t="shared" si="40"/>
        <v>418.4202420839635</v>
      </c>
      <c r="CI21" s="197">
        <f t="shared" si="41"/>
        <v>88.018805766780204</v>
      </c>
      <c r="CJ21" s="197">
        <f t="shared" si="42"/>
        <v>154.86646694181303</v>
      </c>
      <c r="CK21" s="197">
        <f t="shared" si="43"/>
        <v>263.55377514215053</v>
      </c>
      <c r="CL21" s="199">
        <f t="shared" si="44"/>
        <v>351.5725809089306</v>
      </c>
      <c r="CM21" s="196">
        <f t="shared" si="68"/>
        <v>5106.6604718928411</v>
      </c>
      <c r="CN21" s="197">
        <f t="shared" si="45"/>
        <v>1275.0899279152466</v>
      </c>
      <c r="CO21" s="197">
        <f t="shared" si="46"/>
        <v>8108.6673025085429</v>
      </c>
      <c r="CP21" s="197">
        <f t="shared" si="47"/>
        <v>-3002.0068306157018</v>
      </c>
      <c r="CQ21" s="199">
        <f t="shared" si="48"/>
        <v>-1726.9169027004557</v>
      </c>
      <c r="CR21" s="197"/>
      <c r="CT21" s="204">
        <f t="shared" si="69"/>
        <v>10</v>
      </c>
      <c r="CU21" s="225">
        <f>'Energy NPV'!$D74</f>
        <v>11.617000000000001</v>
      </c>
      <c r="CV21" s="197">
        <f>'Energy margins'!$S$12</f>
        <v>72</v>
      </c>
      <c r="CW21" s="197">
        <f t="shared" si="49"/>
        <v>836.42400000000009</v>
      </c>
      <c r="CX21" s="197">
        <f>'Margins summary'!$U$14</f>
        <v>175.95</v>
      </c>
      <c r="CY21" s="197">
        <f t="shared" si="50"/>
        <v>1012.374</v>
      </c>
      <c r="CZ21" s="197"/>
      <c r="DA21" s="918">
        <f>'Energy NPV'!U74</f>
        <v>309.57878399999998</v>
      </c>
      <c r="DB21" s="197"/>
      <c r="DC21" s="197">
        <f t="shared" si="51"/>
        <v>309.57878399999998</v>
      </c>
      <c r="DD21" s="197">
        <f t="shared" si="8"/>
        <v>526.84521600000016</v>
      </c>
      <c r="DE21" s="197">
        <f t="shared" si="9"/>
        <v>702.79521599999998</v>
      </c>
      <c r="DF21" s="196">
        <f t="shared" si="52"/>
        <v>836.42400000000009</v>
      </c>
      <c r="DG21" s="197">
        <f t="shared" si="53"/>
        <v>175.95</v>
      </c>
      <c r="DH21" s="197">
        <f t="shared" si="54"/>
        <v>309.57878399999998</v>
      </c>
      <c r="DI21" s="197">
        <f t="shared" si="55"/>
        <v>526.84521600000016</v>
      </c>
      <c r="DJ21" s="199">
        <f t="shared" si="56"/>
        <v>702.79521599999998</v>
      </c>
      <c r="DK21" s="196">
        <f t="shared" si="70"/>
        <v>7384.4880000000003</v>
      </c>
      <c r="DL21" s="197">
        <f t="shared" si="57"/>
        <v>1759.5000000000002</v>
      </c>
      <c r="DM21" s="197">
        <f t="shared" si="58"/>
        <v>9000.4030399999992</v>
      </c>
      <c r="DN21" s="197">
        <f t="shared" si="59"/>
        <v>-1615.9150399999994</v>
      </c>
      <c r="DO21" s="199">
        <f t="shared" si="60"/>
        <v>143.58496000000059</v>
      </c>
    </row>
    <row r="22" spans="2:119" x14ac:dyDescent="0.3">
      <c r="B22" s="204">
        <f t="shared" si="61"/>
        <v>11</v>
      </c>
      <c r="C22" s="197">
        <f>'Energy NPV'!$D75</f>
        <v>11.617000000000001</v>
      </c>
      <c r="D22" s="197">
        <f>'Energy margins'!$S$12</f>
        <v>72</v>
      </c>
      <c r="E22" s="197">
        <f t="shared" si="10"/>
        <v>836.42400000000009</v>
      </c>
      <c r="F22" s="197">
        <f>'Margins summary'!$U$14</f>
        <v>175.95</v>
      </c>
      <c r="G22" s="197">
        <f t="shared" si="11"/>
        <v>1012.374</v>
      </c>
      <c r="H22" s="197"/>
      <c r="I22" s="918">
        <f>'Energy NPV'!U75</f>
        <v>309.57878399999998</v>
      </c>
      <c r="J22" s="197"/>
      <c r="K22" s="197">
        <f t="shared" si="12"/>
        <v>309.57878399999998</v>
      </c>
      <c r="L22" s="197">
        <f t="shared" si="0"/>
        <v>526.84521600000016</v>
      </c>
      <c r="M22" s="197">
        <f t="shared" si="1"/>
        <v>702.79521599999998</v>
      </c>
      <c r="N22" s="196">
        <f t="shared" si="13"/>
        <v>565.05808434594974</v>
      </c>
      <c r="O22" s="197">
        <f t="shared" si="14"/>
        <v>118.86551550489925</v>
      </c>
      <c r="P22" s="197">
        <f t="shared" si="15"/>
        <v>209.1403338990614</v>
      </c>
      <c r="Q22" s="197">
        <f t="shared" si="16"/>
        <v>355.91775044688842</v>
      </c>
      <c r="R22" s="199">
        <f t="shared" si="17"/>
        <v>474.78326595178754</v>
      </c>
      <c r="S22" s="196">
        <f t="shared" si="62"/>
        <v>6653.8383647240298</v>
      </c>
      <c r="T22" s="197">
        <f t="shared" si="18"/>
        <v>1603.0621123775172</v>
      </c>
      <c r="U22" s="197">
        <f t="shared" si="18"/>
        <v>8704.4324406654723</v>
      </c>
      <c r="V22" s="197">
        <f t="shared" si="18"/>
        <v>-2050.5940759414439</v>
      </c>
      <c r="W22" s="199">
        <f t="shared" si="18"/>
        <v>-447.53196356392601</v>
      </c>
      <c r="X22" s="197"/>
      <c r="Z22" s="204">
        <f t="shared" si="63"/>
        <v>11</v>
      </c>
      <c r="AA22" s="225">
        <f>'Energy NPV'!$D75</f>
        <v>11.617000000000001</v>
      </c>
      <c r="AB22" s="197">
        <f>'Energy margins'!$S$12</f>
        <v>72</v>
      </c>
      <c r="AC22" s="197">
        <f t="shared" si="19"/>
        <v>836.42400000000009</v>
      </c>
      <c r="AD22" s="197">
        <f>'Margins summary'!$U$14</f>
        <v>175.95</v>
      </c>
      <c r="AE22" s="197">
        <f t="shared" si="20"/>
        <v>1012.374</v>
      </c>
      <c r="AF22" s="197"/>
      <c r="AG22" s="918">
        <f>'Energy NPV'!U75</f>
        <v>309.57878399999998</v>
      </c>
      <c r="AH22" s="197"/>
      <c r="AI22" s="197">
        <f t="shared" si="21"/>
        <v>309.57878399999998</v>
      </c>
      <c r="AJ22" s="197">
        <f t="shared" si="2"/>
        <v>526.84521600000016</v>
      </c>
      <c r="AK22" s="197">
        <f t="shared" si="3"/>
        <v>702.79521599999998</v>
      </c>
      <c r="AL22" s="196">
        <f t="shared" si="22"/>
        <v>467.05479288645063</v>
      </c>
      <c r="AM22" s="197">
        <f t="shared" si="23"/>
        <v>98.249560998214989</v>
      </c>
      <c r="AN22" s="197">
        <f t="shared" si="24"/>
        <v>172.86717602933345</v>
      </c>
      <c r="AO22" s="197">
        <f t="shared" si="25"/>
        <v>294.18761685711718</v>
      </c>
      <c r="AP22" s="199">
        <f t="shared" si="26"/>
        <v>392.4371778553321</v>
      </c>
      <c r="AQ22" s="196">
        <f t="shared" si="64"/>
        <v>6031.9336726116026</v>
      </c>
      <c r="AR22" s="197">
        <f t="shared" si="27"/>
        <v>1470.9573166964155</v>
      </c>
      <c r="AS22" s="197">
        <f t="shared" si="27"/>
        <v>8462.409911314593</v>
      </c>
      <c r="AT22" s="197">
        <f t="shared" si="27"/>
        <v>-2430.4762387029932</v>
      </c>
      <c r="AU22" s="199">
        <f t="shared" si="27"/>
        <v>-959.51892200657744</v>
      </c>
      <c r="AV22" s="197"/>
      <c r="AX22" s="204">
        <f t="shared" si="65"/>
        <v>11</v>
      </c>
      <c r="AY22" s="225">
        <f>'Energy NPV'!$D75</f>
        <v>11.617000000000001</v>
      </c>
      <c r="AZ22" s="197">
        <f>'Energy margins'!$S$12</f>
        <v>72</v>
      </c>
      <c r="BA22" s="197">
        <f t="shared" si="28"/>
        <v>836.42400000000009</v>
      </c>
      <c r="BB22" s="197">
        <f>'Margins summary'!$U$14</f>
        <v>175.95</v>
      </c>
      <c r="BC22" s="197">
        <f t="shared" si="29"/>
        <v>1012.374</v>
      </c>
      <c r="BD22" s="197"/>
      <c r="BE22" s="918">
        <f>'Energy NPV'!U75</f>
        <v>309.57878399999998</v>
      </c>
      <c r="BF22" s="197"/>
      <c r="BG22" s="197">
        <f t="shared" si="30"/>
        <v>309.57878399999998</v>
      </c>
      <c r="BH22" s="197">
        <f t="shared" si="4"/>
        <v>526.84521600000016</v>
      </c>
      <c r="BI22" s="197">
        <f t="shared" si="5"/>
        <v>702.79521599999998</v>
      </c>
      <c r="BJ22" s="196">
        <f t="shared" si="31"/>
        <v>686.15900637477694</v>
      </c>
      <c r="BK22" s="197">
        <f t="shared" si="32"/>
        <v>144.34028336303356</v>
      </c>
      <c r="BL22" s="197">
        <f t="shared" si="33"/>
        <v>253.96242913181791</v>
      </c>
      <c r="BM22" s="197">
        <f t="shared" si="34"/>
        <v>432.19657724295911</v>
      </c>
      <c r="BN22" s="199">
        <f t="shared" si="35"/>
        <v>576.5368606059925</v>
      </c>
      <c r="BO22" s="196">
        <f t="shared" si="66"/>
        <v>7376.5769246290929</v>
      </c>
      <c r="BP22" s="197">
        <f t="shared" si="36"/>
        <v>1756.4358318483214</v>
      </c>
      <c r="BQ22" s="197">
        <f t="shared" si="36"/>
        <v>8984.3799088777705</v>
      </c>
      <c r="BR22" s="197">
        <f t="shared" si="36"/>
        <v>-1607.8029842486774</v>
      </c>
      <c r="BS22" s="199">
        <f t="shared" si="36"/>
        <v>148.6328475996437</v>
      </c>
      <c r="BT22" s="197"/>
      <c r="BV22" s="204">
        <f t="shared" si="67"/>
        <v>11</v>
      </c>
      <c r="BW22" s="225">
        <f>'Energy NPV'!$D75</f>
        <v>11.617000000000001</v>
      </c>
      <c r="BX22" s="197">
        <f>'Energy margins'!$S$12</f>
        <v>72</v>
      </c>
      <c r="BY22" s="197">
        <f t="shared" si="37"/>
        <v>836.42400000000009</v>
      </c>
      <c r="BZ22" s="197">
        <f>'Margins summary'!$U$14</f>
        <v>175.95</v>
      </c>
      <c r="CA22" s="197">
        <f t="shared" si="38"/>
        <v>1012.374</v>
      </c>
      <c r="CB22" s="197"/>
      <c r="CC22" s="918">
        <f>'Energy NPV'!U75</f>
        <v>309.57878399999998</v>
      </c>
      <c r="CD22" s="197"/>
      <c r="CE22" s="197">
        <f t="shared" si="39"/>
        <v>309.57878399999998</v>
      </c>
      <c r="CF22" s="197">
        <f t="shared" si="6"/>
        <v>526.84521600000016</v>
      </c>
      <c r="CG22" s="197">
        <f t="shared" si="7"/>
        <v>702.79521599999998</v>
      </c>
      <c r="CH22" s="196">
        <f t="shared" si="40"/>
        <v>387.42615007774401</v>
      </c>
      <c r="CI22" s="197">
        <f t="shared" si="41"/>
        <v>81.498894228500191</v>
      </c>
      <c r="CJ22" s="197">
        <f t="shared" si="42"/>
        <v>143.39487679797503</v>
      </c>
      <c r="CK22" s="197">
        <f t="shared" si="43"/>
        <v>244.03127327976898</v>
      </c>
      <c r="CL22" s="199">
        <f t="shared" si="44"/>
        <v>325.53016750826907</v>
      </c>
      <c r="CM22" s="196">
        <f t="shared" si="68"/>
        <v>5494.0866219705849</v>
      </c>
      <c r="CN22" s="197">
        <f t="shared" si="45"/>
        <v>1356.5888221437467</v>
      </c>
      <c r="CO22" s="197">
        <f t="shared" si="46"/>
        <v>8252.0621793065184</v>
      </c>
      <c r="CP22" s="197">
        <f t="shared" si="47"/>
        <v>-2757.975557335933</v>
      </c>
      <c r="CQ22" s="199">
        <f t="shared" si="48"/>
        <v>-1401.3867351921867</v>
      </c>
      <c r="CR22" s="197"/>
      <c r="CT22" s="204">
        <f t="shared" si="69"/>
        <v>11</v>
      </c>
      <c r="CU22" s="225">
        <f>'Energy NPV'!$D75</f>
        <v>11.617000000000001</v>
      </c>
      <c r="CV22" s="197">
        <f>'Energy margins'!$S$12</f>
        <v>72</v>
      </c>
      <c r="CW22" s="197">
        <f t="shared" si="49"/>
        <v>836.42400000000009</v>
      </c>
      <c r="CX22" s="197">
        <f>'Margins summary'!$U$14</f>
        <v>175.95</v>
      </c>
      <c r="CY22" s="197">
        <f t="shared" si="50"/>
        <v>1012.374</v>
      </c>
      <c r="CZ22" s="197"/>
      <c r="DA22" s="918">
        <f>'Energy NPV'!U75</f>
        <v>309.57878399999998</v>
      </c>
      <c r="DB22" s="197"/>
      <c r="DC22" s="197">
        <f t="shared" si="51"/>
        <v>309.57878399999998</v>
      </c>
      <c r="DD22" s="197">
        <f t="shared" si="8"/>
        <v>526.84521600000016</v>
      </c>
      <c r="DE22" s="197">
        <f t="shared" si="9"/>
        <v>702.79521599999998</v>
      </c>
      <c r="DF22" s="196">
        <f t="shared" si="52"/>
        <v>836.42400000000009</v>
      </c>
      <c r="DG22" s="197">
        <f t="shared" si="53"/>
        <v>175.95</v>
      </c>
      <c r="DH22" s="197">
        <f t="shared" si="54"/>
        <v>309.57878399999998</v>
      </c>
      <c r="DI22" s="197">
        <f t="shared" si="55"/>
        <v>526.84521600000016</v>
      </c>
      <c r="DJ22" s="199">
        <f t="shared" si="56"/>
        <v>702.79521599999998</v>
      </c>
      <c r="DK22" s="196">
        <f t="shared" si="70"/>
        <v>8220.9120000000003</v>
      </c>
      <c r="DL22" s="197">
        <f t="shared" si="57"/>
        <v>1935.4500000000003</v>
      </c>
      <c r="DM22" s="197">
        <f t="shared" si="58"/>
        <v>9309.9818239999986</v>
      </c>
      <c r="DN22" s="197">
        <f t="shared" si="59"/>
        <v>-1089.0698239999992</v>
      </c>
      <c r="DO22" s="199">
        <f t="shared" si="60"/>
        <v>846.38017600000057</v>
      </c>
    </row>
    <row r="23" spans="2:119" x14ac:dyDescent="0.3">
      <c r="B23" s="204">
        <f t="shared" si="61"/>
        <v>12</v>
      </c>
      <c r="C23" s="197">
        <f>'Energy NPV'!$D76</f>
        <v>11.617000000000001</v>
      </c>
      <c r="D23" s="197">
        <f>'Energy margins'!$S$12</f>
        <v>72</v>
      </c>
      <c r="E23" s="197">
        <f t="shared" si="10"/>
        <v>836.42400000000009</v>
      </c>
      <c r="F23" s="197">
        <f>'Margins summary'!$U$14</f>
        <v>175.95</v>
      </c>
      <c r="G23" s="197">
        <f t="shared" si="11"/>
        <v>1012.374</v>
      </c>
      <c r="H23" s="197"/>
      <c r="I23" s="918">
        <f>'Energy NPV'!U76</f>
        <v>309.57878399999998</v>
      </c>
      <c r="J23" s="197"/>
      <c r="K23" s="197">
        <f t="shared" si="12"/>
        <v>309.57878399999998</v>
      </c>
      <c r="L23" s="197">
        <f t="shared" si="0"/>
        <v>526.84521600000016</v>
      </c>
      <c r="M23" s="197">
        <f t="shared" si="1"/>
        <v>702.79521599999998</v>
      </c>
      <c r="N23" s="196">
        <f t="shared" si="13"/>
        <v>543.32508110187484</v>
      </c>
      <c r="O23" s="197">
        <f t="shared" si="14"/>
        <v>114.29376490855698</v>
      </c>
      <c r="P23" s="197">
        <f t="shared" si="15"/>
        <v>201.09647490294367</v>
      </c>
      <c r="Q23" s="197">
        <f t="shared" si="16"/>
        <v>342.22860619893117</v>
      </c>
      <c r="R23" s="199">
        <f t="shared" si="17"/>
        <v>456.52237110748808</v>
      </c>
      <c r="S23" s="196">
        <f t="shared" si="62"/>
        <v>7197.163445825905</v>
      </c>
      <c r="T23" s="197">
        <f t="shared" si="18"/>
        <v>1717.3558772860742</v>
      </c>
      <c r="U23" s="197">
        <f t="shared" si="18"/>
        <v>8905.5289155684168</v>
      </c>
      <c r="V23" s="197">
        <f t="shared" si="18"/>
        <v>-1708.3654697425127</v>
      </c>
      <c r="W23" s="199">
        <f t="shared" si="18"/>
        <v>8.9904075435620712</v>
      </c>
      <c r="X23" s="197"/>
      <c r="Z23" s="204">
        <f t="shared" si="63"/>
        <v>12</v>
      </c>
      <c r="AA23" s="225">
        <f>'Energy NPV'!$D76</f>
        <v>11.617000000000001</v>
      </c>
      <c r="AB23" s="197">
        <f>'Energy margins'!$S$12</f>
        <v>72</v>
      </c>
      <c r="AC23" s="197">
        <f t="shared" si="19"/>
        <v>836.42400000000009</v>
      </c>
      <c r="AD23" s="197">
        <f>'Margins summary'!$U$14</f>
        <v>175.95</v>
      </c>
      <c r="AE23" s="197">
        <f t="shared" si="20"/>
        <v>1012.374</v>
      </c>
      <c r="AF23" s="197"/>
      <c r="AG23" s="918">
        <f>'Energy NPV'!U76</f>
        <v>309.57878399999998</v>
      </c>
      <c r="AH23" s="197"/>
      <c r="AI23" s="197">
        <f t="shared" si="21"/>
        <v>309.57878399999998</v>
      </c>
      <c r="AJ23" s="197">
        <f t="shared" si="2"/>
        <v>526.84521600000016</v>
      </c>
      <c r="AK23" s="197">
        <f t="shared" si="3"/>
        <v>702.79521599999998</v>
      </c>
      <c r="AL23" s="196">
        <f t="shared" si="22"/>
        <v>440.61772913816088</v>
      </c>
      <c r="AM23" s="197">
        <f t="shared" si="23"/>
        <v>92.688265092655627</v>
      </c>
      <c r="AN23" s="197">
        <f t="shared" si="24"/>
        <v>163.082241537107</v>
      </c>
      <c r="AO23" s="197">
        <f t="shared" si="25"/>
        <v>277.53548760105389</v>
      </c>
      <c r="AP23" s="199">
        <f t="shared" si="26"/>
        <v>370.22375269370946</v>
      </c>
      <c r="AQ23" s="196">
        <f t="shared" si="64"/>
        <v>6472.5514017497635</v>
      </c>
      <c r="AR23" s="197">
        <f t="shared" si="27"/>
        <v>1563.6455817890712</v>
      </c>
      <c r="AS23" s="197">
        <f t="shared" si="27"/>
        <v>8625.4921528517007</v>
      </c>
      <c r="AT23" s="197">
        <f t="shared" si="27"/>
        <v>-2152.9407511019394</v>
      </c>
      <c r="AU23" s="199">
        <f t="shared" si="27"/>
        <v>-589.29516931286798</v>
      </c>
      <c r="AV23" s="197"/>
      <c r="AX23" s="204">
        <f t="shared" si="65"/>
        <v>12</v>
      </c>
      <c r="AY23" s="225">
        <f>'Energy NPV'!$D76</f>
        <v>11.617000000000001</v>
      </c>
      <c r="AZ23" s="197">
        <f>'Energy margins'!$S$12</f>
        <v>72</v>
      </c>
      <c r="BA23" s="197">
        <f t="shared" si="28"/>
        <v>836.42400000000009</v>
      </c>
      <c r="BB23" s="197">
        <f>'Margins summary'!$U$14</f>
        <v>175.95</v>
      </c>
      <c r="BC23" s="197">
        <f t="shared" si="29"/>
        <v>1012.374</v>
      </c>
      <c r="BD23" s="197"/>
      <c r="BE23" s="918">
        <f>'Energy NPV'!U76</f>
        <v>309.57878399999998</v>
      </c>
      <c r="BF23" s="197"/>
      <c r="BG23" s="197">
        <f t="shared" si="30"/>
        <v>309.57878399999998</v>
      </c>
      <c r="BH23" s="197">
        <f t="shared" si="4"/>
        <v>526.84521600000016</v>
      </c>
      <c r="BI23" s="197">
        <f t="shared" si="5"/>
        <v>702.79521599999998</v>
      </c>
      <c r="BJ23" s="196">
        <f t="shared" si="31"/>
        <v>672.7049082105658</v>
      </c>
      <c r="BK23" s="197">
        <f t="shared" si="32"/>
        <v>141.51008172846431</v>
      </c>
      <c r="BL23" s="197">
        <f t="shared" si="33"/>
        <v>248.98277365864507</v>
      </c>
      <c r="BM23" s="197">
        <f t="shared" si="34"/>
        <v>423.72213455192076</v>
      </c>
      <c r="BN23" s="199">
        <f t="shared" si="35"/>
        <v>565.23221628038493</v>
      </c>
      <c r="BO23" s="196">
        <f t="shared" si="66"/>
        <v>8049.2818328396588</v>
      </c>
      <c r="BP23" s="197">
        <f t="shared" si="36"/>
        <v>1897.9459135767856</v>
      </c>
      <c r="BQ23" s="197">
        <f t="shared" si="36"/>
        <v>9233.3626825364154</v>
      </c>
      <c r="BR23" s="197">
        <f t="shared" si="36"/>
        <v>-1184.0808496967566</v>
      </c>
      <c r="BS23" s="199">
        <f t="shared" si="36"/>
        <v>713.86506388002863</v>
      </c>
      <c r="BT23" s="197"/>
      <c r="BV23" s="204">
        <f t="shared" si="67"/>
        <v>12</v>
      </c>
      <c r="BW23" s="225">
        <f>'Energy NPV'!$D76</f>
        <v>11.617000000000001</v>
      </c>
      <c r="BX23" s="197">
        <f>'Energy margins'!$S$12</f>
        <v>72</v>
      </c>
      <c r="BY23" s="197">
        <f t="shared" si="37"/>
        <v>836.42400000000009</v>
      </c>
      <c r="BZ23" s="197">
        <f>'Margins summary'!$U$14</f>
        <v>175.95</v>
      </c>
      <c r="CA23" s="197">
        <f t="shared" si="38"/>
        <v>1012.374</v>
      </c>
      <c r="CB23" s="197"/>
      <c r="CC23" s="918">
        <f>'Energy NPV'!U76</f>
        <v>309.57878399999998</v>
      </c>
      <c r="CD23" s="197"/>
      <c r="CE23" s="197">
        <f t="shared" si="39"/>
        <v>309.57878399999998</v>
      </c>
      <c r="CF23" s="197">
        <f t="shared" si="6"/>
        <v>526.84521600000016</v>
      </c>
      <c r="CG23" s="197">
        <f t="shared" si="7"/>
        <v>702.79521599999998</v>
      </c>
      <c r="CH23" s="196">
        <f t="shared" si="40"/>
        <v>358.72791673865186</v>
      </c>
      <c r="CI23" s="197">
        <f t="shared" si="41"/>
        <v>75.461939100463141</v>
      </c>
      <c r="CJ23" s="197">
        <f t="shared" si="42"/>
        <v>132.7730340721991</v>
      </c>
      <c r="CK23" s="197">
        <f t="shared" si="43"/>
        <v>225.95488266645276</v>
      </c>
      <c r="CL23" s="199">
        <f t="shared" si="44"/>
        <v>301.4168217669158</v>
      </c>
      <c r="CM23" s="196">
        <f t="shared" si="68"/>
        <v>5852.8145387092372</v>
      </c>
      <c r="CN23" s="197">
        <f t="shared" si="45"/>
        <v>1432.0507612442098</v>
      </c>
      <c r="CO23" s="197">
        <f t="shared" si="46"/>
        <v>8384.8352133787175</v>
      </c>
      <c r="CP23" s="197">
        <f t="shared" si="47"/>
        <v>-2532.0206746694803</v>
      </c>
      <c r="CQ23" s="199">
        <f t="shared" si="48"/>
        <v>-1099.969913425271</v>
      </c>
      <c r="CR23" s="197"/>
      <c r="CT23" s="204">
        <f t="shared" si="69"/>
        <v>12</v>
      </c>
      <c r="CU23" s="225">
        <f>'Energy NPV'!$D76</f>
        <v>11.617000000000001</v>
      </c>
      <c r="CV23" s="197">
        <f>'Energy margins'!$S$12</f>
        <v>72</v>
      </c>
      <c r="CW23" s="197">
        <f t="shared" si="49"/>
        <v>836.42400000000009</v>
      </c>
      <c r="CX23" s="197">
        <f>'Margins summary'!$U$14</f>
        <v>175.95</v>
      </c>
      <c r="CY23" s="197">
        <f t="shared" si="50"/>
        <v>1012.374</v>
      </c>
      <c r="CZ23" s="197"/>
      <c r="DA23" s="918">
        <f>'Energy NPV'!U76</f>
        <v>309.57878399999998</v>
      </c>
      <c r="DB23" s="197"/>
      <c r="DC23" s="197">
        <f t="shared" si="51"/>
        <v>309.57878399999998</v>
      </c>
      <c r="DD23" s="197">
        <f t="shared" si="8"/>
        <v>526.84521600000016</v>
      </c>
      <c r="DE23" s="197">
        <f t="shared" si="9"/>
        <v>702.79521599999998</v>
      </c>
      <c r="DF23" s="196">
        <f t="shared" si="52"/>
        <v>836.42400000000009</v>
      </c>
      <c r="DG23" s="197">
        <f t="shared" si="53"/>
        <v>175.95</v>
      </c>
      <c r="DH23" s="197">
        <f t="shared" si="54"/>
        <v>309.57878399999998</v>
      </c>
      <c r="DI23" s="197">
        <f t="shared" si="55"/>
        <v>526.84521600000016</v>
      </c>
      <c r="DJ23" s="199">
        <f t="shared" si="56"/>
        <v>702.79521599999998</v>
      </c>
      <c r="DK23" s="196">
        <f t="shared" si="70"/>
        <v>9057.3360000000011</v>
      </c>
      <c r="DL23" s="197">
        <f t="shared" si="57"/>
        <v>2111.4</v>
      </c>
      <c r="DM23" s="197">
        <f t="shared" si="58"/>
        <v>9619.560607999998</v>
      </c>
      <c r="DN23" s="197">
        <f t="shared" si="59"/>
        <v>-562.22460799999908</v>
      </c>
      <c r="DO23" s="199">
        <f t="shared" si="60"/>
        <v>1549.1753920000006</v>
      </c>
    </row>
    <row r="24" spans="2:119" x14ac:dyDescent="0.3">
      <c r="B24" s="204">
        <f t="shared" si="61"/>
        <v>13</v>
      </c>
      <c r="C24" s="197">
        <f>'Energy NPV'!$D77</f>
        <v>11.617000000000001</v>
      </c>
      <c r="D24" s="197">
        <f>'Energy margins'!$S$12</f>
        <v>72</v>
      </c>
      <c r="E24" s="197">
        <f t="shared" si="10"/>
        <v>836.42400000000009</v>
      </c>
      <c r="F24" s="197">
        <f>'Margins summary'!$U$14</f>
        <v>175.95</v>
      </c>
      <c r="G24" s="197">
        <f t="shared" si="11"/>
        <v>1012.374</v>
      </c>
      <c r="H24" s="197"/>
      <c r="I24" s="918">
        <f>'Energy NPV'!U77</f>
        <v>309.57878399999998</v>
      </c>
      <c r="J24" s="197"/>
      <c r="K24" s="197">
        <f t="shared" si="12"/>
        <v>309.57878399999998</v>
      </c>
      <c r="L24" s="197">
        <f t="shared" si="0"/>
        <v>526.84521600000016</v>
      </c>
      <c r="M24" s="197">
        <f t="shared" si="1"/>
        <v>702.79521599999998</v>
      </c>
      <c r="N24" s="196">
        <f t="shared" si="13"/>
        <v>522.42796259795648</v>
      </c>
      <c r="O24" s="197">
        <f t="shared" si="14"/>
        <v>109.89785087361246</v>
      </c>
      <c r="P24" s="197">
        <f t="shared" si="15"/>
        <v>193.36199509898427</v>
      </c>
      <c r="Q24" s="197">
        <f t="shared" si="16"/>
        <v>329.06596749897221</v>
      </c>
      <c r="R24" s="199">
        <f t="shared" si="17"/>
        <v>438.96381837258457</v>
      </c>
      <c r="S24" s="196">
        <f t="shared" si="62"/>
        <v>7719.5914084238611</v>
      </c>
      <c r="T24" s="197">
        <f t="shared" si="18"/>
        <v>1827.2537281596867</v>
      </c>
      <c r="U24" s="197">
        <f t="shared" si="18"/>
        <v>9098.8909106674018</v>
      </c>
      <c r="V24" s="197">
        <f t="shared" si="18"/>
        <v>-1379.2995022435405</v>
      </c>
      <c r="W24" s="199">
        <f t="shared" si="18"/>
        <v>447.95422591614664</v>
      </c>
      <c r="X24" s="197"/>
      <c r="Z24" s="204">
        <f t="shared" si="63"/>
        <v>13</v>
      </c>
      <c r="AA24" s="225">
        <f>'Energy NPV'!$D77</f>
        <v>11.617000000000001</v>
      </c>
      <c r="AB24" s="197">
        <f>'Energy margins'!$S$12</f>
        <v>72</v>
      </c>
      <c r="AC24" s="197">
        <f t="shared" si="19"/>
        <v>836.42400000000009</v>
      </c>
      <c r="AD24" s="197">
        <f>'Margins summary'!$U$14</f>
        <v>175.95</v>
      </c>
      <c r="AE24" s="197">
        <f t="shared" si="20"/>
        <v>1012.374</v>
      </c>
      <c r="AF24" s="197"/>
      <c r="AG24" s="918">
        <f>'Energy NPV'!U77</f>
        <v>309.57878399999998</v>
      </c>
      <c r="AH24" s="197"/>
      <c r="AI24" s="197">
        <f t="shared" si="21"/>
        <v>309.57878399999998</v>
      </c>
      <c r="AJ24" s="197">
        <f t="shared" si="2"/>
        <v>526.84521600000016</v>
      </c>
      <c r="AK24" s="197">
        <f t="shared" si="3"/>
        <v>702.79521599999998</v>
      </c>
      <c r="AL24" s="196">
        <f t="shared" si="22"/>
        <v>415.67710296052911</v>
      </c>
      <c r="AM24" s="197">
        <f t="shared" si="23"/>
        <v>87.441759521373228</v>
      </c>
      <c r="AN24" s="197">
        <f t="shared" si="24"/>
        <v>153.85117126142168</v>
      </c>
      <c r="AO24" s="197">
        <f t="shared" si="25"/>
        <v>261.82593169910746</v>
      </c>
      <c r="AP24" s="199">
        <f t="shared" si="26"/>
        <v>349.26769122048057</v>
      </c>
      <c r="AQ24" s="196">
        <f t="shared" si="64"/>
        <v>6888.2285047102923</v>
      </c>
      <c r="AR24" s="197">
        <f t="shared" si="27"/>
        <v>1651.0873413104446</v>
      </c>
      <c r="AS24" s="197">
        <f t="shared" si="27"/>
        <v>8779.3433241131224</v>
      </c>
      <c r="AT24" s="197">
        <f t="shared" si="27"/>
        <v>-1891.1148194028319</v>
      </c>
      <c r="AU24" s="199">
        <f t="shared" si="27"/>
        <v>-240.02747809238741</v>
      </c>
      <c r="AV24" s="197"/>
      <c r="AX24" s="204">
        <f t="shared" si="65"/>
        <v>13</v>
      </c>
      <c r="AY24" s="225">
        <f>'Energy NPV'!$D77</f>
        <v>11.617000000000001</v>
      </c>
      <c r="AZ24" s="197">
        <f>'Energy margins'!$S$12</f>
        <v>72</v>
      </c>
      <c r="BA24" s="197">
        <f t="shared" si="28"/>
        <v>836.42400000000009</v>
      </c>
      <c r="BB24" s="197">
        <f>'Margins summary'!$U$14</f>
        <v>175.95</v>
      </c>
      <c r="BC24" s="197">
        <f t="shared" si="29"/>
        <v>1012.374</v>
      </c>
      <c r="BD24" s="197"/>
      <c r="BE24" s="918">
        <f>'Energy NPV'!U77</f>
        <v>309.57878399999998</v>
      </c>
      <c r="BF24" s="197"/>
      <c r="BG24" s="197">
        <f t="shared" si="30"/>
        <v>309.57878399999998</v>
      </c>
      <c r="BH24" s="197">
        <f t="shared" si="4"/>
        <v>526.84521600000016</v>
      </c>
      <c r="BI24" s="197">
        <f t="shared" si="5"/>
        <v>702.79521599999998</v>
      </c>
      <c r="BJ24" s="196">
        <f t="shared" si="31"/>
        <v>659.51461589271139</v>
      </c>
      <c r="BK24" s="197">
        <f t="shared" si="32"/>
        <v>138.73537424359245</v>
      </c>
      <c r="BL24" s="197">
        <f t="shared" si="33"/>
        <v>244.10075848886765</v>
      </c>
      <c r="BM24" s="197">
        <f t="shared" si="34"/>
        <v>415.41385740384379</v>
      </c>
      <c r="BN24" s="199">
        <f t="shared" si="35"/>
        <v>554.14923164743607</v>
      </c>
      <c r="BO24" s="196">
        <f t="shared" si="66"/>
        <v>8708.7964487323698</v>
      </c>
      <c r="BP24" s="197">
        <f t="shared" si="36"/>
        <v>2036.6812878203782</v>
      </c>
      <c r="BQ24" s="197">
        <f t="shared" si="36"/>
        <v>9477.4634410252838</v>
      </c>
      <c r="BR24" s="197">
        <f t="shared" si="36"/>
        <v>-768.66699229291271</v>
      </c>
      <c r="BS24" s="199">
        <f t="shared" si="36"/>
        <v>1268.0142955274646</v>
      </c>
      <c r="BT24" s="197"/>
      <c r="BV24" s="204">
        <f t="shared" si="67"/>
        <v>13</v>
      </c>
      <c r="BW24" s="225">
        <f>'Energy NPV'!$D77</f>
        <v>11.617000000000001</v>
      </c>
      <c r="BX24" s="197">
        <f>'Energy margins'!$S$12</f>
        <v>72</v>
      </c>
      <c r="BY24" s="197">
        <f t="shared" si="37"/>
        <v>836.42400000000009</v>
      </c>
      <c r="BZ24" s="197">
        <f>'Margins summary'!$U$14</f>
        <v>175.95</v>
      </c>
      <c r="CA24" s="197">
        <f t="shared" si="38"/>
        <v>1012.374</v>
      </c>
      <c r="CB24" s="197"/>
      <c r="CC24" s="918">
        <f>'Energy NPV'!U77</f>
        <v>309.57878399999998</v>
      </c>
      <c r="CD24" s="197"/>
      <c r="CE24" s="197">
        <f t="shared" si="39"/>
        <v>309.57878399999998</v>
      </c>
      <c r="CF24" s="197">
        <f t="shared" si="6"/>
        <v>526.84521600000016</v>
      </c>
      <c r="CG24" s="197">
        <f t="shared" si="7"/>
        <v>702.79521599999998</v>
      </c>
      <c r="CH24" s="196">
        <f t="shared" si="40"/>
        <v>332.15547846171467</v>
      </c>
      <c r="CI24" s="197">
        <f t="shared" si="41"/>
        <v>69.872165833762153</v>
      </c>
      <c r="CJ24" s="197">
        <f t="shared" si="42"/>
        <v>122.93799451129546</v>
      </c>
      <c r="CK24" s="197">
        <f t="shared" si="43"/>
        <v>209.21748395041919</v>
      </c>
      <c r="CL24" s="199">
        <f t="shared" si="44"/>
        <v>279.08964978418129</v>
      </c>
      <c r="CM24" s="196">
        <f t="shared" si="68"/>
        <v>6184.9700171709519</v>
      </c>
      <c r="CN24" s="197">
        <f t="shared" si="45"/>
        <v>1501.922927077972</v>
      </c>
      <c r="CO24" s="197">
        <f t="shared" si="46"/>
        <v>8507.7732078900135</v>
      </c>
      <c r="CP24" s="197">
        <f t="shared" si="47"/>
        <v>-2322.8031907190611</v>
      </c>
      <c r="CQ24" s="199">
        <f t="shared" si="48"/>
        <v>-820.88026364108964</v>
      </c>
      <c r="CR24" s="197"/>
      <c r="CT24" s="204">
        <f t="shared" si="69"/>
        <v>13</v>
      </c>
      <c r="CU24" s="225">
        <f>'Energy NPV'!$D77</f>
        <v>11.617000000000001</v>
      </c>
      <c r="CV24" s="197">
        <f>'Energy margins'!$S$12</f>
        <v>72</v>
      </c>
      <c r="CW24" s="197">
        <f t="shared" si="49"/>
        <v>836.42400000000009</v>
      </c>
      <c r="CX24" s="197">
        <f>'Margins summary'!$U$14</f>
        <v>175.95</v>
      </c>
      <c r="CY24" s="197">
        <f t="shared" si="50"/>
        <v>1012.374</v>
      </c>
      <c r="CZ24" s="197"/>
      <c r="DA24" s="918">
        <f>'Energy NPV'!U77</f>
        <v>309.57878399999998</v>
      </c>
      <c r="DB24" s="197"/>
      <c r="DC24" s="197">
        <f t="shared" si="51"/>
        <v>309.57878399999998</v>
      </c>
      <c r="DD24" s="197">
        <f t="shared" si="8"/>
        <v>526.84521600000016</v>
      </c>
      <c r="DE24" s="197">
        <f t="shared" si="9"/>
        <v>702.79521599999998</v>
      </c>
      <c r="DF24" s="196">
        <f t="shared" si="52"/>
        <v>836.42400000000009</v>
      </c>
      <c r="DG24" s="197">
        <f t="shared" si="53"/>
        <v>175.95</v>
      </c>
      <c r="DH24" s="197">
        <f t="shared" si="54"/>
        <v>309.57878399999998</v>
      </c>
      <c r="DI24" s="197">
        <f t="shared" si="55"/>
        <v>526.84521600000016</v>
      </c>
      <c r="DJ24" s="199">
        <f t="shared" si="56"/>
        <v>702.79521599999998</v>
      </c>
      <c r="DK24" s="196">
        <f t="shared" si="70"/>
        <v>9893.760000000002</v>
      </c>
      <c r="DL24" s="197">
        <f t="shared" si="57"/>
        <v>2287.35</v>
      </c>
      <c r="DM24" s="197">
        <f t="shared" si="58"/>
        <v>9929.1393919999973</v>
      </c>
      <c r="DN24" s="197">
        <f t="shared" si="59"/>
        <v>-35.379391999998916</v>
      </c>
      <c r="DO24" s="199">
        <f t="shared" si="60"/>
        <v>2251.9706080000005</v>
      </c>
    </row>
    <row r="25" spans="2:119" x14ac:dyDescent="0.3">
      <c r="B25" s="204">
        <f t="shared" si="61"/>
        <v>14</v>
      </c>
      <c r="C25" s="197">
        <f>'Energy NPV'!$D78</f>
        <v>11.617000000000001</v>
      </c>
      <c r="D25" s="197">
        <f>'Energy margins'!$S$12</f>
        <v>72</v>
      </c>
      <c r="E25" s="197">
        <f t="shared" si="10"/>
        <v>836.42400000000009</v>
      </c>
      <c r="F25" s="197">
        <f>'Margins summary'!$U$14</f>
        <v>175.95</v>
      </c>
      <c r="G25" s="197">
        <f t="shared" si="11"/>
        <v>1012.374</v>
      </c>
      <c r="H25" s="197"/>
      <c r="I25" s="918">
        <f>'Energy NPV'!U78</f>
        <v>309.57878399999998</v>
      </c>
      <c r="J25" s="197"/>
      <c r="K25" s="197">
        <f t="shared" si="12"/>
        <v>309.57878399999998</v>
      </c>
      <c r="L25" s="197">
        <f t="shared" si="0"/>
        <v>526.84521600000016</v>
      </c>
      <c r="M25" s="197">
        <f t="shared" si="1"/>
        <v>702.79521599999998</v>
      </c>
      <c r="N25" s="196">
        <f t="shared" si="13"/>
        <v>502.33457942111198</v>
      </c>
      <c r="O25" s="197">
        <f t="shared" si="14"/>
        <v>105.67101045539658</v>
      </c>
      <c r="P25" s="197">
        <f t="shared" si="15"/>
        <v>185.92499528748488</v>
      </c>
      <c r="Q25" s="197">
        <f t="shared" si="16"/>
        <v>316.40958413362716</v>
      </c>
      <c r="R25" s="199">
        <f t="shared" si="17"/>
        <v>422.08059458902363</v>
      </c>
      <c r="S25" s="196">
        <f t="shared" si="62"/>
        <v>8221.9259878449739</v>
      </c>
      <c r="T25" s="197">
        <f t="shared" si="18"/>
        <v>1932.9247386150832</v>
      </c>
      <c r="U25" s="197">
        <f t="shared" si="18"/>
        <v>9284.8159059548871</v>
      </c>
      <c r="V25" s="197">
        <f t="shared" si="18"/>
        <v>-1062.8899181099132</v>
      </c>
      <c r="W25" s="199">
        <f t="shared" si="18"/>
        <v>870.03482050517027</v>
      </c>
      <c r="X25" s="197"/>
      <c r="Z25" s="204">
        <f t="shared" si="63"/>
        <v>14</v>
      </c>
      <c r="AA25" s="225">
        <f>'Energy NPV'!$D78</f>
        <v>11.617000000000001</v>
      </c>
      <c r="AB25" s="197">
        <f>'Energy margins'!$S$12</f>
        <v>72</v>
      </c>
      <c r="AC25" s="197">
        <f t="shared" si="19"/>
        <v>836.42400000000009</v>
      </c>
      <c r="AD25" s="197">
        <f>'Margins summary'!$U$14</f>
        <v>175.95</v>
      </c>
      <c r="AE25" s="197">
        <f t="shared" si="20"/>
        <v>1012.374</v>
      </c>
      <c r="AF25" s="197"/>
      <c r="AG25" s="918">
        <f>'Energy NPV'!U78</f>
        <v>309.57878399999998</v>
      </c>
      <c r="AH25" s="197"/>
      <c r="AI25" s="197">
        <f t="shared" si="21"/>
        <v>309.57878399999998</v>
      </c>
      <c r="AJ25" s="197">
        <f t="shared" si="2"/>
        <v>526.84521600000016</v>
      </c>
      <c r="AK25" s="197">
        <f t="shared" si="3"/>
        <v>702.79521599999998</v>
      </c>
      <c r="AL25" s="196">
        <f t="shared" si="22"/>
        <v>392.14821034012175</v>
      </c>
      <c r="AM25" s="197">
        <f t="shared" si="23"/>
        <v>82.492225963559648</v>
      </c>
      <c r="AN25" s="197">
        <f t="shared" si="24"/>
        <v>145.14261439756763</v>
      </c>
      <c r="AO25" s="197">
        <f t="shared" si="25"/>
        <v>247.00559594255415</v>
      </c>
      <c r="AP25" s="199">
        <f t="shared" si="26"/>
        <v>329.49782190611376</v>
      </c>
      <c r="AQ25" s="196">
        <f t="shared" si="64"/>
        <v>7280.3767150504136</v>
      </c>
      <c r="AR25" s="197">
        <f t="shared" si="27"/>
        <v>1733.5795672740041</v>
      </c>
      <c r="AS25" s="197">
        <f t="shared" si="27"/>
        <v>8924.4859385106902</v>
      </c>
      <c r="AT25" s="197">
        <f t="shared" si="27"/>
        <v>-1644.1092234602777</v>
      </c>
      <c r="AU25" s="199">
        <f t="shared" si="27"/>
        <v>89.470343813726345</v>
      </c>
      <c r="AV25" s="197"/>
      <c r="AX25" s="204">
        <f t="shared" si="65"/>
        <v>14</v>
      </c>
      <c r="AY25" s="225">
        <f>'Energy NPV'!$D78</f>
        <v>11.617000000000001</v>
      </c>
      <c r="AZ25" s="197">
        <f>'Energy margins'!$S$12</f>
        <v>72</v>
      </c>
      <c r="BA25" s="197">
        <f t="shared" si="28"/>
        <v>836.42400000000009</v>
      </c>
      <c r="BB25" s="197">
        <f>'Margins summary'!$U$14</f>
        <v>175.95</v>
      </c>
      <c r="BC25" s="197">
        <f t="shared" si="29"/>
        <v>1012.374</v>
      </c>
      <c r="BD25" s="197"/>
      <c r="BE25" s="918">
        <f>'Energy NPV'!U78</f>
        <v>309.57878399999998</v>
      </c>
      <c r="BF25" s="197"/>
      <c r="BG25" s="197">
        <f t="shared" si="30"/>
        <v>309.57878399999998</v>
      </c>
      <c r="BH25" s="197">
        <f t="shared" si="4"/>
        <v>526.84521600000016</v>
      </c>
      <c r="BI25" s="197">
        <f t="shared" si="5"/>
        <v>702.79521599999998</v>
      </c>
      <c r="BJ25" s="196">
        <f t="shared" si="31"/>
        <v>646.58295675756028</v>
      </c>
      <c r="BK25" s="197">
        <f t="shared" si="32"/>
        <v>136.01507278783572</v>
      </c>
      <c r="BL25" s="197">
        <f t="shared" si="33"/>
        <v>239.31446910673301</v>
      </c>
      <c r="BM25" s="197">
        <f t="shared" si="34"/>
        <v>407.2684876508273</v>
      </c>
      <c r="BN25" s="199">
        <f t="shared" si="35"/>
        <v>543.2835604386629</v>
      </c>
      <c r="BO25" s="196">
        <f t="shared" si="66"/>
        <v>9355.3794054899299</v>
      </c>
      <c r="BP25" s="197">
        <f t="shared" si="36"/>
        <v>2172.696360608214</v>
      </c>
      <c r="BQ25" s="197">
        <f t="shared" si="36"/>
        <v>9716.7779101320175</v>
      </c>
      <c r="BR25" s="197">
        <f t="shared" si="36"/>
        <v>-361.39850464208541</v>
      </c>
      <c r="BS25" s="199">
        <f t="shared" si="36"/>
        <v>1811.2978559661274</v>
      </c>
      <c r="BT25" s="197"/>
      <c r="BV25" s="204">
        <f t="shared" si="67"/>
        <v>14</v>
      </c>
      <c r="BW25" s="225">
        <f>'Energy NPV'!$D78</f>
        <v>11.617000000000001</v>
      </c>
      <c r="BX25" s="197">
        <f>'Energy margins'!$S$12</f>
        <v>72</v>
      </c>
      <c r="BY25" s="197">
        <f t="shared" si="37"/>
        <v>836.42400000000009</v>
      </c>
      <c r="BZ25" s="197">
        <f>'Margins summary'!$U$14</f>
        <v>175.95</v>
      </c>
      <c r="CA25" s="197">
        <f t="shared" si="38"/>
        <v>1012.374</v>
      </c>
      <c r="CB25" s="197"/>
      <c r="CC25" s="918">
        <f>'Energy NPV'!U78</f>
        <v>309.57878399999998</v>
      </c>
      <c r="CD25" s="197"/>
      <c r="CE25" s="197">
        <f t="shared" si="39"/>
        <v>309.57878399999998</v>
      </c>
      <c r="CF25" s="197">
        <f t="shared" si="6"/>
        <v>526.84521600000016</v>
      </c>
      <c r="CG25" s="197">
        <f t="shared" si="7"/>
        <v>702.79521599999998</v>
      </c>
      <c r="CH25" s="196">
        <f t="shared" si="40"/>
        <v>307.55136894603208</v>
      </c>
      <c r="CI25" s="197">
        <f t="shared" si="41"/>
        <v>64.696449846076078</v>
      </c>
      <c r="CJ25" s="197">
        <f t="shared" si="42"/>
        <v>113.83147639934765</v>
      </c>
      <c r="CK25" s="197">
        <f t="shared" si="43"/>
        <v>193.71989254668443</v>
      </c>
      <c r="CL25" s="199">
        <f t="shared" si="44"/>
        <v>258.41634239276044</v>
      </c>
      <c r="CM25" s="196">
        <f t="shared" si="68"/>
        <v>6492.5213861169841</v>
      </c>
      <c r="CN25" s="197">
        <f t="shared" si="45"/>
        <v>1566.6193769240481</v>
      </c>
      <c r="CO25" s="197">
        <f t="shared" si="46"/>
        <v>8621.6046842893611</v>
      </c>
      <c r="CP25" s="197">
        <f t="shared" si="47"/>
        <v>-2129.0832981723765</v>
      </c>
      <c r="CQ25" s="199">
        <f t="shared" si="48"/>
        <v>-562.46392124832914</v>
      </c>
      <c r="CR25" s="197"/>
      <c r="CT25" s="204">
        <f t="shared" si="69"/>
        <v>14</v>
      </c>
      <c r="CU25" s="225">
        <f>'Energy NPV'!$D78</f>
        <v>11.617000000000001</v>
      </c>
      <c r="CV25" s="197">
        <f>'Energy margins'!$S$12</f>
        <v>72</v>
      </c>
      <c r="CW25" s="197">
        <f t="shared" si="49"/>
        <v>836.42400000000009</v>
      </c>
      <c r="CX25" s="197">
        <f>'Margins summary'!$U$14</f>
        <v>175.95</v>
      </c>
      <c r="CY25" s="197">
        <f t="shared" si="50"/>
        <v>1012.374</v>
      </c>
      <c r="CZ25" s="197"/>
      <c r="DA25" s="918">
        <f>'Energy NPV'!U78</f>
        <v>309.57878399999998</v>
      </c>
      <c r="DB25" s="197"/>
      <c r="DC25" s="197">
        <f t="shared" si="51"/>
        <v>309.57878399999998</v>
      </c>
      <c r="DD25" s="197">
        <f t="shared" si="8"/>
        <v>526.84521600000016</v>
      </c>
      <c r="DE25" s="197">
        <f t="shared" si="9"/>
        <v>702.79521599999998</v>
      </c>
      <c r="DF25" s="196">
        <f t="shared" si="52"/>
        <v>836.42400000000009</v>
      </c>
      <c r="DG25" s="197">
        <f t="shared" si="53"/>
        <v>175.95</v>
      </c>
      <c r="DH25" s="197">
        <f t="shared" si="54"/>
        <v>309.57878399999998</v>
      </c>
      <c r="DI25" s="197">
        <f t="shared" si="55"/>
        <v>526.84521600000016</v>
      </c>
      <c r="DJ25" s="199">
        <f t="shared" si="56"/>
        <v>702.79521599999998</v>
      </c>
      <c r="DK25" s="196">
        <f t="shared" si="70"/>
        <v>10730.184000000003</v>
      </c>
      <c r="DL25" s="197">
        <f t="shared" si="57"/>
        <v>2463.2999999999997</v>
      </c>
      <c r="DM25" s="197">
        <f t="shared" si="58"/>
        <v>10238.718175999997</v>
      </c>
      <c r="DN25" s="197">
        <f t="shared" si="59"/>
        <v>491.46582400000125</v>
      </c>
      <c r="DO25" s="199">
        <f t="shared" si="60"/>
        <v>2954.7658240000005</v>
      </c>
    </row>
    <row r="26" spans="2:119" x14ac:dyDescent="0.3">
      <c r="B26" s="204">
        <f t="shared" si="61"/>
        <v>15</v>
      </c>
      <c r="C26" s="197">
        <f>'Energy NPV'!$D79</f>
        <v>11.617000000000001</v>
      </c>
      <c r="D26" s="197">
        <f>'Energy margins'!$S$12</f>
        <v>72</v>
      </c>
      <c r="E26" s="197">
        <f t="shared" si="10"/>
        <v>836.42400000000009</v>
      </c>
      <c r="F26" s="197">
        <f>'Margins summary'!$U$14</f>
        <v>175.95</v>
      </c>
      <c r="G26" s="197">
        <f t="shared" si="11"/>
        <v>1012.374</v>
      </c>
      <c r="H26" s="197"/>
      <c r="I26" s="918">
        <f>'Energy NPV'!U79</f>
        <v>309.57878399999998</v>
      </c>
      <c r="J26" s="197"/>
      <c r="K26" s="197">
        <f t="shared" si="12"/>
        <v>309.57878399999998</v>
      </c>
      <c r="L26" s="197">
        <f t="shared" si="0"/>
        <v>526.84521600000016</v>
      </c>
      <c r="M26" s="197">
        <f t="shared" si="1"/>
        <v>702.79521599999998</v>
      </c>
      <c r="N26" s="196">
        <f t="shared" si="13"/>
        <v>483.01401867414614</v>
      </c>
      <c r="O26" s="197">
        <f t="shared" si="14"/>
        <v>101.60674082249672</v>
      </c>
      <c r="P26" s="197">
        <f t="shared" si="15"/>
        <v>178.7740339302739</v>
      </c>
      <c r="Q26" s="197">
        <f t="shared" si="16"/>
        <v>304.23998474387224</v>
      </c>
      <c r="R26" s="199">
        <f t="shared" si="17"/>
        <v>405.84672556636889</v>
      </c>
      <c r="S26" s="196">
        <f t="shared" si="62"/>
        <v>8704.9400065191203</v>
      </c>
      <c r="T26" s="197">
        <f t="shared" si="18"/>
        <v>2034.5314794375799</v>
      </c>
      <c r="U26" s="197">
        <f t="shared" si="18"/>
        <v>9463.5899398851616</v>
      </c>
      <c r="V26" s="197">
        <f t="shared" si="18"/>
        <v>-758.64993336604095</v>
      </c>
      <c r="W26" s="199">
        <f t="shared" si="18"/>
        <v>1275.8815460715391</v>
      </c>
      <c r="X26" s="197"/>
      <c r="Z26" s="204">
        <f t="shared" si="63"/>
        <v>15</v>
      </c>
      <c r="AA26" s="225">
        <f>'Energy NPV'!$D79</f>
        <v>11.617000000000001</v>
      </c>
      <c r="AB26" s="197">
        <f>'Energy margins'!$S$12</f>
        <v>72</v>
      </c>
      <c r="AC26" s="197">
        <f t="shared" si="19"/>
        <v>836.42400000000009</v>
      </c>
      <c r="AD26" s="197">
        <f>'Margins summary'!$U$14</f>
        <v>175.95</v>
      </c>
      <c r="AE26" s="197">
        <f t="shared" si="20"/>
        <v>1012.374</v>
      </c>
      <c r="AF26" s="197"/>
      <c r="AG26" s="918">
        <f>'Energy NPV'!U79</f>
        <v>309.57878399999998</v>
      </c>
      <c r="AH26" s="197"/>
      <c r="AI26" s="197">
        <f t="shared" si="21"/>
        <v>309.57878399999998</v>
      </c>
      <c r="AJ26" s="197">
        <f t="shared" si="2"/>
        <v>526.84521600000016</v>
      </c>
      <c r="AK26" s="197">
        <f t="shared" si="3"/>
        <v>702.79521599999998</v>
      </c>
      <c r="AL26" s="196">
        <f t="shared" si="22"/>
        <v>369.95114183030358</v>
      </c>
      <c r="AM26" s="197">
        <f t="shared" si="23"/>
        <v>77.822854682603449</v>
      </c>
      <c r="AN26" s="197">
        <f t="shared" si="24"/>
        <v>136.92699471468646</v>
      </c>
      <c r="AO26" s="197">
        <f t="shared" si="25"/>
        <v>233.02414711561715</v>
      </c>
      <c r="AP26" s="199">
        <f t="shared" si="26"/>
        <v>310.8470017982205</v>
      </c>
      <c r="AQ26" s="196">
        <f t="shared" si="64"/>
        <v>7650.3278568807173</v>
      </c>
      <c r="AR26" s="197">
        <f t="shared" si="27"/>
        <v>1811.4024219566077</v>
      </c>
      <c r="AS26" s="197">
        <f t="shared" si="27"/>
        <v>9061.412933225376</v>
      </c>
      <c r="AT26" s="197">
        <f t="shared" si="27"/>
        <v>-1411.0850763446606</v>
      </c>
      <c r="AU26" s="199">
        <f t="shared" si="27"/>
        <v>400.31734561194685</v>
      </c>
      <c r="AV26" s="197"/>
      <c r="AX26" s="204">
        <f t="shared" si="65"/>
        <v>15</v>
      </c>
      <c r="AY26" s="225">
        <f>'Energy NPV'!$D79</f>
        <v>11.617000000000001</v>
      </c>
      <c r="AZ26" s="197">
        <f>'Energy margins'!$S$12</f>
        <v>72</v>
      </c>
      <c r="BA26" s="197">
        <f t="shared" si="28"/>
        <v>836.42400000000009</v>
      </c>
      <c r="BB26" s="197">
        <f>'Margins summary'!$U$14</f>
        <v>175.95</v>
      </c>
      <c r="BC26" s="197">
        <f t="shared" si="29"/>
        <v>1012.374</v>
      </c>
      <c r="BD26" s="197"/>
      <c r="BE26" s="918">
        <f>'Energy NPV'!U79</f>
        <v>309.57878399999998</v>
      </c>
      <c r="BF26" s="197"/>
      <c r="BG26" s="197">
        <f t="shared" si="30"/>
        <v>309.57878399999998</v>
      </c>
      <c r="BH26" s="197">
        <f t="shared" si="4"/>
        <v>526.84521600000016</v>
      </c>
      <c r="BI26" s="197">
        <f t="shared" si="5"/>
        <v>702.79521599999998</v>
      </c>
      <c r="BJ26" s="196">
        <f t="shared" si="31"/>
        <v>633.90485956623547</v>
      </c>
      <c r="BK26" s="197">
        <f t="shared" si="32"/>
        <v>133.34811057630952</v>
      </c>
      <c r="BL26" s="197">
        <f t="shared" si="33"/>
        <v>234.62202853601275</v>
      </c>
      <c r="BM26" s="197">
        <f t="shared" si="34"/>
        <v>399.28283103022278</v>
      </c>
      <c r="BN26" s="199">
        <f t="shared" si="35"/>
        <v>532.63094160653225</v>
      </c>
      <c r="BO26" s="196">
        <f t="shared" si="66"/>
        <v>9989.2842650561652</v>
      </c>
      <c r="BP26" s="197">
        <f t="shared" si="36"/>
        <v>2306.0444711845234</v>
      </c>
      <c r="BQ26" s="197">
        <f t="shared" si="36"/>
        <v>9951.3999386680298</v>
      </c>
      <c r="BR26" s="197">
        <f t="shared" si="36"/>
        <v>37.884326388137367</v>
      </c>
      <c r="BS26" s="199">
        <f t="shared" si="36"/>
        <v>2343.9287975726597</v>
      </c>
      <c r="BT26" s="197"/>
      <c r="BV26" s="204">
        <f t="shared" si="67"/>
        <v>15</v>
      </c>
      <c r="BW26" s="225">
        <f>'Energy NPV'!$D79</f>
        <v>11.617000000000001</v>
      </c>
      <c r="BX26" s="197">
        <f>'Energy margins'!$S$12</f>
        <v>72</v>
      </c>
      <c r="BY26" s="197">
        <f t="shared" si="37"/>
        <v>836.42400000000009</v>
      </c>
      <c r="BZ26" s="197">
        <f>'Margins summary'!$U$14</f>
        <v>175.95</v>
      </c>
      <c r="CA26" s="197">
        <f t="shared" si="38"/>
        <v>1012.374</v>
      </c>
      <c r="CB26" s="197"/>
      <c r="CC26" s="918">
        <f>'Energy NPV'!U79</f>
        <v>309.57878399999998</v>
      </c>
      <c r="CD26" s="197"/>
      <c r="CE26" s="197">
        <f t="shared" si="39"/>
        <v>309.57878399999998</v>
      </c>
      <c r="CF26" s="197">
        <f t="shared" si="6"/>
        <v>526.84521600000016</v>
      </c>
      <c r="CG26" s="197">
        <f t="shared" si="7"/>
        <v>702.79521599999998</v>
      </c>
      <c r="CH26" s="196">
        <f t="shared" si="40"/>
        <v>284.76978606114074</v>
      </c>
      <c r="CI26" s="197">
        <f t="shared" si="41"/>
        <v>59.904120227848203</v>
      </c>
      <c r="CJ26" s="197">
        <f t="shared" si="42"/>
        <v>105.39951518458113</v>
      </c>
      <c r="CK26" s="197">
        <f t="shared" si="43"/>
        <v>179.37027087655963</v>
      </c>
      <c r="CL26" s="199">
        <f t="shared" si="44"/>
        <v>239.27439110440778</v>
      </c>
      <c r="CM26" s="196">
        <f t="shared" si="68"/>
        <v>6777.2911721781247</v>
      </c>
      <c r="CN26" s="197">
        <f t="shared" si="45"/>
        <v>1626.5234971518962</v>
      </c>
      <c r="CO26" s="197">
        <f t="shared" si="46"/>
        <v>8727.0041994739422</v>
      </c>
      <c r="CP26" s="197">
        <f t="shared" si="47"/>
        <v>-1949.713027295817</v>
      </c>
      <c r="CQ26" s="199">
        <f t="shared" si="48"/>
        <v>-323.18953014392139</v>
      </c>
      <c r="CR26" s="197"/>
      <c r="CT26" s="204">
        <f t="shared" si="69"/>
        <v>15</v>
      </c>
      <c r="CU26" s="225">
        <f>'Energy NPV'!$D79</f>
        <v>11.617000000000001</v>
      </c>
      <c r="CV26" s="197">
        <f>'Energy margins'!$S$12</f>
        <v>72</v>
      </c>
      <c r="CW26" s="197">
        <f t="shared" si="49"/>
        <v>836.42400000000009</v>
      </c>
      <c r="CX26" s="197">
        <f>'Margins summary'!$U$14</f>
        <v>175.95</v>
      </c>
      <c r="CY26" s="197">
        <f t="shared" si="50"/>
        <v>1012.374</v>
      </c>
      <c r="CZ26" s="197"/>
      <c r="DA26" s="918">
        <f>'Energy NPV'!U79</f>
        <v>309.57878399999998</v>
      </c>
      <c r="DB26" s="197"/>
      <c r="DC26" s="197">
        <f t="shared" si="51"/>
        <v>309.57878399999998</v>
      </c>
      <c r="DD26" s="197">
        <f t="shared" si="8"/>
        <v>526.84521600000016</v>
      </c>
      <c r="DE26" s="197">
        <f t="shared" si="9"/>
        <v>702.79521599999998</v>
      </c>
      <c r="DF26" s="196">
        <f t="shared" si="52"/>
        <v>836.42400000000009</v>
      </c>
      <c r="DG26" s="197">
        <f t="shared" si="53"/>
        <v>175.95</v>
      </c>
      <c r="DH26" s="197">
        <f t="shared" si="54"/>
        <v>309.57878399999998</v>
      </c>
      <c r="DI26" s="197">
        <f t="shared" si="55"/>
        <v>526.84521600000016</v>
      </c>
      <c r="DJ26" s="199">
        <f t="shared" si="56"/>
        <v>702.79521599999998</v>
      </c>
      <c r="DK26" s="196">
        <f t="shared" si="70"/>
        <v>11566.608000000004</v>
      </c>
      <c r="DL26" s="197">
        <f t="shared" si="57"/>
        <v>2639.2499999999995</v>
      </c>
      <c r="DM26" s="197">
        <f t="shared" si="58"/>
        <v>10548.296959999996</v>
      </c>
      <c r="DN26" s="197">
        <f t="shared" si="59"/>
        <v>1018.3110400000014</v>
      </c>
      <c r="DO26" s="199">
        <f t="shared" si="60"/>
        <v>3657.5610400000005</v>
      </c>
    </row>
    <row r="27" spans="2:119" x14ac:dyDescent="0.3">
      <c r="B27" s="206">
        <f t="shared" si="61"/>
        <v>16</v>
      </c>
      <c r="C27" s="207">
        <f>'Energy NPV'!$D80</f>
        <v>11.617000000000001</v>
      </c>
      <c r="D27" s="207">
        <f>'Energy margins'!$S$12</f>
        <v>72</v>
      </c>
      <c r="E27" s="207">
        <f t="shared" si="10"/>
        <v>836.42400000000009</v>
      </c>
      <c r="F27" s="207">
        <f>'Margins summary'!$U$14</f>
        <v>175.95</v>
      </c>
      <c r="G27" s="207">
        <f t="shared" si="11"/>
        <v>1012.374</v>
      </c>
      <c r="H27" s="207"/>
      <c r="I27" s="919">
        <f>'Energy NPV'!U80</f>
        <v>196.57878399999998</v>
      </c>
      <c r="J27" s="207">
        <f>'Energy margins'!$X$67</f>
        <v>192.1</v>
      </c>
      <c r="K27" s="207">
        <f t="shared" si="12"/>
        <v>388.67878399999995</v>
      </c>
      <c r="L27" s="207">
        <f t="shared" si="0"/>
        <v>447.74521600000014</v>
      </c>
      <c r="M27" s="207">
        <f t="shared" si="1"/>
        <v>623.69521600000007</v>
      </c>
      <c r="N27" s="208">
        <f t="shared" si="13"/>
        <v>464.43655641744823</v>
      </c>
      <c r="O27" s="207">
        <f t="shared" si="14"/>
        <v>97.698789252400701</v>
      </c>
      <c r="P27" s="207">
        <f t="shared" si="15"/>
        <v>215.81953171296033</v>
      </c>
      <c r="Q27" s="207">
        <f t="shared" si="16"/>
        <v>248.6170247044879</v>
      </c>
      <c r="R27" s="209">
        <f>M27/((1+$B$4)^(B27-1))</f>
        <v>346.31581395688858</v>
      </c>
      <c r="S27" s="208">
        <f t="shared" si="62"/>
        <v>9169.376562936568</v>
      </c>
      <c r="T27" s="207">
        <f t="shared" si="18"/>
        <v>2132.2302686899807</v>
      </c>
      <c r="U27" s="207">
        <f t="shared" si="18"/>
        <v>9679.4094715981228</v>
      </c>
      <c r="V27" s="207">
        <f t="shared" si="18"/>
        <v>-510.03290866155305</v>
      </c>
      <c r="W27" s="209">
        <f t="shared" si="18"/>
        <v>1622.1973600284277</v>
      </c>
      <c r="X27" s="197"/>
      <c r="Z27" s="206">
        <f t="shared" si="63"/>
        <v>16</v>
      </c>
      <c r="AA27" s="226">
        <f>'Energy NPV'!$D80</f>
        <v>11.617000000000001</v>
      </c>
      <c r="AB27" s="207">
        <f>'Energy margins'!$S$12</f>
        <v>72</v>
      </c>
      <c r="AC27" s="207">
        <f>AA27*AB27</f>
        <v>836.42400000000009</v>
      </c>
      <c r="AD27" s="207">
        <f>'Margins summary'!$U$14</f>
        <v>175.95</v>
      </c>
      <c r="AE27" s="207">
        <f t="shared" si="20"/>
        <v>1012.374</v>
      </c>
      <c r="AF27" s="207"/>
      <c r="AG27" s="919">
        <f>'Energy NPV'!U80</f>
        <v>196.57878399999998</v>
      </c>
      <c r="AH27" s="207">
        <f>'Energy margins'!$X$67</f>
        <v>192.1</v>
      </c>
      <c r="AI27" s="207">
        <f t="shared" si="21"/>
        <v>388.67878399999995</v>
      </c>
      <c r="AJ27" s="207">
        <f t="shared" si="2"/>
        <v>447.74521600000014</v>
      </c>
      <c r="AK27" s="207">
        <f t="shared" si="3"/>
        <v>623.69521600000007</v>
      </c>
      <c r="AL27" s="208">
        <f t="shared" si="22"/>
        <v>349.01051116066367</v>
      </c>
      <c r="AM27" s="207">
        <f t="shared" si="23"/>
        <v>73.417787436418322</v>
      </c>
      <c r="AN27" s="207">
        <f t="shared" si="24"/>
        <v>162.18207641237595</v>
      </c>
      <c r="AO27" s="207">
        <f t="shared" si="25"/>
        <v>186.82843474828769</v>
      </c>
      <c r="AP27" s="209">
        <f t="shared" si="26"/>
        <v>260.24622218470597</v>
      </c>
      <c r="AQ27" s="208">
        <f t="shared" si="64"/>
        <v>7999.3383680413808</v>
      </c>
      <c r="AR27" s="207">
        <f t="shared" si="27"/>
        <v>1884.8202093930261</v>
      </c>
      <c r="AS27" s="207">
        <f t="shared" si="27"/>
        <v>9223.5950096377528</v>
      </c>
      <c r="AT27" s="207">
        <f t="shared" si="27"/>
        <v>-1224.2566415963729</v>
      </c>
      <c r="AU27" s="209">
        <f t="shared" si="27"/>
        <v>660.56356779665282</v>
      </c>
      <c r="AV27" s="197"/>
      <c r="AX27" s="206">
        <f t="shared" si="65"/>
        <v>16</v>
      </c>
      <c r="AY27" s="226">
        <f>'Energy NPV'!$D80</f>
        <v>11.617000000000001</v>
      </c>
      <c r="AZ27" s="207">
        <f>'Energy margins'!$S$12</f>
        <v>72</v>
      </c>
      <c r="BA27" s="207">
        <f t="shared" si="28"/>
        <v>836.42400000000009</v>
      </c>
      <c r="BB27" s="207">
        <f>'Margins summary'!$U$14</f>
        <v>175.95</v>
      </c>
      <c r="BC27" s="207">
        <f t="shared" si="29"/>
        <v>1012.374</v>
      </c>
      <c r="BD27" s="207"/>
      <c r="BE27" s="919">
        <f>'Energy NPV'!U80</f>
        <v>196.57878399999998</v>
      </c>
      <c r="BF27" s="207">
        <f>'Energy margins'!$X$67</f>
        <v>192.1</v>
      </c>
      <c r="BG27" s="207">
        <f t="shared" si="30"/>
        <v>388.67878399999995</v>
      </c>
      <c r="BH27" s="207">
        <f t="shared" si="4"/>
        <v>447.74521600000014</v>
      </c>
      <c r="BI27" s="207">
        <f t="shared" si="5"/>
        <v>623.69521600000007</v>
      </c>
      <c r="BJ27" s="208">
        <f t="shared" si="31"/>
        <v>621.47535251591728</v>
      </c>
      <c r="BK27" s="207">
        <f t="shared" si="32"/>
        <v>130.73344174147996</v>
      </c>
      <c r="BL27" s="207">
        <f t="shared" si="33"/>
        <v>288.79406174602599</v>
      </c>
      <c r="BM27" s="207">
        <f t="shared" si="34"/>
        <v>332.68129076989135</v>
      </c>
      <c r="BN27" s="209">
        <f t="shared" si="35"/>
        <v>463.41473251137126</v>
      </c>
      <c r="BO27" s="208">
        <f t="shared" si="66"/>
        <v>10610.759617572083</v>
      </c>
      <c r="BP27" s="207">
        <f t="shared" si="36"/>
        <v>2436.7779129260034</v>
      </c>
      <c r="BQ27" s="207">
        <f>BQ26+BL27</f>
        <v>10240.194000414056</v>
      </c>
      <c r="BR27" s="207">
        <f t="shared" si="36"/>
        <v>370.56561715802872</v>
      </c>
      <c r="BS27" s="209">
        <f t="shared" si="36"/>
        <v>2807.343530084031</v>
      </c>
      <c r="BT27" s="197"/>
      <c r="BV27" s="206">
        <f t="shared" si="67"/>
        <v>16</v>
      </c>
      <c r="BW27" s="226">
        <f>'Energy NPV'!$D80</f>
        <v>11.617000000000001</v>
      </c>
      <c r="BX27" s="207">
        <f>'Energy margins'!$S$12</f>
        <v>72</v>
      </c>
      <c r="BY27" s="207">
        <f t="shared" si="37"/>
        <v>836.42400000000009</v>
      </c>
      <c r="BZ27" s="207">
        <f>'Margins summary'!$U$14</f>
        <v>175.95</v>
      </c>
      <c r="CA27" s="207">
        <f t="shared" si="38"/>
        <v>1012.374</v>
      </c>
      <c r="CB27" s="207"/>
      <c r="CC27" s="919">
        <f>'Energy NPV'!U80</f>
        <v>196.57878399999998</v>
      </c>
      <c r="CD27" s="207">
        <f>'Energy margins'!$X$67</f>
        <v>192.1</v>
      </c>
      <c r="CE27" s="207">
        <f t="shared" si="39"/>
        <v>388.67878399999995</v>
      </c>
      <c r="CF27" s="207">
        <f t="shared" si="6"/>
        <v>447.74521600000014</v>
      </c>
      <c r="CG27" s="207">
        <f t="shared" si="7"/>
        <v>623.69521600000007</v>
      </c>
      <c r="CH27" s="208">
        <f t="shared" si="40"/>
        <v>263.67572783438959</v>
      </c>
      <c r="CI27" s="207">
        <f t="shared" si="41"/>
        <v>55.466777988748333</v>
      </c>
      <c r="CJ27" s="207">
        <f t="shared" si="42"/>
        <v>122.52776255222885</v>
      </c>
      <c r="CK27" s="207">
        <f t="shared" si="43"/>
        <v>141.14796528216073</v>
      </c>
      <c r="CL27" s="209">
        <f t="shared" si="44"/>
        <v>196.61474327090903</v>
      </c>
      <c r="CM27" s="208">
        <f t="shared" si="68"/>
        <v>7040.9669000125141</v>
      </c>
      <c r="CN27" s="207">
        <f t="shared" si="45"/>
        <v>1681.9902751406446</v>
      </c>
      <c r="CO27" s="207">
        <f t="shared" si="46"/>
        <v>8849.5319620261707</v>
      </c>
      <c r="CP27" s="207">
        <f t="shared" si="47"/>
        <v>-1808.5650620136562</v>
      </c>
      <c r="CQ27" s="209">
        <f t="shared" si="48"/>
        <v>-126.57478687301236</v>
      </c>
      <c r="CR27" s="197"/>
      <c r="CT27" s="206">
        <f t="shared" si="69"/>
        <v>16</v>
      </c>
      <c r="CU27" s="226">
        <f>'Energy NPV'!$D80</f>
        <v>11.617000000000001</v>
      </c>
      <c r="CV27" s="207">
        <f>'Energy margins'!$S$12</f>
        <v>72</v>
      </c>
      <c r="CW27" s="207">
        <f t="shared" si="49"/>
        <v>836.42400000000009</v>
      </c>
      <c r="CX27" s="207">
        <f>'Margins summary'!$U$14</f>
        <v>175.95</v>
      </c>
      <c r="CY27" s="207">
        <f t="shared" si="50"/>
        <v>1012.374</v>
      </c>
      <c r="CZ27" s="207"/>
      <c r="DA27" s="919">
        <f>'Energy NPV'!U80</f>
        <v>196.57878399999998</v>
      </c>
      <c r="DB27" s="207">
        <f>'Energy margins'!$X$67</f>
        <v>192.1</v>
      </c>
      <c r="DC27" s="207">
        <f t="shared" si="51"/>
        <v>388.67878399999995</v>
      </c>
      <c r="DD27" s="207">
        <f t="shared" si="8"/>
        <v>447.74521600000014</v>
      </c>
      <c r="DE27" s="207">
        <f t="shared" si="9"/>
        <v>623.69521600000007</v>
      </c>
      <c r="DF27" s="208">
        <f t="shared" si="52"/>
        <v>836.42400000000009</v>
      </c>
      <c r="DG27" s="207">
        <f t="shared" si="53"/>
        <v>175.95</v>
      </c>
      <c r="DH27" s="207">
        <f t="shared" si="54"/>
        <v>388.67878399999995</v>
      </c>
      <c r="DI27" s="207">
        <f t="shared" si="55"/>
        <v>447.74521600000014</v>
      </c>
      <c r="DJ27" s="209">
        <f t="shared" si="56"/>
        <v>623.69521600000007</v>
      </c>
      <c r="DK27" s="208">
        <f t="shared" si="70"/>
        <v>12403.032000000005</v>
      </c>
      <c r="DL27" s="207">
        <f t="shared" si="57"/>
        <v>2815.1999999999994</v>
      </c>
      <c r="DM27" s="207">
        <f t="shared" si="58"/>
        <v>10936.975743999996</v>
      </c>
      <c r="DN27" s="207">
        <f t="shared" si="59"/>
        <v>1466.0562560000017</v>
      </c>
      <c r="DO27" s="209">
        <f t="shared" si="60"/>
        <v>4281.2562560000006</v>
      </c>
    </row>
    <row r="34" spans="2:119" x14ac:dyDescent="0.3">
      <c r="B34" s="228" t="s">
        <v>451</v>
      </c>
      <c r="C34" s="763" t="s">
        <v>420</v>
      </c>
      <c r="D34" s="269" t="s">
        <v>405</v>
      </c>
      <c r="E34" s="194"/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Z34" s="228" t="s">
        <v>451</v>
      </c>
      <c r="AA34" s="1097" t="s">
        <v>406</v>
      </c>
      <c r="AB34" s="1098"/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X34" s="228" t="s">
        <v>451</v>
      </c>
      <c r="AY34" s="1097" t="s">
        <v>407</v>
      </c>
      <c r="AZ34" s="1098"/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V34" s="228" t="s">
        <v>451</v>
      </c>
      <c r="BW34" s="1097" t="s">
        <v>408</v>
      </c>
      <c r="BX34" s="1098"/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T34" s="228" t="s">
        <v>451</v>
      </c>
      <c r="CU34" s="1097" t="s">
        <v>409</v>
      </c>
      <c r="CV34" s="1098"/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</row>
    <row r="35" spans="2:119" x14ac:dyDescent="0.3">
      <c r="B35" s="203"/>
      <c r="C35" s="148"/>
      <c r="D35" s="148"/>
      <c r="E35" s="1086"/>
      <c r="F35" s="1086"/>
      <c r="G35" s="1086"/>
      <c r="H35" s="148"/>
      <c r="I35" s="931"/>
      <c r="J35" s="1086"/>
      <c r="K35" s="1086"/>
      <c r="L35" s="148"/>
      <c r="M35" s="148"/>
      <c r="N35" s="1087" t="s">
        <v>275</v>
      </c>
      <c r="O35" s="1088"/>
      <c r="P35" s="1088"/>
      <c r="Q35" s="1088"/>
      <c r="R35" s="1089"/>
      <c r="S35" s="1087" t="s">
        <v>276</v>
      </c>
      <c r="T35" s="1088"/>
      <c r="U35" s="1088"/>
      <c r="V35" s="1088"/>
      <c r="W35" s="1089"/>
      <c r="X35" s="987"/>
      <c r="Z35" s="203"/>
      <c r="AA35" s="148"/>
      <c r="AB35" s="148"/>
      <c r="AC35" s="1086"/>
      <c r="AD35" s="1086"/>
      <c r="AE35" s="1086"/>
      <c r="AF35" s="148"/>
      <c r="AG35" s="931"/>
      <c r="AH35" s="1086"/>
      <c r="AI35" s="1086"/>
      <c r="AJ35" s="148"/>
      <c r="AK35" s="148"/>
      <c r="AL35" s="1087" t="s">
        <v>275</v>
      </c>
      <c r="AM35" s="1088"/>
      <c r="AN35" s="1088"/>
      <c r="AO35" s="1088"/>
      <c r="AP35" s="1089"/>
      <c r="AQ35" s="1087" t="s">
        <v>276</v>
      </c>
      <c r="AR35" s="1088"/>
      <c r="AS35" s="1088"/>
      <c r="AT35" s="1088"/>
      <c r="AU35" s="1089"/>
      <c r="AV35" s="987"/>
      <c r="AX35" s="203"/>
      <c r="AY35" s="148"/>
      <c r="AZ35" s="148"/>
      <c r="BA35" s="1086"/>
      <c r="BB35" s="1086"/>
      <c r="BC35" s="1086"/>
      <c r="BD35" s="148"/>
      <c r="BE35" s="931"/>
      <c r="BF35" s="1086"/>
      <c r="BG35" s="1086"/>
      <c r="BH35" s="148"/>
      <c r="BI35" s="148"/>
      <c r="BJ35" s="1087" t="s">
        <v>275</v>
      </c>
      <c r="BK35" s="1088"/>
      <c r="BL35" s="1088"/>
      <c r="BM35" s="1088"/>
      <c r="BN35" s="1089"/>
      <c r="BO35" s="1087" t="s">
        <v>276</v>
      </c>
      <c r="BP35" s="1088"/>
      <c r="BQ35" s="1088"/>
      <c r="BR35" s="1088"/>
      <c r="BS35" s="1089"/>
      <c r="BT35" s="987"/>
      <c r="BV35" s="203"/>
      <c r="BW35" s="148"/>
      <c r="BX35" s="148"/>
      <c r="BY35" s="1086"/>
      <c r="BZ35" s="1086"/>
      <c r="CA35" s="1086"/>
      <c r="CB35" s="148"/>
      <c r="CC35" s="931"/>
      <c r="CD35" s="1086"/>
      <c r="CE35" s="1086"/>
      <c r="CF35" s="148"/>
      <c r="CG35" s="148"/>
      <c r="CH35" s="1087" t="s">
        <v>275</v>
      </c>
      <c r="CI35" s="1088"/>
      <c r="CJ35" s="1088"/>
      <c r="CK35" s="1088"/>
      <c r="CL35" s="1089"/>
      <c r="CM35" s="1087" t="s">
        <v>276</v>
      </c>
      <c r="CN35" s="1088"/>
      <c r="CO35" s="1088"/>
      <c r="CP35" s="1088"/>
      <c r="CQ35" s="1089"/>
      <c r="CR35" s="987"/>
      <c r="CT35" s="203"/>
      <c r="CU35" s="148"/>
      <c r="CV35" s="148"/>
      <c r="CW35" s="1086"/>
      <c r="CX35" s="1086"/>
      <c r="CY35" s="1086"/>
      <c r="CZ35" s="148"/>
      <c r="DA35" s="931"/>
      <c r="DB35" s="1086"/>
      <c r="DC35" s="1086"/>
      <c r="DD35" s="148"/>
      <c r="DE35" s="148"/>
      <c r="DF35" s="1087" t="s">
        <v>275</v>
      </c>
      <c r="DG35" s="1088"/>
      <c r="DH35" s="1088"/>
      <c r="DI35" s="1088"/>
      <c r="DJ35" s="1089"/>
      <c r="DK35" s="1087" t="s">
        <v>276</v>
      </c>
      <c r="DL35" s="1088"/>
      <c r="DM35" s="1088"/>
      <c r="DN35" s="1088"/>
      <c r="DO35" s="1089"/>
    </row>
    <row r="36" spans="2:119" ht="51" x14ac:dyDescent="0.3">
      <c r="B36" s="204" t="s">
        <v>277</v>
      </c>
      <c r="C36" s="205" t="s">
        <v>303</v>
      </c>
      <c r="D36" s="205" t="s">
        <v>304</v>
      </c>
      <c r="E36" s="171" t="s">
        <v>675</v>
      </c>
      <c r="F36" s="171" t="s">
        <v>666</v>
      </c>
      <c r="G36" s="171" t="s">
        <v>676</v>
      </c>
      <c r="H36" s="205" t="s">
        <v>301</v>
      </c>
      <c r="I36" s="935" t="s">
        <v>302</v>
      </c>
      <c r="J36" s="205" t="s">
        <v>305</v>
      </c>
      <c r="K36" s="171" t="s">
        <v>283</v>
      </c>
      <c r="L36" s="171" t="s">
        <v>677</v>
      </c>
      <c r="M36" s="171" t="s">
        <v>678</v>
      </c>
      <c r="N36" s="195" t="s">
        <v>286</v>
      </c>
      <c r="O36" s="171" t="s">
        <v>679</v>
      </c>
      <c r="P36" s="171" t="s">
        <v>288</v>
      </c>
      <c r="Q36" s="171" t="s">
        <v>680</v>
      </c>
      <c r="R36" s="198" t="s">
        <v>290</v>
      </c>
      <c r="S36" s="195" t="s">
        <v>291</v>
      </c>
      <c r="T36" s="171" t="s">
        <v>681</v>
      </c>
      <c r="U36" s="171" t="s">
        <v>293</v>
      </c>
      <c r="V36" s="171" t="s">
        <v>682</v>
      </c>
      <c r="W36" s="198" t="s">
        <v>295</v>
      </c>
      <c r="X36" s="171"/>
      <c r="Z36" s="204" t="s">
        <v>277</v>
      </c>
      <c r="AA36" s="205" t="s">
        <v>303</v>
      </c>
      <c r="AB36" s="205" t="s">
        <v>304</v>
      </c>
      <c r="AC36" s="171" t="s">
        <v>675</v>
      </c>
      <c r="AD36" s="171" t="s">
        <v>666</v>
      </c>
      <c r="AE36" s="171" t="s">
        <v>676</v>
      </c>
      <c r="AF36" s="205" t="s">
        <v>301</v>
      </c>
      <c r="AG36" s="935" t="s">
        <v>302</v>
      </c>
      <c r="AH36" s="205" t="s">
        <v>305</v>
      </c>
      <c r="AI36" s="171" t="s">
        <v>283</v>
      </c>
      <c r="AJ36" s="171" t="s">
        <v>677</v>
      </c>
      <c r="AK36" s="171" t="s">
        <v>678</v>
      </c>
      <c r="AL36" s="195" t="s">
        <v>286</v>
      </c>
      <c r="AM36" s="171" t="s">
        <v>679</v>
      </c>
      <c r="AN36" s="171" t="s">
        <v>288</v>
      </c>
      <c r="AO36" s="171" t="s">
        <v>680</v>
      </c>
      <c r="AP36" s="198" t="s">
        <v>290</v>
      </c>
      <c r="AQ36" s="195" t="s">
        <v>291</v>
      </c>
      <c r="AR36" s="171" t="s">
        <v>681</v>
      </c>
      <c r="AS36" s="171" t="s">
        <v>293</v>
      </c>
      <c r="AT36" s="171" t="s">
        <v>682</v>
      </c>
      <c r="AU36" s="198" t="s">
        <v>295</v>
      </c>
      <c r="AV36" s="171"/>
      <c r="AX36" s="204" t="s">
        <v>277</v>
      </c>
      <c r="AY36" s="205" t="s">
        <v>303</v>
      </c>
      <c r="AZ36" s="205" t="s">
        <v>304</v>
      </c>
      <c r="BA36" s="171" t="s">
        <v>675</v>
      </c>
      <c r="BB36" s="171" t="s">
        <v>666</v>
      </c>
      <c r="BC36" s="171" t="s">
        <v>676</v>
      </c>
      <c r="BD36" s="205" t="s">
        <v>301</v>
      </c>
      <c r="BE36" s="935" t="s">
        <v>302</v>
      </c>
      <c r="BF36" s="205" t="s">
        <v>305</v>
      </c>
      <c r="BG36" s="171" t="s">
        <v>283</v>
      </c>
      <c r="BH36" s="171" t="s">
        <v>677</v>
      </c>
      <c r="BI36" s="171" t="s">
        <v>678</v>
      </c>
      <c r="BJ36" s="195" t="s">
        <v>286</v>
      </c>
      <c r="BK36" s="171" t="s">
        <v>679</v>
      </c>
      <c r="BL36" s="171" t="s">
        <v>288</v>
      </c>
      <c r="BM36" s="171" t="s">
        <v>680</v>
      </c>
      <c r="BN36" s="198" t="s">
        <v>290</v>
      </c>
      <c r="BO36" s="195" t="s">
        <v>291</v>
      </c>
      <c r="BP36" s="171" t="s">
        <v>681</v>
      </c>
      <c r="BQ36" s="171" t="s">
        <v>293</v>
      </c>
      <c r="BR36" s="171" t="s">
        <v>682</v>
      </c>
      <c r="BS36" s="198" t="s">
        <v>295</v>
      </c>
      <c r="BT36" s="171"/>
      <c r="BV36" s="204" t="s">
        <v>277</v>
      </c>
      <c r="BW36" s="205" t="s">
        <v>303</v>
      </c>
      <c r="BX36" s="205" t="s">
        <v>304</v>
      </c>
      <c r="BY36" s="171" t="s">
        <v>675</v>
      </c>
      <c r="BZ36" s="171" t="s">
        <v>666</v>
      </c>
      <c r="CA36" s="171" t="s">
        <v>676</v>
      </c>
      <c r="CB36" s="205" t="s">
        <v>301</v>
      </c>
      <c r="CC36" s="935" t="s">
        <v>302</v>
      </c>
      <c r="CD36" s="205" t="s">
        <v>305</v>
      </c>
      <c r="CE36" s="171" t="s">
        <v>283</v>
      </c>
      <c r="CF36" s="171" t="s">
        <v>677</v>
      </c>
      <c r="CG36" s="171" t="s">
        <v>678</v>
      </c>
      <c r="CH36" s="195" t="s">
        <v>286</v>
      </c>
      <c r="CI36" s="171" t="s">
        <v>679</v>
      </c>
      <c r="CJ36" s="171" t="s">
        <v>288</v>
      </c>
      <c r="CK36" s="171" t="s">
        <v>680</v>
      </c>
      <c r="CL36" s="198" t="s">
        <v>290</v>
      </c>
      <c r="CM36" s="195" t="s">
        <v>291</v>
      </c>
      <c r="CN36" s="171" t="s">
        <v>681</v>
      </c>
      <c r="CO36" s="171" t="s">
        <v>293</v>
      </c>
      <c r="CP36" s="171" t="s">
        <v>682</v>
      </c>
      <c r="CQ36" s="198" t="s">
        <v>295</v>
      </c>
      <c r="CR36" s="171"/>
      <c r="CT36" s="204" t="s">
        <v>277</v>
      </c>
      <c r="CU36" s="205" t="s">
        <v>303</v>
      </c>
      <c r="CV36" s="205" t="s">
        <v>304</v>
      </c>
      <c r="CW36" s="171" t="s">
        <v>675</v>
      </c>
      <c r="CX36" s="171" t="s">
        <v>666</v>
      </c>
      <c r="CY36" s="171" t="s">
        <v>676</v>
      </c>
      <c r="CZ36" s="205" t="s">
        <v>301</v>
      </c>
      <c r="DA36" s="935" t="s">
        <v>302</v>
      </c>
      <c r="DB36" s="205" t="s">
        <v>305</v>
      </c>
      <c r="DC36" s="171" t="s">
        <v>283</v>
      </c>
      <c r="DD36" s="171" t="s">
        <v>677</v>
      </c>
      <c r="DE36" s="171" t="s">
        <v>678</v>
      </c>
      <c r="DF36" s="195" t="s">
        <v>286</v>
      </c>
      <c r="DG36" s="171" t="s">
        <v>679</v>
      </c>
      <c r="DH36" s="171" t="s">
        <v>288</v>
      </c>
      <c r="DI36" s="171" t="s">
        <v>680</v>
      </c>
      <c r="DJ36" s="198" t="s">
        <v>290</v>
      </c>
      <c r="DK36" s="195" t="s">
        <v>291</v>
      </c>
      <c r="DL36" s="171" t="s">
        <v>681</v>
      </c>
      <c r="DM36" s="171" t="s">
        <v>293</v>
      </c>
      <c r="DN36" s="171" t="s">
        <v>682</v>
      </c>
      <c r="DO36" s="198" t="s">
        <v>295</v>
      </c>
    </row>
    <row r="37" spans="2:119" x14ac:dyDescent="0.3">
      <c r="B37" s="173"/>
      <c r="C37" s="226" t="s">
        <v>341</v>
      </c>
      <c r="D37" s="226" t="s">
        <v>601</v>
      </c>
      <c r="E37" s="201" t="s">
        <v>599</v>
      </c>
      <c r="F37" s="201" t="s">
        <v>599</v>
      </c>
      <c r="G37" s="201" t="s">
        <v>599</v>
      </c>
      <c r="H37" s="201" t="s">
        <v>599</v>
      </c>
      <c r="I37" s="969" t="s">
        <v>599</v>
      </c>
      <c r="J37" s="201" t="s">
        <v>599</v>
      </c>
      <c r="K37" s="201" t="s">
        <v>599</v>
      </c>
      <c r="L37" s="201" t="s">
        <v>599</v>
      </c>
      <c r="M37" s="202" t="s">
        <v>599</v>
      </c>
      <c r="N37" s="201" t="s">
        <v>599</v>
      </c>
      <c r="O37" s="201" t="s">
        <v>599</v>
      </c>
      <c r="P37" s="201" t="s">
        <v>599</v>
      </c>
      <c r="Q37" s="201" t="s">
        <v>599</v>
      </c>
      <c r="R37" s="202" t="s">
        <v>599</v>
      </c>
      <c r="S37" s="201" t="s">
        <v>599</v>
      </c>
      <c r="T37" s="201" t="s">
        <v>599</v>
      </c>
      <c r="U37" s="201" t="s">
        <v>599</v>
      </c>
      <c r="V37" s="201" t="s">
        <v>599</v>
      </c>
      <c r="W37" s="202" t="s">
        <v>599</v>
      </c>
      <c r="X37" s="988"/>
      <c r="Z37" s="173"/>
      <c r="AA37" s="226" t="s">
        <v>341</v>
      </c>
      <c r="AB37" s="226" t="s">
        <v>601</v>
      </c>
      <c r="AC37" s="201" t="s">
        <v>599</v>
      </c>
      <c r="AD37" s="201" t="s">
        <v>599</v>
      </c>
      <c r="AE37" s="201" t="s">
        <v>599</v>
      </c>
      <c r="AF37" s="201" t="s">
        <v>599</v>
      </c>
      <c r="AG37" s="969" t="s">
        <v>599</v>
      </c>
      <c r="AH37" s="201" t="s">
        <v>599</v>
      </c>
      <c r="AI37" s="201" t="s">
        <v>599</v>
      </c>
      <c r="AJ37" s="201" t="s">
        <v>599</v>
      </c>
      <c r="AK37" s="202" t="s">
        <v>599</v>
      </c>
      <c r="AL37" s="201" t="s">
        <v>599</v>
      </c>
      <c r="AM37" s="201" t="s">
        <v>599</v>
      </c>
      <c r="AN37" s="201" t="s">
        <v>599</v>
      </c>
      <c r="AO37" s="201" t="s">
        <v>599</v>
      </c>
      <c r="AP37" s="202" t="s">
        <v>599</v>
      </c>
      <c r="AQ37" s="201" t="s">
        <v>599</v>
      </c>
      <c r="AR37" s="201" t="s">
        <v>599</v>
      </c>
      <c r="AS37" s="201" t="s">
        <v>599</v>
      </c>
      <c r="AT37" s="201" t="s">
        <v>599</v>
      </c>
      <c r="AU37" s="202" t="s">
        <v>599</v>
      </c>
      <c r="AV37" s="988"/>
      <c r="AX37" s="173"/>
      <c r="AY37" s="226" t="s">
        <v>341</v>
      </c>
      <c r="AZ37" s="226" t="s">
        <v>601</v>
      </c>
      <c r="BA37" s="201" t="s">
        <v>599</v>
      </c>
      <c r="BB37" s="201" t="s">
        <v>599</v>
      </c>
      <c r="BC37" s="201" t="s">
        <v>599</v>
      </c>
      <c r="BD37" s="201" t="s">
        <v>599</v>
      </c>
      <c r="BE37" s="969" t="s">
        <v>599</v>
      </c>
      <c r="BF37" s="201" t="s">
        <v>599</v>
      </c>
      <c r="BG37" s="201" t="s">
        <v>599</v>
      </c>
      <c r="BH37" s="201" t="s">
        <v>599</v>
      </c>
      <c r="BI37" s="202" t="s">
        <v>599</v>
      </c>
      <c r="BJ37" s="201" t="s">
        <v>599</v>
      </c>
      <c r="BK37" s="201" t="s">
        <v>599</v>
      </c>
      <c r="BL37" s="201" t="s">
        <v>599</v>
      </c>
      <c r="BM37" s="201" t="s">
        <v>599</v>
      </c>
      <c r="BN37" s="202" t="s">
        <v>599</v>
      </c>
      <c r="BO37" s="201" t="s">
        <v>599</v>
      </c>
      <c r="BP37" s="201" t="s">
        <v>599</v>
      </c>
      <c r="BQ37" s="201" t="s">
        <v>599</v>
      </c>
      <c r="BR37" s="201" t="s">
        <v>599</v>
      </c>
      <c r="BS37" s="202" t="s">
        <v>599</v>
      </c>
      <c r="BT37" s="988"/>
      <c r="BV37" s="173"/>
      <c r="BW37" s="226" t="s">
        <v>341</v>
      </c>
      <c r="BX37" s="226" t="s">
        <v>601</v>
      </c>
      <c r="BY37" s="201" t="s">
        <v>599</v>
      </c>
      <c r="BZ37" s="201" t="s">
        <v>599</v>
      </c>
      <c r="CA37" s="201" t="s">
        <v>599</v>
      </c>
      <c r="CB37" s="201" t="s">
        <v>599</v>
      </c>
      <c r="CC37" s="969" t="s">
        <v>599</v>
      </c>
      <c r="CD37" s="201" t="s">
        <v>599</v>
      </c>
      <c r="CE37" s="201" t="s">
        <v>599</v>
      </c>
      <c r="CF37" s="201" t="s">
        <v>599</v>
      </c>
      <c r="CG37" s="202" t="s">
        <v>599</v>
      </c>
      <c r="CH37" s="201" t="s">
        <v>599</v>
      </c>
      <c r="CI37" s="201" t="s">
        <v>599</v>
      </c>
      <c r="CJ37" s="201" t="s">
        <v>599</v>
      </c>
      <c r="CK37" s="201" t="s">
        <v>599</v>
      </c>
      <c r="CL37" s="202" t="s">
        <v>599</v>
      </c>
      <c r="CM37" s="201" t="s">
        <v>599</v>
      </c>
      <c r="CN37" s="201" t="s">
        <v>599</v>
      </c>
      <c r="CO37" s="201" t="s">
        <v>599</v>
      </c>
      <c r="CP37" s="201" t="s">
        <v>599</v>
      </c>
      <c r="CQ37" s="202" t="s">
        <v>599</v>
      </c>
      <c r="CR37" s="988"/>
      <c r="CT37" s="173"/>
      <c r="CU37" s="226" t="s">
        <v>341</v>
      </c>
      <c r="CV37" s="226" t="s">
        <v>601</v>
      </c>
      <c r="CW37" s="201" t="s">
        <v>599</v>
      </c>
      <c r="CX37" s="201" t="s">
        <v>599</v>
      </c>
      <c r="CY37" s="201" t="s">
        <v>599</v>
      </c>
      <c r="CZ37" s="201" t="s">
        <v>599</v>
      </c>
      <c r="DA37" s="969" t="s">
        <v>599</v>
      </c>
      <c r="DB37" s="201" t="s">
        <v>599</v>
      </c>
      <c r="DC37" s="201" t="s">
        <v>599</v>
      </c>
      <c r="DD37" s="201" t="s">
        <v>599</v>
      </c>
      <c r="DE37" s="202" t="s">
        <v>599</v>
      </c>
      <c r="DF37" s="201" t="s">
        <v>599</v>
      </c>
      <c r="DG37" s="201" t="s">
        <v>599</v>
      </c>
      <c r="DH37" s="201" t="s">
        <v>599</v>
      </c>
      <c r="DI37" s="201" t="s">
        <v>599</v>
      </c>
      <c r="DJ37" s="202" t="s">
        <v>599</v>
      </c>
      <c r="DK37" s="201" t="s">
        <v>599</v>
      </c>
      <c r="DL37" s="201" t="s">
        <v>599</v>
      </c>
      <c r="DM37" s="201" t="s">
        <v>599</v>
      </c>
      <c r="DN37" s="201" t="s">
        <v>599</v>
      </c>
      <c r="DO37" s="202" t="s">
        <v>599</v>
      </c>
    </row>
    <row r="38" spans="2:119" x14ac:dyDescent="0.3">
      <c r="B38" s="204">
        <v>1</v>
      </c>
      <c r="C38" s="197">
        <f>'Energy NPV'!$D91</f>
        <v>0</v>
      </c>
      <c r="D38" s="197">
        <f>'Energy margins'!$Z$12</f>
        <v>72</v>
      </c>
      <c r="E38" s="197">
        <f>C38*D38</f>
        <v>0</v>
      </c>
      <c r="F38" s="197">
        <f>'Margins summary'!$W$14</f>
        <v>175.95</v>
      </c>
      <c r="G38" s="197">
        <f>E38+F38</f>
        <v>175.95</v>
      </c>
      <c r="H38" s="197">
        <f>'Margins summary'!$V$20</f>
        <v>2234.4822840000002</v>
      </c>
      <c r="I38" s="918">
        <f>'Energy NPV'!U91</f>
        <v>0</v>
      </c>
      <c r="J38" s="197"/>
      <c r="K38" s="197">
        <f>H38+I38+J38</f>
        <v>2234.4822840000002</v>
      </c>
      <c r="L38" s="197">
        <f t="shared" ref="L38:L53" si="71">E38-K38</f>
        <v>-2234.4822840000002</v>
      </c>
      <c r="M38" s="197">
        <f t="shared" ref="M38:M53" si="72">G38-K38</f>
        <v>-2058.5322840000003</v>
      </c>
      <c r="N38" s="1018">
        <f>E38/(1+$B$4)^(B38-1)</f>
        <v>0</v>
      </c>
      <c r="O38" s="213">
        <f>F38/(1+$B$4)^(B38-1)</f>
        <v>175.95</v>
      </c>
      <c r="P38" s="213">
        <f>K38/(1+$B$4)^(B38-1)</f>
        <v>2234.4822840000002</v>
      </c>
      <c r="Q38" s="213">
        <f>L38/(1+$B$4)^(B38-1)</f>
        <v>-2234.4822840000002</v>
      </c>
      <c r="R38" s="929">
        <f>M38/(1+$B$4)^(B38-1)</f>
        <v>-2058.5322840000003</v>
      </c>
      <c r="S38" s="196">
        <f>N38</f>
        <v>0</v>
      </c>
      <c r="T38" s="197">
        <f>O38</f>
        <v>175.95</v>
      </c>
      <c r="U38" s="197">
        <f>P38</f>
        <v>2234.4822840000002</v>
      </c>
      <c r="V38" s="197">
        <f>Q38</f>
        <v>-2234.4822840000002</v>
      </c>
      <c r="W38" s="199">
        <f>R38</f>
        <v>-2058.5322840000003</v>
      </c>
      <c r="X38" s="197"/>
      <c r="Z38" s="204">
        <v>1</v>
      </c>
      <c r="AA38" s="197">
        <f>'Energy NPV'!$D91</f>
        <v>0</v>
      </c>
      <c r="AB38" s="197">
        <f>'Energy margins'!$Z$12</f>
        <v>72</v>
      </c>
      <c r="AC38" s="197">
        <f>AA38*AB38</f>
        <v>0</v>
      </c>
      <c r="AD38" s="197">
        <f>'Margins summary'!$W$14</f>
        <v>175.95</v>
      </c>
      <c r="AE38" s="197">
        <f>AC38+AD38</f>
        <v>175.95</v>
      </c>
      <c r="AF38" s="197">
        <f>'Margins summary'!$V$20</f>
        <v>2234.4822840000002</v>
      </c>
      <c r="AG38" s="918">
        <f>'Energy NPV'!U91</f>
        <v>0</v>
      </c>
      <c r="AH38" s="197"/>
      <c r="AI38" s="197">
        <f>AF38+AG38+AH38</f>
        <v>2234.4822840000002</v>
      </c>
      <c r="AJ38" s="197">
        <f t="shared" ref="AJ38:AJ53" si="73">AC38-AI38</f>
        <v>-2234.4822840000002</v>
      </c>
      <c r="AK38" s="197">
        <f t="shared" ref="AK38:AK53" si="74">AE38-AI38</f>
        <v>-2058.5322840000003</v>
      </c>
      <c r="AL38" s="1018">
        <f>AC38/(1+$C$4)^(Z38-1)</f>
        <v>0</v>
      </c>
      <c r="AM38" s="213">
        <f>AD38/(1+$C$4)^(Z38-1)</f>
        <v>175.95</v>
      </c>
      <c r="AN38" s="213">
        <f>AI38/(1+$C$4)^(Z38-1)</f>
        <v>2234.4822840000002</v>
      </c>
      <c r="AO38" s="213">
        <f>AJ38/(1+$C$4)^(Z38-1)</f>
        <v>-2234.4822840000002</v>
      </c>
      <c r="AP38" s="929">
        <f>AK38/(1+$C$4)^(Z38-1)</f>
        <v>-2058.5322840000003</v>
      </c>
      <c r="AQ38" s="196">
        <f>AL38</f>
        <v>0</v>
      </c>
      <c r="AR38" s="197">
        <f>AM38</f>
        <v>175.95</v>
      </c>
      <c r="AS38" s="197">
        <f>AN38</f>
        <v>2234.4822840000002</v>
      </c>
      <c r="AT38" s="197">
        <f>AO38</f>
        <v>-2234.4822840000002</v>
      </c>
      <c r="AU38" s="199">
        <f>AP38</f>
        <v>-2058.5322840000003</v>
      </c>
      <c r="AV38" s="197"/>
      <c r="AX38" s="204">
        <v>1</v>
      </c>
      <c r="AY38" s="197">
        <f>'Energy NPV'!$D91</f>
        <v>0</v>
      </c>
      <c r="AZ38" s="197">
        <f>'Energy margins'!$Z$12</f>
        <v>72</v>
      </c>
      <c r="BA38" s="197">
        <f>AY38*AZ38</f>
        <v>0</v>
      </c>
      <c r="BB38" s="197">
        <f>'Margins summary'!$W$14</f>
        <v>175.95</v>
      </c>
      <c r="BC38" s="197">
        <f>BA38+BB38</f>
        <v>175.95</v>
      </c>
      <c r="BD38" s="197">
        <f>'Margins summary'!$V$20</f>
        <v>2234.4822840000002</v>
      </c>
      <c r="BE38" s="918">
        <f>'Energy NPV'!U91</f>
        <v>0</v>
      </c>
      <c r="BF38" s="197"/>
      <c r="BG38" s="197">
        <f>BD38+BE38+BF38</f>
        <v>2234.4822840000002</v>
      </c>
      <c r="BH38" s="197">
        <f t="shared" ref="BH38:BH53" si="75">BA38-BG38</f>
        <v>-2234.4822840000002</v>
      </c>
      <c r="BI38" s="197">
        <f t="shared" ref="BI38:BI53" si="76">BC38-BG38</f>
        <v>-2058.5322840000003</v>
      </c>
      <c r="BJ38" s="1018">
        <f>BA38/(1+$D$4)^(AX38-1)</f>
        <v>0</v>
      </c>
      <c r="BK38" s="213">
        <f>BB38/(1+$D$4)^(AX38-1)</f>
        <v>175.95</v>
      </c>
      <c r="BL38" s="213">
        <f>BG38/(1+$D$4)^(AX38-1)</f>
        <v>2234.4822840000002</v>
      </c>
      <c r="BM38" s="213">
        <f>BH38/(1+$D$4)^(AX38-1)</f>
        <v>-2234.4822840000002</v>
      </c>
      <c r="BN38" s="929">
        <f>BI38/(1+$D$4)^(AX38-1)</f>
        <v>-2058.5322840000003</v>
      </c>
      <c r="BO38" s="196">
        <f>BJ38</f>
        <v>0</v>
      </c>
      <c r="BP38" s="197">
        <f>BK38</f>
        <v>175.95</v>
      </c>
      <c r="BQ38" s="197">
        <f>BL38</f>
        <v>2234.4822840000002</v>
      </c>
      <c r="BR38" s="197">
        <f>BM38</f>
        <v>-2234.4822840000002</v>
      </c>
      <c r="BS38" s="199">
        <f>BN38</f>
        <v>-2058.5322840000003</v>
      </c>
      <c r="BT38" s="197"/>
      <c r="BV38" s="204">
        <v>1</v>
      </c>
      <c r="BW38" s="197">
        <f>'Energy NPV'!$D91</f>
        <v>0</v>
      </c>
      <c r="BX38" s="197">
        <f>'Energy margins'!$Z$12</f>
        <v>72</v>
      </c>
      <c r="BY38" s="197">
        <f>BW38*BX38</f>
        <v>0</v>
      </c>
      <c r="BZ38" s="197">
        <f>'Margins summary'!$W$14</f>
        <v>175.95</v>
      </c>
      <c r="CA38" s="197">
        <f>BY38+BZ38</f>
        <v>175.95</v>
      </c>
      <c r="CB38" s="197">
        <f>'Margins summary'!$V$20</f>
        <v>2234.4822840000002</v>
      </c>
      <c r="CC38" s="918">
        <f>'Energy NPV'!U91</f>
        <v>0</v>
      </c>
      <c r="CD38" s="197"/>
      <c r="CE38" s="197">
        <f>CB38+CC38+CD38</f>
        <v>2234.4822840000002</v>
      </c>
      <c r="CF38" s="197">
        <f t="shared" ref="CF38:CF53" si="77">BY38-CE38</f>
        <v>-2234.4822840000002</v>
      </c>
      <c r="CG38" s="197">
        <f t="shared" ref="CG38:CG53" si="78">CA38-CE38</f>
        <v>-2058.5322840000003</v>
      </c>
      <c r="CH38" s="1018">
        <f>BY38/(1+$E$4)^(BV38-1)</f>
        <v>0</v>
      </c>
      <c r="CI38" s="213">
        <f>BZ38/(1+$E$4)^(BV38-1)</f>
        <v>175.95</v>
      </c>
      <c r="CJ38" s="213">
        <f>CE38/(1+$E$4)^(BV38-1)</f>
        <v>2234.4822840000002</v>
      </c>
      <c r="CK38" s="213">
        <f>CF38/(1+$E$4)^(BV38-1)</f>
        <v>-2234.4822840000002</v>
      </c>
      <c r="CL38" s="929">
        <f>CG38/(1+$E$4)^(BV38-1)</f>
        <v>-2058.5322840000003</v>
      </c>
      <c r="CM38" s="196">
        <f>CH38</f>
        <v>0</v>
      </c>
      <c r="CN38" s="197">
        <f>CI38</f>
        <v>175.95</v>
      </c>
      <c r="CO38" s="197">
        <f>CJ38</f>
        <v>2234.4822840000002</v>
      </c>
      <c r="CP38" s="197">
        <f>CK38</f>
        <v>-2234.4822840000002</v>
      </c>
      <c r="CQ38" s="199">
        <f>CL38</f>
        <v>-2058.5322840000003</v>
      </c>
      <c r="CR38" s="197"/>
      <c r="CT38" s="204">
        <v>1</v>
      </c>
      <c r="CU38" s="197">
        <f>'Energy NPV'!$D91</f>
        <v>0</v>
      </c>
      <c r="CV38" s="197">
        <f>'Energy margins'!$Z$12</f>
        <v>72</v>
      </c>
      <c r="CW38" s="197">
        <f>CU38*CV38</f>
        <v>0</v>
      </c>
      <c r="CX38" s="197">
        <f>'Margins summary'!$W$14</f>
        <v>175.95</v>
      </c>
      <c r="CY38" s="197">
        <f>CW38+CX38</f>
        <v>175.95</v>
      </c>
      <c r="CZ38" s="197">
        <f>'Margins summary'!$V$20</f>
        <v>2234.4822840000002</v>
      </c>
      <c r="DA38" s="918">
        <f>'Energy NPV'!U91</f>
        <v>0</v>
      </c>
      <c r="DB38" s="197"/>
      <c r="DC38" s="197">
        <f>CZ38+DA38+DB38</f>
        <v>2234.4822840000002</v>
      </c>
      <c r="DD38" s="197">
        <f t="shared" ref="DD38:DD53" si="79">CW38-DC38</f>
        <v>-2234.4822840000002</v>
      </c>
      <c r="DE38" s="197">
        <f t="shared" ref="DE38:DE53" si="80">CY38-DC38</f>
        <v>-2058.5322840000003</v>
      </c>
      <c r="DF38" s="1018">
        <f>CW38/(1+$F$4)^(CT38-1)</f>
        <v>0</v>
      </c>
      <c r="DG38" s="213">
        <f>CX38/(1+$F$4)^(CT38-1)</f>
        <v>175.95</v>
      </c>
      <c r="DH38" s="213">
        <f>DC38/(1+$F$4)^(CT38-1)</f>
        <v>2234.4822840000002</v>
      </c>
      <c r="DI38" s="213">
        <f>DD38/(1+$F$4)^(CT38-1)</f>
        <v>-2234.4822840000002</v>
      </c>
      <c r="DJ38" s="929">
        <f>DE38/(1+$F$4)^(CT38-1)</f>
        <v>-2058.5322840000003</v>
      </c>
      <c r="DK38" s="196">
        <f>DF38</f>
        <v>0</v>
      </c>
      <c r="DL38" s="197">
        <f>DG38</f>
        <v>175.95</v>
      </c>
      <c r="DM38" s="197">
        <f>DH38</f>
        <v>2234.4822840000002</v>
      </c>
      <c r="DN38" s="197">
        <f>DI38</f>
        <v>-2234.4822840000002</v>
      </c>
      <c r="DO38" s="199">
        <f>DJ38</f>
        <v>-2058.5322840000003</v>
      </c>
    </row>
    <row r="39" spans="2:119" x14ac:dyDescent="0.3">
      <c r="B39" s="204">
        <v>2</v>
      </c>
      <c r="C39" s="197">
        <f>'Energy NPV'!$D92</f>
        <v>9.9333333333333336</v>
      </c>
      <c r="D39" s="197">
        <f>'Energy margins'!$Z$12</f>
        <v>72</v>
      </c>
      <c r="E39" s="197">
        <f>C39*D39</f>
        <v>715.2</v>
      </c>
      <c r="F39" s="197">
        <f>'Margins summary'!$W$14</f>
        <v>175.95</v>
      </c>
      <c r="G39" s="197">
        <f t="shared" ref="G39:G53" si="81">E39+F39</f>
        <v>891.15000000000009</v>
      </c>
      <c r="H39" s="197"/>
      <c r="I39" s="918">
        <f>'Energy NPV'!U92</f>
        <v>590.26478399999996</v>
      </c>
      <c r="J39" s="197"/>
      <c r="K39" s="197">
        <f t="shared" ref="K39:K53" si="82">H39+I39+J39</f>
        <v>590.26478399999996</v>
      </c>
      <c r="L39" s="197">
        <f t="shared" si="71"/>
        <v>124.93521600000008</v>
      </c>
      <c r="M39" s="197">
        <f t="shared" si="72"/>
        <v>300.88521600000013</v>
      </c>
      <c r="N39" s="196">
        <f t="shared" ref="N39:N53" si="83">E39/(1+$B$4)^(B39-1)</f>
        <v>687.69230769230774</v>
      </c>
      <c r="O39" s="197">
        <f t="shared" ref="O39:O53" si="84">F39/(1+$B$4)^(B39-1)</f>
        <v>169.18269230769229</v>
      </c>
      <c r="P39" s="197">
        <f t="shared" ref="P39:P52" si="85">K39/(1+$B$4)^(B39-1)</f>
        <v>567.56229230769225</v>
      </c>
      <c r="Q39" s="197">
        <f t="shared" ref="Q39:Q53" si="86">L39/(1+$B$4)^(B39-1)</f>
        <v>120.13001538461546</v>
      </c>
      <c r="R39" s="199">
        <f t="shared" ref="R39:R52" si="87">M39/(1+$B$4)^(B39-1)</f>
        <v>289.31270769230781</v>
      </c>
      <c r="S39" s="196">
        <f>S38+N39</f>
        <v>687.69230769230774</v>
      </c>
      <c r="T39" s="197">
        <f t="shared" ref="T39:W53" si="88">T38+O39</f>
        <v>345.13269230769231</v>
      </c>
      <c r="U39" s="197">
        <f t="shared" si="88"/>
        <v>2802.0445763076923</v>
      </c>
      <c r="V39" s="197">
        <f t="shared" si="88"/>
        <v>-2114.3522686153847</v>
      </c>
      <c r="W39" s="199">
        <f t="shared" si="88"/>
        <v>-1769.2195763076925</v>
      </c>
      <c r="X39" s="197"/>
      <c r="Z39" s="204">
        <v>2</v>
      </c>
      <c r="AA39" s="197">
        <f>'Energy NPV'!$D92</f>
        <v>9.9333333333333336</v>
      </c>
      <c r="AB39" s="197">
        <f>'Energy margins'!$Z$12</f>
        <v>72</v>
      </c>
      <c r="AC39" s="197">
        <f>AA39*AB39</f>
        <v>715.2</v>
      </c>
      <c r="AD39" s="197">
        <f>'Margins summary'!$W$14</f>
        <v>175.95</v>
      </c>
      <c r="AE39" s="197">
        <f t="shared" ref="AE39:AE53" si="89">AC39+AD39</f>
        <v>891.15000000000009</v>
      </c>
      <c r="AF39" s="197"/>
      <c r="AG39" s="918">
        <f>'Energy NPV'!U92</f>
        <v>590.26478399999996</v>
      </c>
      <c r="AH39" s="197"/>
      <c r="AI39" s="197">
        <f t="shared" ref="AI39:AI53" si="90">AF39+AG39+AH39</f>
        <v>590.26478399999996</v>
      </c>
      <c r="AJ39" s="197">
        <f t="shared" si="73"/>
        <v>124.93521600000008</v>
      </c>
      <c r="AK39" s="197">
        <f t="shared" si="74"/>
        <v>300.88521600000013</v>
      </c>
      <c r="AL39" s="196">
        <f t="shared" ref="AL39:AL53" si="91">AC39/(1+$C$4)^(Z39-1)</f>
        <v>674.71698113207549</v>
      </c>
      <c r="AM39" s="197">
        <f t="shared" ref="AM39:AM53" si="92">AD39/(1+$C$4)^(Z39-1)</f>
        <v>165.99056603773582</v>
      </c>
      <c r="AN39" s="197">
        <f t="shared" ref="AN39:AN53" si="93">AI39/(1+$C$4)^(Z39-1)</f>
        <v>556.85356981132065</v>
      </c>
      <c r="AO39" s="197">
        <f t="shared" ref="AO39:AO53" si="94">AJ39/(1+$C$4)^(Z39-1)</f>
        <v>117.86341132075479</v>
      </c>
      <c r="AP39" s="199">
        <f t="shared" ref="AP39:AP53" si="95">AK39/(1+$C$4)^(Z39-1)</f>
        <v>283.85397735849068</v>
      </c>
      <c r="AQ39" s="196">
        <f>AQ38+AL39</f>
        <v>674.71698113207549</v>
      </c>
      <c r="AR39" s="197">
        <f t="shared" ref="AR39:AU53" si="96">AR38+AM39</f>
        <v>341.94056603773583</v>
      </c>
      <c r="AS39" s="197">
        <f t="shared" si="96"/>
        <v>2791.3358538113207</v>
      </c>
      <c r="AT39" s="197">
        <f t="shared" si="96"/>
        <v>-2116.6188726792452</v>
      </c>
      <c r="AU39" s="199">
        <f t="shared" si="96"/>
        <v>-1774.6783066415096</v>
      </c>
      <c r="AV39" s="197"/>
      <c r="AX39" s="204">
        <v>2</v>
      </c>
      <c r="AY39" s="197">
        <f>'Energy NPV'!$D92</f>
        <v>9.9333333333333336</v>
      </c>
      <c r="AZ39" s="197">
        <f>'Energy margins'!$Z$12</f>
        <v>72</v>
      </c>
      <c r="BA39" s="197">
        <f>AY39*AZ39</f>
        <v>715.2</v>
      </c>
      <c r="BB39" s="197">
        <f>'Margins summary'!$W$14</f>
        <v>175.95</v>
      </c>
      <c r="BC39" s="197">
        <f t="shared" ref="BC39:BC53" si="97">BA39+BB39</f>
        <v>891.15000000000009</v>
      </c>
      <c r="BD39" s="197"/>
      <c r="BE39" s="918">
        <f>'Energy NPV'!U92</f>
        <v>590.26478399999996</v>
      </c>
      <c r="BF39" s="197"/>
      <c r="BG39" s="197">
        <f t="shared" ref="BG39:BG53" si="98">BD39+BE39+BF39</f>
        <v>590.26478399999996</v>
      </c>
      <c r="BH39" s="197">
        <f t="shared" si="75"/>
        <v>124.93521600000008</v>
      </c>
      <c r="BI39" s="197">
        <f t="shared" si="76"/>
        <v>300.88521600000013</v>
      </c>
      <c r="BJ39" s="196">
        <f t="shared" ref="BJ39:BJ53" si="99">BA39/(1+$D$4)^(AX39-1)</f>
        <v>701.17647058823536</v>
      </c>
      <c r="BK39" s="197">
        <f t="shared" ref="BK39:BK53" si="100">BB39/(1+$D$4)^(AX39-1)</f>
        <v>172.5</v>
      </c>
      <c r="BL39" s="197">
        <f t="shared" ref="BL39:BL53" si="101">BG39/(1+$D$4)^(AX39-1)</f>
        <v>578.69096470588227</v>
      </c>
      <c r="BM39" s="197">
        <f t="shared" ref="BM39:BM53" si="102">BH39/(1+$D$4)^(AX39-1)</f>
        <v>122.48550588235302</v>
      </c>
      <c r="BN39" s="199">
        <f t="shared" ref="BN39:BN53" si="103">BI39/(1+$D$4)^(AX39-1)</f>
        <v>294.98550588235304</v>
      </c>
      <c r="BO39" s="196">
        <f>BO38+BJ39</f>
        <v>701.17647058823536</v>
      </c>
      <c r="BP39" s="197">
        <f t="shared" ref="BP39:BP53" si="104">BP38+BK39</f>
        <v>348.45</v>
      </c>
      <c r="BQ39" s="197">
        <f t="shared" ref="BQ39:BQ53" si="105">BQ38+BL39</f>
        <v>2813.1732487058825</v>
      </c>
      <c r="BR39" s="197">
        <f t="shared" ref="BR39:BR53" si="106">BR38+BM39</f>
        <v>-2111.996778117647</v>
      </c>
      <c r="BS39" s="199">
        <f t="shared" ref="BS39:BS53" si="107">BS38+BN39</f>
        <v>-1763.5467781176474</v>
      </c>
      <c r="BT39" s="197"/>
      <c r="BV39" s="204">
        <v>2</v>
      </c>
      <c r="BW39" s="197">
        <f>'Energy NPV'!$D92</f>
        <v>9.9333333333333336</v>
      </c>
      <c r="BX39" s="197">
        <f>'Energy margins'!$Z$12</f>
        <v>72</v>
      </c>
      <c r="BY39" s="197">
        <f>BW39*BX39</f>
        <v>715.2</v>
      </c>
      <c r="BZ39" s="197">
        <f>'Margins summary'!$W$14</f>
        <v>175.95</v>
      </c>
      <c r="CA39" s="197">
        <f t="shared" ref="CA39:CA53" si="108">BY39+BZ39</f>
        <v>891.15000000000009</v>
      </c>
      <c r="CB39" s="197"/>
      <c r="CC39" s="918">
        <f>'Energy NPV'!U92</f>
        <v>590.26478399999996</v>
      </c>
      <c r="CD39" s="197"/>
      <c r="CE39" s="197">
        <f t="shared" ref="CE39:CE53" si="109">CB39+CC39+CD39</f>
        <v>590.26478399999996</v>
      </c>
      <c r="CF39" s="197">
        <f t="shared" si="77"/>
        <v>124.93521600000008</v>
      </c>
      <c r="CG39" s="197">
        <f t="shared" si="78"/>
        <v>300.88521600000013</v>
      </c>
      <c r="CH39" s="196">
        <f t="shared" ref="CH39:CH53" si="110">BY39/(1+$E$4)^(BV39-1)</f>
        <v>662.22222222222217</v>
      </c>
      <c r="CI39" s="197">
        <f t="shared" ref="CI39:CI53" si="111">BZ39/(1+$E$4)^(BV39-1)</f>
        <v>162.91666666666666</v>
      </c>
      <c r="CJ39" s="197">
        <f t="shared" ref="CJ39:CJ53" si="112">CE39/(1+$E$4)^(BV39-1)</f>
        <v>546.54146666666657</v>
      </c>
      <c r="CK39" s="197">
        <f t="shared" ref="CK39:CK53" si="113">CF39/(1+$E$4)^(BV39-1)</f>
        <v>115.68075555555562</v>
      </c>
      <c r="CL39" s="199">
        <f t="shared" ref="CL39:CL53" si="114">CG39/(1+$E$4)^(BV39-1)</f>
        <v>278.59742222222235</v>
      </c>
      <c r="CM39" s="196">
        <f>CM38+CH39</f>
        <v>662.22222222222217</v>
      </c>
      <c r="CN39" s="197">
        <f t="shared" ref="CN39:CN53" si="115">CN38+CI39</f>
        <v>338.86666666666667</v>
      </c>
      <c r="CO39" s="197">
        <f t="shared" ref="CO39:CO53" si="116">CO38+CJ39</f>
        <v>2781.0237506666667</v>
      </c>
      <c r="CP39" s="197">
        <f t="shared" ref="CP39:CP53" si="117">CP38+CK39</f>
        <v>-2118.8015284444446</v>
      </c>
      <c r="CQ39" s="199">
        <f t="shared" ref="CQ39:CQ53" si="118">CQ38+CL39</f>
        <v>-1779.934861777778</v>
      </c>
      <c r="CR39" s="197"/>
      <c r="CT39" s="204">
        <f>CT38+1</f>
        <v>2</v>
      </c>
      <c r="CU39" s="197">
        <f>'Energy NPV'!$D92</f>
        <v>9.9333333333333336</v>
      </c>
      <c r="CV39" s="197">
        <f>'Energy margins'!$Z$12</f>
        <v>72</v>
      </c>
      <c r="CW39" s="197">
        <f>CU39*CV39</f>
        <v>715.2</v>
      </c>
      <c r="CX39" s="197">
        <f>'Margins summary'!$W$14</f>
        <v>175.95</v>
      </c>
      <c r="CY39" s="197">
        <f t="shared" ref="CY39:CY53" si="119">CW39+CX39</f>
        <v>891.15000000000009</v>
      </c>
      <c r="CZ39" s="197"/>
      <c r="DA39" s="918">
        <f>'Energy NPV'!U92</f>
        <v>590.26478399999996</v>
      </c>
      <c r="DB39" s="197"/>
      <c r="DC39" s="197">
        <f t="shared" ref="DC39:DC53" si="120">CZ39+DA39+DB39</f>
        <v>590.26478399999996</v>
      </c>
      <c r="DD39" s="197">
        <f t="shared" si="79"/>
        <v>124.93521600000008</v>
      </c>
      <c r="DE39" s="197">
        <f t="shared" si="80"/>
        <v>300.88521600000013</v>
      </c>
      <c r="DF39" s="196">
        <f t="shared" ref="DF39:DF53" si="121">CW39/(1+$F$4)^(CT39-1)</f>
        <v>715.2</v>
      </c>
      <c r="DG39" s="197">
        <f t="shared" ref="DG39:DG53" si="122">CX39/(1+$F$4)^(CT39-1)</f>
        <v>175.95</v>
      </c>
      <c r="DH39" s="197">
        <f t="shared" ref="DH39:DH53" si="123">DC39/(1+$F$4)^(CT39-1)</f>
        <v>590.26478399999996</v>
      </c>
      <c r="DI39" s="197">
        <f t="shared" ref="DI39:DI53" si="124">DD39/(1+$F$4)^(CT39-1)</f>
        <v>124.93521600000008</v>
      </c>
      <c r="DJ39" s="199">
        <f t="shared" ref="DJ39:DJ53" si="125">DE39/(1+$F$4)^(CT39-1)</f>
        <v>300.88521600000013</v>
      </c>
      <c r="DK39" s="196">
        <f>DK38+DF39</f>
        <v>715.2</v>
      </c>
      <c r="DL39" s="197">
        <f t="shared" ref="DL39:DL53" si="126">DL38+DG39</f>
        <v>351.9</v>
      </c>
      <c r="DM39" s="197">
        <f t="shared" ref="DM39:DM53" si="127">DM38+DH39</f>
        <v>2824.7470680000001</v>
      </c>
      <c r="DN39" s="197">
        <f t="shared" ref="DN39:DN53" si="128">DN38+DI39</f>
        <v>-2109.5470679999999</v>
      </c>
      <c r="DO39" s="199">
        <f t="shared" ref="DO39:DO53" si="129">DO38+DJ39</f>
        <v>-1757.6470680000002</v>
      </c>
    </row>
    <row r="40" spans="2:119" x14ac:dyDescent="0.3">
      <c r="B40" s="204">
        <f t="shared" ref="B40:B53" si="130">B39+1</f>
        <v>3</v>
      </c>
      <c r="C40" s="197">
        <f>'Energy NPV'!$D93</f>
        <v>14.700000000000001</v>
      </c>
      <c r="D40" s="197">
        <f>'Energy margins'!$Z$12</f>
        <v>72</v>
      </c>
      <c r="E40" s="197">
        <f t="shared" ref="E40:E53" si="131">C40*D40</f>
        <v>1058.4000000000001</v>
      </c>
      <c r="F40" s="197">
        <f>'Margins summary'!$W$14</f>
        <v>175.95</v>
      </c>
      <c r="G40" s="197">
        <f t="shared" si="81"/>
        <v>1234.3500000000001</v>
      </c>
      <c r="H40" s="197"/>
      <c r="I40" s="918">
        <f>'Energy NPV'!U93</f>
        <v>590.26478399999996</v>
      </c>
      <c r="J40" s="197"/>
      <c r="K40" s="197">
        <f t="shared" si="82"/>
        <v>590.26478399999996</v>
      </c>
      <c r="L40" s="197">
        <f t="shared" si="71"/>
        <v>468.13521600000013</v>
      </c>
      <c r="M40" s="197">
        <f t="shared" si="72"/>
        <v>644.08521600000017</v>
      </c>
      <c r="N40" s="196">
        <f t="shared" si="83"/>
        <v>978.55029585798809</v>
      </c>
      <c r="O40" s="197">
        <f t="shared" si="84"/>
        <v>162.67566568047334</v>
      </c>
      <c r="P40" s="197">
        <f t="shared" si="85"/>
        <v>545.73297337278098</v>
      </c>
      <c r="Q40" s="197">
        <f t="shared" si="86"/>
        <v>432.81732248520717</v>
      </c>
      <c r="R40" s="199">
        <f t="shared" si="87"/>
        <v>595.49298816568057</v>
      </c>
      <c r="S40" s="196">
        <f t="shared" ref="S40:S53" si="132">S39+N40</f>
        <v>1666.2426035502958</v>
      </c>
      <c r="T40" s="197">
        <f t="shared" si="88"/>
        <v>507.80835798816565</v>
      </c>
      <c r="U40" s="197">
        <f t="shared" si="88"/>
        <v>3347.7775496804734</v>
      </c>
      <c r="V40" s="197">
        <f t="shared" si="88"/>
        <v>-1681.5349461301776</v>
      </c>
      <c r="W40" s="199">
        <f t="shared" si="88"/>
        <v>-1173.7265881420119</v>
      </c>
      <c r="X40" s="197"/>
      <c r="Z40" s="204">
        <f t="shared" ref="Z40:Z53" si="133">Z39+1</f>
        <v>3</v>
      </c>
      <c r="AA40" s="197">
        <f>'Energy NPV'!$D93</f>
        <v>14.700000000000001</v>
      </c>
      <c r="AB40" s="197">
        <f>'Energy margins'!$Z$12</f>
        <v>72</v>
      </c>
      <c r="AC40" s="197">
        <f t="shared" ref="AC40:AC53" si="134">AA40*AB40</f>
        <v>1058.4000000000001</v>
      </c>
      <c r="AD40" s="197">
        <f>'Margins summary'!$W$14</f>
        <v>175.95</v>
      </c>
      <c r="AE40" s="197">
        <f t="shared" si="89"/>
        <v>1234.3500000000001</v>
      </c>
      <c r="AF40" s="197"/>
      <c r="AG40" s="918">
        <f>'Energy NPV'!U93</f>
        <v>590.26478399999996</v>
      </c>
      <c r="AH40" s="197"/>
      <c r="AI40" s="197">
        <f t="shared" si="90"/>
        <v>590.26478399999996</v>
      </c>
      <c r="AJ40" s="197">
        <f t="shared" si="73"/>
        <v>468.13521600000013</v>
      </c>
      <c r="AK40" s="197">
        <f t="shared" si="74"/>
        <v>644.08521600000017</v>
      </c>
      <c r="AL40" s="196">
        <f t="shared" si="91"/>
        <v>941.97223211107155</v>
      </c>
      <c r="AM40" s="197">
        <f t="shared" si="92"/>
        <v>156.5948736205055</v>
      </c>
      <c r="AN40" s="197">
        <f t="shared" si="93"/>
        <v>525.33355642577419</v>
      </c>
      <c r="AO40" s="197">
        <f t="shared" si="94"/>
        <v>416.6386756852973</v>
      </c>
      <c r="AP40" s="199">
        <f t="shared" si="95"/>
        <v>573.23354930580285</v>
      </c>
      <c r="AQ40" s="196">
        <f t="shared" ref="AQ40:AQ53" si="135">AQ39+AL40</f>
        <v>1616.6892132431472</v>
      </c>
      <c r="AR40" s="197">
        <f t="shared" si="96"/>
        <v>498.53543965824133</v>
      </c>
      <c r="AS40" s="197">
        <f t="shared" si="96"/>
        <v>3316.6694102370948</v>
      </c>
      <c r="AT40" s="197">
        <f t="shared" si="96"/>
        <v>-1699.9801969939479</v>
      </c>
      <c r="AU40" s="199">
        <f t="shared" si="96"/>
        <v>-1201.4447573357068</v>
      </c>
      <c r="AV40" s="197"/>
      <c r="AX40" s="204">
        <f t="shared" ref="AX40:AX53" si="136">AX39+1</f>
        <v>3</v>
      </c>
      <c r="AY40" s="197">
        <f>'Energy NPV'!$D93</f>
        <v>14.700000000000001</v>
      </c>
      <c r="AZ40" s="197">
        <f>'Energy margins'!$Z$12</f>
        <v>72</v>
      </c>
      <c r="BA40" s="197">
        <f t="shared" ref="BA40:BA53" si="137">AY40*AZ40</f>
        <v>1058.4000000000001</v>
      </c>
      <c r="BB40" s="197">
        <f>'Margins summary'!$W$14</f>
        <v>175.95</v>
      </c>
      <c r="BC40" s="197">
        <f t="shared" si="97"/>
        <v>1234.3500000000001</v>
      </c>
      <c r="BD40" s="197"/>
      <c r="BE40" s="918">
        <f>'Energy NPV'!U93</f>
        <v>590.26478399999996</v>
      </c>
      <c r="BF40" s="197"/>
      <c r="BG40" s="197">
        <f t="shared" si="98"/>
        <v>590.26478399999996</v>
      </c>
      <c r="BH40" s="197">
        <f t="shared" si="75"/>
        <v>468.13521600000013</v>
      </c>
      <c r="BI40" s="197">
        <f t="shared" si="76"/>
        <v>644.08521600000017</v>
      </c>
      <c r="BJ40" s="196">
        <f t="shared" si="99"/>
        <v>1017.3010380622839</v>
      </c>
      <c r="BK40" s="197">
        <f t="shared" si="100"/>
        <v>169.11764705882351</v>
      </c>
      <c r="BL40" s="197">
        <f t="shared" si="101"/>
        <v>567.34408304498265</v>
      </c>
      <c r="BM40" s="197">
        <f t="shared" si="102"/>
        <v>449.95695501730114</v>
      </c>
      <c r="BN40" s="199">
        <f t="shared" si="103"/>
        <v>619.07460207612473</v>
      </c>
      <c r="BO40" s="196">
        <f t="shared" ref="BO40:BO53" si="138">BO39+BJ40</f>
        <v>1718.4775086505192</v>
      </c>
      <c r="BP40" s="197">
        <f t="shared" si="104"/>
        <v>517.56764705882347</v>
      </c>
      <c r="BQ40" s="197">
        <f t="shared" si="105"/>
        <v>3380.5173317508652</v>
      </c>
      <c r="BR40" s="197">
        <f t="shared" si="106"/>
        <v>-1662.0398231003458</v>
      </c>
      <c r="BS40" s="199">
        <f t="shared" si="107"/>
        <v>-1144.4721760415227</v>
      </c>
      <c r="BT40" s="197"/>
      <c r="BV40" s="204">
        <f t="shared" ref="BV40:BV53" si="139">BV39+1</f>
        <v>3</v>
      </c>
      <c r="BW40" s="197">
        <f>'Energy NPV'!$D93</f>
        <v>14.700000000000001</v>
      </c>
      <c r="BX40" s="197">
        <f>'Energy margins'!$Z$12</f>
        <v>72</v>
      </c>
      <c r="BY40" s="197">
        <f t="shared" ref="BY40:BY53" si="140">BW40*BX40</f>
        <v>1058.4000000000001</v>
      </c>
      <c r="BZ40" s="197">
        <f>'Margins summary'!$W$14</f>
        <v>175.95</v>
      </c>
      <c r="CA40" s="197">
        <f t="shared" si="108"/>
        <v>1234.3500000000001</v>
      </c>
      <c r="CB40" s="197"/>
      <c r="CC40" s="918">
        <f>'Energy NPV'!U93</f>
        <v>590.26478399999996</v>
      </c>
      <c r="CD40" s="197"/>
      <c r="CE40" s="197">
        <f t="shared" si="109"/>
        <v>590.26478399999996</v>
      </c>
      <c r="CF40" s="197">
        <f t="shared" si="77"/>
        <v>468.13521600000013</v>
      </c>
      <c r="CG40" s="197">
        <f t="shared" si="78"/>
        <v>644.08521600000017</v>
      </c>
      <c r="CH40" s="196">
        <f t="shared" si="110"/>
        <v>907.40740740740739</v>
      </c>
      <c r="CI40" s="197">
        <f t="shared" si="111"/>
        <v>150.84876543209873</v>
      </c>
      <c r="CJ40" s="197">
        <f t="shared" si="112"/>
        <v>506.05691358024683</v>
      </c>
      <c r="CK40" s="197">
        <f t="shared" si="113"/>
        <v>401.35049382716056</v>
      </c>
      <c r="CL40" s="199">
        <f t="shared" si="114"/>
        <v>552.19925925925941</v>
      </c>
      <c r="CM40" s="196">
        <f t="shared" ref="CM40:CM53" si="141">CM39+CH40</f>
        <v>1569.6296296296296</v>
      </c>
      <c r="CN40" s="197">
        <f t="shared" si="115"/>
        <v>489.7154320987654</v>
      </c>
      <c r="CO40" s="197">
        <f t="shared" si="116"/>
        <v>3287.0806642469133</v>
      </c>
      <c r="CP40" s="197">
        <f t="shared" si="117"/>
        <v>-1717.451034617284</v>
      </c>
      <c r="CQ40" s="199">
        <f t="shared" si="118"/>
        <v>-1227.7356025185186</v>
      </c>
      <c r="CR40" s="197"/>
      <c r="CT40" s="204">
        <f t="shared" ref="CT40:CT53" si="142">CT39+1</f>
        <v>3</v>
      </c>
      <c r="CU40" s="197">
        <f>'Energy NPV'!$D93</f>
        <v>14.700000000000001</v>
      </c>
      <c r="CV40" s="197">
        <f>'Energy margins'!$Z$12</f>
        <v>72</v>
      </c>
      <c r="CW40" s="197">
        <f t="shared" ref="CW40:CW53" si="143">CU40*CV40</f>
        <v>1058.4000000000001</v>
      </c>
      <c r="CX40" s="197">
        <f>'Margins summary'!$W$14</f>
        <v>175.95</v>
      </c>
      <c r="CY40" s="197">
        <f t="shared" si="119"/>
        <v>1234.3500000000001</v>
      </c>
      <c r="CZ40" s="197"/>
      <c r="DA40" s="918">
        <f>'Energy NPV'!U93</f>
        <v>590.26478399999996</v>
      </c>
      <c r="DB40" s="197"/>
      <c r="DC40" s="197">
        <f t="shared" si="120"/>
        <v>590.26478399999996</v>
      </c>
      <c r="DD40" s="197">
        <f t="shared" si="79"/>
        <v>468.13521600000013</v>
      </c>
      <c r="DE40" s="197">
        <f t="shared" si="80"/>
        <v>644.08521600000017</v>
      </c>
      <c r="DF40" s="196">
        <f t="shared" si="121"/>
        <v>1058.4000000000001</v>
      </c>
      <c r="DG40" s="197">
        <f t="shared" si="122"/>
        <v>175.95</v>
      </c>
      <c r="DH40" s="197">
        <f t="shared" si="123"/>
        <v>590.26478399999996</v>
      </c>
      <c r="DI40" s="197">
        <f t="shared" si="124"/>
        <v>468.13521600000013</v>
      </c>
      <c r="DJ40" s="199">
        <f t="shared" si="125"/>
        <v>644.08521600000017</v>
      </c>
      <c r="DK40" s="196">
        <f t="shared" ref="DK40:DK53" si="144">DK39+DF40</f>
        <v>1773.6000000000001</v>
      </c>
      <c r="DL40" s="197">
        <f t="shared" si="126"/>
        <v>527.84999999999991</v>
      </c>
      <c r="DM40" s="197">
        <f t="shared" si="127"/>
        <v>3415.0118520000001</v>
      </c>
      <c r="DN40" s="197">
        <f t="shared" si="128"/>
        <v>-1641.4118519999997</v>
      </c>
      <c r="DO40" s="199">
        <f t="shared" si="129"/>
        <v>-1113.561852</v>
      </c>
    </row>
    <row r="41" spans="2:119" x14ac:dyDescent="0.3">
      <c r="B41" s="204">
        <f t="shared" si="130"/>
        <v>4</v>
      </c>
      <c r="C41" s="197">
        <f>'Energy NPV'!$D94</f>
        <v>15.733333333333334</v>
      </c>
      <c r="D41" s="197">
        <f>'Energy margins'!$Z$12</f>
        <v>72</v>
      </c>
      <c r="E41" s="197">
        <f t="shared" si="131"/>
        <v>1132.8000000000002</v>
      </c>
      <c r="F41" s="197">
        <f>'Margins summary'!$W$14</f>
        <v>175.95</v>
      </c>
      <c r="G41" s="197">
        <f t="shared" si="81"/>
        <v>1308.7500000000002</v>
      </c>
      <c r="H41" s="197"/>
      <c r="I41" s="918">
        <f>'Energy NPV'!U94</f>
        <v>408.3347839999999</v>
      </c>
      <c r="J41" s="197"/>
      <c r="K41" s="197">
        <f t="shared" si="82"/>
        <v>408.3347839999999</v>
      </c>
      <c r="L41" s="197">
        <f t="shared" si="71"/>
        <v>724.46521600000028</v>
      </c>
      <c r="M41" s="197">
        <f t="shared" si="72"/>
        <v>900.41521600000033</v>
      </c>
      <c r="N41" s="196">
        <f t="shared" si="83"/>
        <v>1007.0550751024125</v>
      </c>
      <c r="O41" s="197">
        <f t="shared" si="84"/>
        <v>156.41890930814745</v>
      </c>
      <c r="P41" s="197">
        <f t="shared" si="85"/>
        <v>363.00813609467446</v>
      </c>
      <c r="Q41" s="197">
        <f t="shared" si="86"/>
        <v>644.04693900773805</v>
      </c>
      <c r="R41" s="199">
        <f t="shared" si="87"/>
        <v>800.46584831588552</v>
      </c>
      <c r="S41" s="196">
        <f t="shared" si="132"/>
        <v>2673.2976786527083</v>
      </c>
      <c r="T41" s="197">
        <f t="shared" si="88"/>
        <v>664.22726729631313</v>
      </c>
      <c r="U41" s="197">
        <f t="shared" si="88"/>
        <v>3710.7856857751476</v>
      </c>
      <c r="V41" s="197">
        <f t="shared" si="88"/>
        <v>-1037.4880071224395</v>
      </c>
      <c r="W41" s="199">
        <f t="shared" si="88"/>
        <v>-373.26073982612638</v>
      </c>
      <c r="X41" s="197"/>
      <c r="Z41" s="204">
        <f t="shared" si="133"/>
        <v>4</v>
      </c>
      <c r="AA41" s="197">
        <f>'Energy NPV'!$D94</f>
        <v>15.733333333333334</v>
      </c>
      <c r="AB41" s="197">
        <f>'Energy margins'!$Z$12</f>
        <v>72</v>
      </c>
      <c r="AC41" s="197">
        <f t="shared" si="134"/>
        <v>1132.8000000000002</v>
      </c>
      <c r="AD41" s="197">
        <f>'Margins summary'!$W$14</f>
        <v>175.95</v>
      </c>
      <c r="AE41" s="197">
        <f t="shared" si="89"/>
        <v>1308.7500000000002</v>
      </c>
      <c r="AF41" s="197"/>
      <c r="AG41" s="918">
        <f>'Energy NPV'!U94</f>
        <v>408.3347839999999</v>
      </c>
      <c r="AH41" s="197"/>
      <c r="AI41" s="197">
        <f t="shared" si="90"/>
        <v>408.3347839999999</v>
      </c>
      <c r="AJ41" s="197">
        <f t="shared" si="73"/>
        <v>724.46521600000028</v>
      </c>
      <c r="AK41" s="197">
        <f t="shared" si="74"/>
        <v>900.41521600000033</v>
      </c>
      <c r="AL41" s="196">
        <f t="shared" si="91"/>
        <v>951.12072381899145</v>
      </c>
      <c r="AM41" s="197">
        <f t="shared" si="92"/>
        <v>147.73101284953347</v>
      </c>
      <c r="AN41" s="197">
        <f t="shared" si="93"/>
        <v>342.84575857922965</v>
      </c>
      <c r="AO41" s="197">
        <f t="shared" si="94"/>
        <v>608.27496523976174</v>
      </c>
      <c r="AP41" s="199">
        <f t="shared" si="95"/>
        <v>756.00597808929524</v>
      </c>
      <c r="AQ41" s="196">
        <f t="shared" si="135"/>
        <v>2567.8099370621385</v>
      </c>
      <c r="AR41" s="197">
        <f t="shared" si="96"/>
        <v>646.26645250777483</v>
      </c>
      <c r="AS41" s="197">
        <f t="shared" si="96"/>
        <v>3659.5151688163246</v>
      </c>
      <c r="AT41" s="197">
        <f t="shared" si="96"/>
        <v>-1091.7052317541861</v>
      </c>
      <c r="AU41" s="199">
        <f t="shared" si="96"/>
        <v>-445.43877924641151</v>
      </c>
      <c r="AV41" s="197"/>
      <c r="AX41" s="204">
        <f t="shared" si="136"/>
        <v>4</v>
      </c>
      <c r="AY41" s="197">
        <f>'Energy NPV'!$D94</f>
        <v>15.733333333333334</v>
      </c>
      <c r="AZ41" s="197">
        <f>'Energy margins'!$Z$12</f>
        <v>72</v>
      </c>
      <c r="BA41" s="197">
        <f t="shared" si="137"/>
        <v>1132.8000000000002</v>
      </c>
      <c r="BB41" s="197">
        <f>'Margins summary'!$W$14</f>
        <v>175.95</v>
      </c>
      <c r="BC41" s="197">
        <f t="shared" si="97"/>
        <v>1308.7500000000002</v>
      </c>
      <c r="BD41" s="197"/>
      <c r="BE41" s="918">
        <f>'Energy NPV'!U94</f>
        <v>408.3347839999999</v>
      </c>
      <c r="BF41" s="197"/>
      <c r="BG41" s="197">
        <f t="shared" si="98"/>
        <v>408.3347839999999</v>
      </c>
      <c r="BH41" s="197">
        <f t="shared" si="75"/>
        <v>724.46521600000028</v>
      </c>
      <c r="BI41" s="197">
        <f t="shared" si="76"/>
        <v>900.41521600000033</v>
      </c>
      <c r="BJ41" s="196">
        <f t="shared" si="99"/>
        <v>1067.4627405748922</v>
      </c>
      <c r="BK41" s="197">
        <f t="shared" si="100"/>
        <v>165.80161476355249</v>
      </c>
      <c r="BL41" s="197">
        <f t="shared" si="101"/>
        <v>384.78298693564307</v>
      </c>
      <c r="BM41" s="197">
        <f t="shared" si="102"/>
        <v>682.67975363924916</v>
      </c>
      <c r="BN41" s="199">
        <f t="shared" si="103"/>
        <v>848.48136840280165</v>
      </c>
      <c r="BO41" s="196">
        <f t="shared" si="138"/>
        <v>2785.9402492254112</v>
      </c>
      <c r="BP41" s="197">
        <f t="shared" si="104"/>
        <v>683.36926182237596</v>
      </c>
      <c r="BQ41" s="197">
        <f t="shared" si="105"/>
        <v>3765.300318686508</v>
      </c>
      <c r="BR41" s="197">
        <f t="shared" si="106"/>
        <v>-979.3600694610966</v>
      </c>
      <c r="BS41" s="199">
        <f t="shared" si="107"/>
        <v>-295.99080763872109</v>
      </c>
      <c r="BT41" s="197"/>
      <c r="BV41" s="204">
        <f t="shared" si="139"/>
        <v>4</v>
      </c>
      <c r="BW41" s="197">
        <f>'Energy NPV'!$D94</f>
        <v>15.733333333333334</v>
      </c>
      <c r="BX41" s="197">
        <f>'Energy margins'!$Z$12</f>
        <v>72</v>
      </c>
      <c r="BY41" s="197">
        <f t="shared" si="140"/>
        <v>1132.8000000000002</v>
      </c>
      <c r="BZ41" s="197">
        <f>'Margins summary'!$W$14</f>
        <v>175.95</v>
      </c>
      <c r="CA41" s="197">
        <f t="shared" si="108"/>
        <v>1308.7500000000002</v>
      </c>
      <c r="CB41" s="197"/>
      <c r="CC41" s="918">
        <f>'Energy NPV'!U94</f>
        <v>408.3347839999999</v>
      </c>
      <c r="CD41" s="197"/>
      <c r="CE41" s="197">
        <f t="shared" si="109"/>
        <v>408.3347839999999</v>
      </c>
      <c r="CF41" s="197">
        <f t="shared" si="77"/>
        <v>724.46521600000028</v>
      </c>
      <c r="CG41" s="197">
        <f t="shared" si="78"/>
        <v>900.41521600000033</v>
      </c>
      <c r="CH41" s="196">
        <f t="shared" si="110"/>
        <v>899.25316262764829</v>
      </c>
      <c r="CI41" s="197">
        <f t="shared" si="111"/>
        <v>139.67478280749884</v>
      </c>
      <c r="CJ41" s="197">
        <f t="shared" si="112"/>
        <v>324.14931666920683</v>
      </c>
      <c r="CK41" s="197">
        <f t="shared" si="113"/>
        <v>575.10384595844141</v>
      </c>
      <c r="CL41" s="199">
        <f t="shared" si="114"/>
        <v>714.77862876594031</v>
      </c>
      <c r="CM41" s="196">
        <f t="shared" si="141"/>
        <v>2468.8827922572777</v>
      </c>
      <c r="CN41" s="197">
        <f t="shared" si="115"/>
        <v>629.39021490626419</v>
      </c>
      <c r="CO41" s="197">
        <f t="shared" si="116"/>
        <v>3611.22998091612</v>
      </c>
      <c r="CP41" s="197">
        <f t="shared" si="117"/>
        <v>-1142.3471886588427</v>
      </c>
      <c r="CQ41" s="199">
        <f t="shared" si="118"/>
        <v>-512.95697375257828</v>
      </c>
      <c r="CR41" s="197"/>
      <c r="CT41" s="204">
        <f t="shared" si="142"/>
        <v>4</v>
      </c>
      <c r="CU41" s="197">
        <f>'Energy NPV'!$D94</f>
        <v>15.733333333333334</v>
      </c>
      <c r="CV41" s="197">
        <f>'Energy margins'!$Z$12</f>
        <v>72</v>
      </c>
      <c r="CW41" s="197">
        <f t="shared" si="143"/>
        <v>1132.8000000000002</v>
      </c>
      <c r="CX41" s="197">
        <f>'Margins summary'!$W$14</f>
        <v>175.95</v>
      </c>
      <c r="CY41" s="197">
        <f t="shared" si="119"/>
        <v>1308.7500000000002</v>
      </c>
      <c r="CZ41" s="197"/>
      <c r="DA41" s="918">
        <f>'Energy NPV'!U94</f>
        <v>408.3347839999999</v>
      </c>
      <c r="DB41" s="197"/>
      <c r="DC41" s="197">
        <f t="shared" si="120"/>
        <v>408.3347839999999</v>
      </c>
      <c r="DD41" s="197">
        <f t="shared" si="79"/>
        <v>724.46521600000028</v>
      </c>
      <c r="DE41" s="197">
        <f t="shared" si="80"/>
        <v>900.41521600000033</v>
      </c>
      <c r="DF41" s="196">
        <f t="shared" si="121"/>
        <v>1132.8000000000002</v>
      </c>
      <c r="DG41" s="197">
        <f t="shared" si="122"/>
        <v>175.95</v>
      </c>
      <c r="DH41" s="197">
        <f t="shared" si="123"/>
        <v>408.3347839999999</v>
      </c>
      <c r="DI41" s="197">
        <f t="shared" si="124"/>
        <v>724.46521600000028</v>
      </c>
      <c r="DJ41" s="199">
        <f t="shared" si="125"/>
        <v>900.41521600000033</v>
      </c>
      <c r="DK41" s="196">
        <f t="shared" si="144"/>
        <v>2906.4000000000005</v>
      </c>
      <c r="DL41" s="197">
        <f t="shared" si="126"/>
        <v>703.8</v>
      </c>
      <c r="DM41" s="197">
        <f t="shared" si="127"/>
        <v>3823.3466360000002</v>
      </c>
      <c r="DN41" s="197">
        <f t="shared" si="128"/>
        <v>-916.94663599999944</v>
      </c>
      <c r="DO41" s="199">
        <f t="shared" si="129"/>
        <v>-213.14663599999972</v>
      </c>
    </row>
    <row r="42" spans="2:119" x14ac:dyDescent="0.3">
      <c r="B42" s="204">
        <f t="shared" si="130"/>
        <v>5</v>
      </c>
      <c r="C42" s="197">
        <f>'Energy NPV'!$D95</f>
        <v>16.3</v>
      </c>
      <c r="D42" s="197">
        <f>'Energy margins'!$Z$12</f>
        <v>72</v>
      </c>
      <c r="E42" s="197">
        <f t="shared" si="131"/>
        <v>1173.6000000000001</v>
      </c>
      <c r="F42" s="197">
        <f>'Margins summary'!$W$14</f>
        <v>175.95</v>
      </c>
      <c r="G42" s="197">
        <f t="shared" si="81"/>
        <v>1349.5500000000002</v>
      </c>
      <c r="H42" s="197"/>
      <c r="I42" s="918">
        <f>'Energy NPV'!U95</f>
        <v>408.3347839999999</v>
      </c>
      <c r="J42" s="197"/>
      <c r="K42" s="197">
        <f t="shared" si="82"/>
        <v>408.3347839999999</v>
      </c>
      <c r="L42" s="197">
        <f t="shared" si="71"/>
        <v>765.26521600000024</v>
      </c>
      <c r="M42" s="197">
        <f t="shared" si="72"/>
        <v>941.21521600000028</v>
      </c>
      <c r="N42" s="196">
        <f t="shared" si="83"/>
        <v>1003.1981985924862</v>
      </c>
      <c r="O42" s="197">
        <f t="shared" si="84"/>
        <v>150.40279741168024</v>
      </c>
      <c r="P42" s="197">
        <f t="shared" si="85"/>
        <v>349.04628470641768</v>
      </c>
      <c r="Q42" s="197">
        <f t="shared" si="86"/>
        <v>654.15191388606854</v>
      </c>
      <c r="R42" s="199">
        <f t="shared" si="87"/>
        <v>804.55471129774878</v>
      </c>
      <c r="S42" s="196">
        <f t="shared" si="132"/>
        <v>3676.4958772451946</v>
      </c>
      <c r="T42" s="197">
        <f t="shared" si="88"/>
        <v>814.63006470799337</v>
      </c>
      <c r="U42" s="197">
        <f t="shared" si="88"/>
        <v>4059.8319704815653</v>
      </c>
      <c r="V42" s="197">
        <f t="shared" si="88"/>
        <v>-383.33609323637097</v>
      </c>
      <c r="W42" s="199">
        <f t="shared" si="88"/>
        <v>431.2939714716224</v>
      </c>
      <c r="X42" s="197"/>
      <c r="Z42" s="204">
        <f t="shared" si="133"/>
        <v>5</v>
      </c>
      <c r="AA42" s="197">
        <f>'Energy NPV'!$D95</f>
        <v>16.3</v>
      </c>
      <c r="AB42" s="197">
        <f>'Energy margins'!$Z$12</f>
        <v>72</v>
      </c>
      <c r="AC42" s="197">
        <f t="shared" si="134"/>
        <v>1173.6000000000001</v>
      </c>
      <c r="AD42" s="197">
        <f>'Margins summary'!$W$14</f>
        <v>175.95</v>
      </c>
      <c r="AE42" s="197">
        <f t="shared" si="89"/>
        <v>1349.5500000000002</v>
      </c>
      <c r="AF42" s="197"/>
      <c r="AG42" s="918">
        <f>'Energy NPV'!U95</f>
        <v>408.3347839999999</v>
      </c>
      <c r="AH42" s="197"/>
      <c r="AI42" s="197">
        <f t="shared" si="90"/>
        <v>408.3347839999999</v>
      </c>
      <c r="AJ42" s="197">
        <f t="shared" si="73"/>
        <v>765.26521600000024</v>
      </c>
      <c r="AK42" s="197">
        <f t="shared" si="74"/>
        <v>941.21521600000028</v>
      </c>
      <c r="AL42" s="196">
        <f t="shared" si="91"/>
        <v>929.60112317614085</v>
      </c>
      <c r="AM42" s="197">
        <f t="shared" si="92"/>
        <v>139.36888004672969</v>
      </c>
      <c r="AN42" s="197">
        <f t="shared" si="93"/>
        <v>323.43939488606571</v>
      </c>
      <c r="AO42" s="197">
        <f t="shared" si="94"/>
        <v>606.16172829007508</v>
      </c>
      <c r="AP42" s="199">
        <f t="shared" si="95"/>
        <v>745.5306083368049</v>
      </c>
      <c r="AQ42" s="196">
        <f t="shared" si="135"/>
        <v>3497.4110602382793</v>
      </c>
      <c r="AR42" s="197">
        <f t="shared" si="96"/>
        <v>785.63533255450454</v>
      </c>
      <c r="AS42" s="197">
        <f t="shared" si="96"/>
        <v>3982.9545637023903</v>
      </c>
      <c r="AT42" s="197">
        <f t="shared" si="96"/>
        <v>-485.54350346411104</v>
      </c>
      <c r="AU42" s="199">
        <f t="shared" si="96"/>
        <v>300.09182909039339</v>
      </c>
      <c r="AV42" s="197"/>
      <c r="AX42" s="204">
        <f t="shared" si="136"/>
        <v>5</v>
      </c>
      <c r="AY42" s="197">
        <f>'Energy NPV'!$D95</f>
        <v>16.3</v>
      </c>
      <c r="AZ42" s="197">
        <f>'Energy margins'!$Z$12</f>
        <v>72</v>
      </c>
      <c r="BA42" s="197">
        <f t="shared" si="137"/>
        <v>1173.6000000000001</v>
      </c>
      <c r="BB42" s="197">
        <f>'Margins summary'!$W$14</f>
        <v>175.95</v>
      </c>
      <c r="BC42" s="197">
        <f t="shared" si="97"/>
        <v>1349.5500000000002</v>
      </c>
      <c r="BD42" s="197"/>
      <c r="BE42" s="918">
        <f>'Energy NPV'!U95</f>
        <v>408.3347839999999</v>
      </c>
      <c r="BF42" s="197"/>
      <c r="BG42" s="197">
        <f t="shared" si="98"/>
        <v>408.3347839999999</v>
      </c>
      <c r="BH42" s="197">
        <f t="shared" si="75"/>
        <v>765.26521600000024</v>
      </c>
      <c r="BI42" s="197">
        <f t="shared" si="76"/>
        <v>941.21521600000028</v>
      </c>
      <c r="BJ42" s="196">
        <f t="shared" si="99"/>
        <v>1084.2249919847172</v>
      </c>
      <c r="BK42" s="197">
        <f t="shared" si="100"/>
        <v>162.55060270936517</v>
      </c>
      <c r="BL42" s="197">
        <f t="shared" si="101"/>
        <v>377.23822248592455</v>
      </c>
      <c r="BM42" s="197">
        <f t="shared" si="102"/>
        <v>706.98676949879268</v>
      </c>
      <c r="BN42" s="199">
        <f t="shared" si="103"/>
        <v>869.53737220815788</v>
      </c>
      <c r="BO42" s="196">
        <f t="shared" si="138"/>
        <v>3870.1652412101284</v>
      </c>
      <c r="BP42" s="197">
        <f t="shared" si="104"/>
        <v>845.91986453174115</v>
      </c>
      <c r="BQ42" s="197">
        <f t="shared" si="105"/>
        <v>4142.5385411724328</v>
      </c>
      <c r="BR42" s="197">
        <f t="shared" si="106"/>
        <v>-272.37329996230392</v>
      </c>
      <c r="BS42" s="199">
        <f t="shared" si="107"/>
        <v>573.54656456943678</v>
      </c>
      <c r="BT42" s="197"/>
      <c r="BV42" s="204">
        <f t="shared" si="139"/>
        <v>5</v>
      </c>
      <c r="BW42" s="197">
        <f>'Energy NPV'!$D95</f>
        <v>16.3</v>
      </c>
      <c r="BX42" s="197">
        <f>'Energy margins'!$Z$12</f>
        <v>72</v>
      </c>
      <c r="BY42" s="197">
        <f t="shared" si="140"/>
        <v>1173.6000000000001</v>
      </c>
      <c r="BZ42" s="197">
        <f>'Margins summary'!$W$14</f>
        <v>175.95</v>
      </c>
      <c r="CA42" s="197">
        <f t="shared" si="108"/>
        <v>1349.5500000000002</v>
      </c>
      <c r="CB42" s="197"/>
      <c r="CC42" s="918">
        <f>'Energy NPV'!U95</f>
        <v>408.3347839999999</v>
      </c>
      <c r="CD42" s="197"/>
      <c r="CE42" s="197">
        <f t="shared" si="109"/>
        <v>408.3347839999999</v>
      </c>
      <c r="CF42" s="197">
        <f t="shared" si="77"/>
        <v>765.26521600000024</v>
      </c>
      <c r="CG42" s="197">
        <f t="shared" si="78"/>
        <v>941.21521600000028</v>
      </c>
      <c r="CH42" s="196">
        <f t="shared" si="110"/>
        <v>862.63103524191763</v>
      </c>
      <c r="CI42" s="197">
        <f t="shared" si="111"/>
        <v>129.32850259953594</v>
      </c>
      <c r="CJ42" s="197">
        <f t="shared" si="112"/>
        <v>300.13825617519149</v>
      </c>
      <c r="CK42" s="197">
        <f t="shared" si="113"/>
        <v>562.49277906672614</v>
      </c>
      <c r="CL42" s="199">
        <f t="shared" si="114"/>
        <v>691.82128166626217</v>
      </c>
      <c r="CM42" s="196">
        <f t="shared" si="141"/>
        <v>3331.5138274991955</v>
      </c>
      <c r="CN42" s="197">
        <f t="shared" si="115"/>
        <v>758.7187175058001</v>
      </c>
      <c r="CO42" s="197">
        <f t="shared" si="116"/>
        <v>3911.3682370913116</v>
      </c>
      <c r="CP42" s="197">
        <f t="shared" si="117"/>
        <v>-579.85440959211655</v>
      </c>
      <c r="CQ42" s="199">
        <f t="shared" si="118"/>
        <v>178.86430791368389</v>
      </c>
      <c r="CR42" s="197"/>
      <c r="CT42" s="204">
        <f t="shared" si="142"/>
        <v>5</v>
      </c>
      <c r="CU42" s="197">
        <f>'Energy NPV'!$D95</f>
        <v>16.3</v>
      </c>
      <c r="CV42" s="197">
        <f>'Energy margins'!$Z$12</f>
        <v>72</v>
      </c>
      <c r="CW42" s="197">
        <f t="shared" si="143"/>
        <v>1173.6000000000001</v>
      </c>
      <c r="CX42" s="197">
        <f>'Margins summary'!$W$14</f>
        <v>175.95</v>
      </c>
      <c r="CY42" s="197">
        <f t="shared" si="119"/>
        <v>1349.5500000000002</v>
      </c>
      <c r="CZ42" s="197"/>
      <c r="DA42" s="918">
        <f>'Energy NPV'!U95</f>
        <v>408.3347839999999</v>
      </c>
      <c r="DB42" s="197"/>
      <c r="DC42" s="197">
        <f t="shared" si="120"/>
        <v>408.3347839999999</v>
      </c>
      <c r="DD42" s="197">
        <f t="shared" si="79"/>
        <v>765.26521600000024</v>
      </c>
      <c r="DE42" s="197">
        <f t="shared" si="80"/>
        <v>941.21521600000028</v>
      </c>
      <c r="DF42" s="196">
        <f t="shared" si="121"/>
        <v>1173.6000000000001</v>
      </c>
      <c r="DG42" s="197">
        <f t="shared" si="122"/>
        <v>175.95</v>
      </c>
      <c r="DH42" s="197">
        <f t="shared" si="123"/>
        <v>408.3347839999999</v>
      </c>
      <c r="DI42" s="197">
        <f t="shared" si="124"/>
        <v>765.26521600000024</v>
      </c>
      <c r="DJ42" s="199">
        <f t="shared" si="125"/>
        <v>941.21521600000028</v>
      </c>
      <c r="DK42" s="196">
        <f t="shared" si="144"/>
        <v>4080.0000000000009</v>
      </c>
      <c r="DL42" s="197">
        <f t="shared" si="126"/>
        <v>879.75</v>
      </c>
      <c r="DM42" s="197">
        <f t="shared" si="127"/>
        <v>4231.6814199999999</v>
      </c>
      <c r="DN42" s="197">
        <f t="shared" si="128"/>
        <v>-151.68141999999921</v>
      </c>
      <c r="DO42" s="199">
        <f t="shared" si="129"/>
        <v>728.06858000000057</v>
      </c>
    </row>
    <row r="43" spans="2:119" x14ac:dyDescent="0.3">
      <c r="B43" s="204">
        <f t="shared" si="130"/>
        <v>6</v>
      </c>
      <c r="C43" s="197">
        <f>'Energy NPV'!$D96</f>
        <v>16.3</v>
      </c>
      <c r="D43" s="197">
        <f>'Energy margins'!$Z$12</f>
        <v>72</v>
      </c>
      <c r="E43" s="197">
        <f t="shared" si="131"/>
        <v>1173.6000000000001</v>
      </c>
      <c r="F43" s="197">
        <f>'Margins summary'!$W$14</f>
        <v>175.95</v>
      </c>
      <c r="G43" s="197">
        <f t="shared" si="81"/>
        <v>1349.5500000000002</v>
      </c>
      <c r="H43" s="197"/>
      <c r="I43" s="918">
        <f>'Energy NPV'!U96</f>
        <v>408.3347839999999</v>
      </c>
      <c r="J43" s="197"/>
      <c r="K43" s="197">
        <f t="shared" si="82"/>
        <v>408.3347839999999</v>
      </c>
      <c r="L43" s="197">
        <f t="shared" si="71"/>
        <v>765.26521600000024</v>
      </c>
      <c r="M43" s="197">
        <f t="shared" si="72"/>
        <v>941.21521600000028</v>
      </c>
      <c r="N43" s="196">
        <f t="shared" si="83"/>
        <v>964.61365249277503</v>
      </c>
      <c r="O43" s="197">
        <f t="shared" si="84"/>
        <v>144.61807443430789</v>
      </c>
      <c r="P43" s="197">
        <f t="shared" si="85"/>
        <v>335.62142760232467</v>
      </c>
      <c r="Q43" s="197">
        <f t="shared" si="86"/>
        <v>628.99222489045042</v>
      </c>
      <c r="R43" s="199">
        <f t="shared" si="87"/>
        <v>773.61029932475833</v>
      </c>
      <c r="S43" s="196">
        <f t="shared" si="132"/>
        <v>4641.1095297379698</v>
      </c>
      <c r="T43" s="197">
        <f t="shared" si="88"/>
        <v>959.24813914230128</v>
      </c>
      <c r="U43" s="197">
        <f t="shared" si="88"/>
        <v>4395.4533980838896</v>
      </c>
      <c r="V43" s="197">
        <f t="shared" si="88"/>
        <v>245.65613165407945</v>
      </c>
      <c r="W43" s="199">
        <f t="shared" si="88"/>
        <v>1204.9042707963808</v>
      </c>
      <c r="X43" s="197"/>
      <c r="Z43" s="204">
        <f t="shared" si="133"/>
        <v>6</v>
      </c>
      <c r="AA43" s="197">
        <f>'Energy NPV'!$D96</f>
        <v>16.3</v>
      </c>
      <c r="AB43" s="197">
        <f>'Energy margins'!$Z$12</f>
        <v>72</v>
      </c>
      <c r="AC43" s="197">
        <f t="shared" si="134"/>
        <v>1173.6000000000001</v>
      </c>
      <c r="AD43" s="197">
        <f>'Margins summary'!$W$14</f>
        <v>175.95</v>
      </c>
      <c r="AE43" s="197">
        <f t="shared" si="89"/>
        <v>1349.5500000000002</v>
      </c>
      <c r="AF43" s="197"/>
      <c r="AG43" s="918">
        <f>'Energy NPV'!U96</f>
        <v>408.3347839999999</v>
      </c>
      <c r="AH43" s="197"/>
      <c r="AI43" s="197">
        <f t="shared" si="90"/>
        <v>408.3347839999999</v>
      </c>
      <c r="AJ43" s="197">
        <f t="shared" si="73"/>
        <v>765.26521600000024</v>
      </c>
      <c r="AK43" s="197">
        <f t="shared" si="74"/>
        <v>941.21521600000028</v>
      </c>
      <c r="AL43" s="196">
        <f t="shared" si="91"/>
        <v>876.98219167560444</v>
      </c>
      <c r="AM43" s="197">
        <f t="shared" si="92"/>
        <v>131.48007551578272</v>
      </c>
      <c r="AN43" s="197">
        <f t="shared" si="93"/>
        <v>305.13150460949595</v>
      </c>
      <c r="AO43" s="197">
        <f t="shared" si="94"/>
        <v>571.85068706610855</v>
      </c>
      <c r="AP43" s="199">
        <f t="shared" si="95"/>
        <v>703.33076258189124</v>
      </c>
      <c r="AQ43" s="196">
        <f t="shared" si="135"/>
        <v>4374.3932519138834</v>
      </c>
      <c r="AR43" s="197">
        <f t="shared" si="96"/>
        <v>917.11540807028723</v>
      </c>
      <c r="AS43" s="197">
        <f t="shared" si="96"/>
        <v>4288.0860683118863</v>
      </c>
      <c r="AT43" s="197">
        <f t="shared" si="96"/>
        <v>86.307183601997508</v>
      </c>
      <c r="AU43" s="199">
        <f t="shared" si="96"/>
        <v>1003.4225916722846</v>
      </c>
      <c r="AV43" s="197"/>
      <c r="AX43" s="204">
        <f t="shared" si="136"/>
        <v>6</v>
      </c>
      <c r="AY43" s="197">
        <f>'Energy NPV'!$D96</f>
        <v>16.3</v>
      </c>
      <c r="AZ43" s="197">
        <f>'Energy margins'!$Z$12</f>
        <v>72</v>
      </c>
      <c r="BA43" s="197">
        <f t="shared" si="137"/>
        <v>1173.6000000000001</v>
      </c>
      <c r="BB43" s="197">
        <f>'Margins summary'!$W$14</f>
        <v>175.95</v>
      </c>
      <c r="BC43" s="197">
        <f t="shared" si="97"/>
        <v>1349.5500000000002</v>
      </c>
      <c r="BD43" s="197"/>
      <c r="BE43" s="918">
        <f>'Energy NPV'!U96</f>
        <v>408.3347839999999</v>
      </c>
      <c r="BF43" s="197"/>
      <c r="BG43" s="197">
        <f t="shared" si="98"/>
        <v>408.3347839999999</v>
      </c>
      <c r="BH43" s="197">
        <f t="shared" si="75"/>
        <v>765.26521600000024</v>
      </c>
      <c r="BI43" s="197">
        <f t="shared" si="76"/>
        <v>941.21521600000028</v>
      </c>
      <c r="BJ43" s="196">
        <f t="shared" si="99"/>
        <v>1062.9656784163894</v>
      </c>
      <c r="BK43" s="197">
        <f t="shared" si="100"/>
        <v>159.3633359895737</v>
      </c>
      <c r="BL43" s="197">
        <f t="shared" si="101"/>
        <v>369.84139459404366</v>
      </c>
      <c r="BM43" s="197">
        <f t="shared" si="102"/>
        <v>693.12428382234577</v>
      </c>
      <c r="BN43" s="199">
        <f t="shared" si="103"/>
        <v>852.48761981191944</v>
      </c>
      <c r="BO43" s="196">
        <f t="shared" si="138"/>
        <v>4933.1309196265174</v>
      </c>
      <c r="BP43" s="197">
        <f t="shared" si="104"/>
        <v>1005.2832005213148</v>
      </c>
      <c r="BQ43" s="197">
        <f t="shared" si="105"/>
        <v>4512.3799357664766</v>
      </c>
      <c r="BR43" s="197">
        <f t="shared" si="106"/>
        <v>420.75098386004186</v>
      </c>
      <c r="BS43" s="199">
        <f t="shared" si="107"/>
        <v>1426.0341843813562</v>
      </c>
      <c r="BT43" s="197"/>
      <c r="BV43" s="204">
        <f t="shared" si="139"/>
        <v>6</v>
      </c>
      <c r="BW43" s="197">
        <f>'Energy NPV'!$D96</f>
        <v>16.3</v>
      </c>
      <c r="BX43" s="197">
        <f>'Energy margins'!$Z$12</f>
        <v>72</v>
      </c>
      <c r="BY43" s="197">
        <f t="shared" si="140"/>
        <v>1173.6000000000001</v>
      </c>
      <c r="BZ43" s="197">
        <f>'Margins summary'!$W$14</f>
        <v>175.95</v>
      </c>
      <c r="CA43" s="197">
        <f t="shared" si="108"/>
        <v>1349.5500000000002</v>
      </c>
      <c r="CB43" s="197"/>
      <c r="CC43" s="918">
        <f>'Energy NPV'!U96</f>
        <v>408.3347839999999</v>
      </c>
      <c r="CD43" s="197"/>
      <c r="CE43" s="197">
        <f t="shared" si="109"/>
        <v>408.3347839999999</v>
      </c>
      <c r="CF43" s="197">
        <f t="shared" si="77"/>
        <v>765.26521600000024</v>
      </c>
      <c r="CG43" s="197">
        <f t="shared" si="78"/>
        <v>941.21521600000028</v>
      </c>
      <c r="CH43" s="196">
        <f t="shared" si="110"/>
        <v>798.73244003881268</v>
      </c>
      <c r="CI43" s="197">
        <f t="shared" si="111"/>
        <v>119.74861351808883</v>
      </c>
      <c r="CJ43" s="197">
        <f t="shared" si="112"/>
        <v>277.9057927548069</v>
      </c>
      <c r="CK43" s="197">
        <f t="shared" si="113"/>
        <v>520.82664728400573</v>
      </c>
      <c r="CL43" s="199">
        <f t="shared" si="114"/>
        <v>640.57526080209459</v>
      </c>
      <c r="CM43" s="196">
        <f t="shared" si="141"/>
        <v>4130.2462675380084</v>
      </c>
      <c r="CN43" s="197">
        <f t="shared" si="115"/>
        <v>878.46733102388896</v>
      </c>
      <c r="CO43" s="197">
        <f t="shared" si="116"/>
        <v>4189.2740298461185</v>
      </c>
      <c r="CP43" s="197">
        <f t="shared" si="117"/>
        <v>-59.027762308110823</v>
      </c>
      <c r="CQ43" s="199">
        <f t="shared" si="118"/>
        <v>819.43956871577848</v>
      </c>
      <c r="CR43" s="197"/>
      <c r="CT43" s="204">
        <f t="shared" si="142"/>
        <v>6</v>
      </c>
      <c r="CU43" s="197">
        <f>'Energy NPV'!$D96</f>
        <v>16.3</v>
      </c>
      <c r="CV43" s="197">
        <f>'Energy margins'!$Z$12</f>
        <v>72</v>
      </c>
      <c r="CW43" s="197">
        <f t="shared" si="143"/>
        <v>1173.6000000000001</v>
      </c>
      <c r="CX43" s="197">
        <f>'Margins summary'!$W$14</f>
        <v>175.95</v>
      </c>
      <c r="CY43" s="197">
        <f t="shared" si="119"/>
        <v>1349.5500000000002</v>
      </c>
      <c r="CZ43" s="197"/>
      <c r="DA43" s="918">
        <f>'Energy NPV'!U96</f>
        <v>408.3347839999999</v>
      </c>
      <c r="DB43" s="197"/>
      <c r="DC43" s="197">
        <f t="shared" si="120"/>
        <v>408.3347839999999</v>
      </c>
      <c r="DD43" s="197">
        <f t="shared" si="79"/>
        <v>765.26521600000024</v>
      </c>
      <c r="DE43" s="197">
        <f t="shared" si="80"/>
        <v>941.21521600000028</v>
      </c>
      <c r="DF43" s="196">
        <f t="shared" si="121"/>
        <v>1173.6000000000001</v>
      </c>
      <c r="DG43" s="197">
        <f t="shared" si="122"/>
        <v>175.95</v>
      </c>
      <c r="DH43" s="197">
        <f t="shared" si="123"/>
        <v>408.3347839999999</v>
      </c>
      <c r="DI43" s="197">
        <f t="shared" si="124"/>
        <v>765.26521600000024</v>
      </c>
      <c r="DJ43" s="199">
        <f t="shared" si="125"/>
        <v>941.21521600000028</v>
      </c>
      <c r="DK43" s="196">
        <f t="shared" si="144"/>
        <v>5253.6000000000013</v>
      </c>
      <c r="DL43" s="197">
        <f t="shared" si="126"/>
        <v>1055.7</v>
      </c>
      <c r="DM43" s="197">
        <f t="shared" si="127"/>
        <v>4640.0162039999996</v>
      </c>
      <c r="DN43" s="197">
        <f t="shared" si="128"/>
        <v>613.58379600000103</v>
      </c>
      <c r="DO43" s="199">
        <f t="shared" si="129"/>
        <v>1669.2837960000008</v>
      </c>
    </row>
    <row r="44" spans="2:119" x14ac:dyDescent="0.3">
      <c r="B44" s="204">
        <f t="shared" si="130"/>
        <v>7</v>
      </c>
      <c r="C44" s="197">
        <f>'Energy NPV'!$D97</f>
        <v>16.3</v>
      </c>
      <c r="D44" s="197">
        <f>'Energy margins'!$Z$12</f>
        <v>72</v>
      </c>
      <c r="E44" s="197">
        <f t="shared" si="131"/>
        <v>1173.6000000000001</v>
      </c>
      <c r="F44" s="197">
        <f>'Margins summary'!$W$14</f>
        <v>175.95</v>
      </c>
      <c r="G44" s="197">
        <f t="shared" si="81"/>
        <v>1349.5500000000002</v>
      </c>
      <c r="H44" s="197"/>
      <c r="I44" s="918">
        <f>'Energy NPV'!U97</f>
        <v>408.3347839999999</v>
      </c>
      <c r="J44" s="197"/>
      <c r="K44" s="197">
        <f t="shared" si="82"/>
        <v>408.3347839999999</v>
      </c>
      <c r="L44" s="197">
        <f t="shared" si="71"/>
        <v>765.26521600000024</v>
      </c>
      <c r="M44" s="197">
        <f t="shared" si="72"/>
        <v>941.21521600000028</v>
      </c>
      <c r="N44" s="196">
        <f t="shared" si="83"/>
        <v>927.51312739689911</v>
      </c>
      <c r="O44" s="197">
        <f t="shared" si="84"/>
        <v>139.05584080221914</v>
      </c>
      <c r="P44" s="197">
        <f t="shared" si="85"/>
        <v>322.71291115608142</v>
      </c>
      <c r="Q44" s="197">
        <f t="shared" si="86"/>
        <v>604.80021624081769</v>
      </c>
      <c r="R44" s="199">
        <f t="shared" si="87"/>
        <v>743.85605704303691</v>
      </c>
      <c r="S44" s="196">
        <f t="shared" si="132"/>
        <v>5568.6226571348689</v>
      </c>
      <c r="T44" s="197">
        <f t="shared" si="88"/>
        <v>1098.3039799445205</v>
      </c>
      <c r="U44" s="197">
        <f t="shared" si="88"/>
        <v>4718.1663092399713</v>
      </c>
      <c r="V44" s="197">
        <f t="shared" si="88"/>
        <v>850.45634789489714</v>
      </c>
      <c r="W44" s="199">
        <f t="shared" si="88"/>
        <v>1948.7603278394176</v>
      </c>
      <c r="X44" s="197"/>
      <c r="Z44" s="204">
        <f t="shared" si="133"/>
        <v>7</v>
      </c>
      <c r="AA44" s="197">
        <f>'Energy NPV'!$D97</f>
        <v>16.3</v>
      </c>
      <c r="AB44" s="197">
        <f>'Energy margins'!$Z$12</f>
        <v>72</v>
      </c>
      <c r="AC44" s="197">
        <f t="shared" si="134"/>
        <v>1173.6000000000001</v>
      </c>
      <c r="AD44" s="197">
        <f>'Margins summary'!$W$14</f>
        <v>175.95</v>
      </c>
      <c r="AE44" s="197">
        <f t="shared" si="89"/>
        <v>1349.5500000000002</v>
      </c>
      <c r="AF44" s="197"/>
      <c r="AG44" s="918">
        <f>'Energy NPV'!U97</f>
        <v>408.3347839999999</v>
      </c>
      <c r="AH44" s="197"/>
      <c r="AI44" s="197">
        <f t="shared" si="90"/>
        <v>408.3347839999999</v>
      </c>
      <c r="AJ44" s="197">
        <f t="shared" si="73"/>
        <v>765.26521600000024</v>
      </c>
      <c r="AK44" s="197">
        <f t="shared" si="74"/>
        <v>941.21521600000028</v>
      </c>
      <c r="AL44" s="196">
        <f t="shared" si="91"/>
        <v>827.34169026000416</v>
      </c>
      <c r="AM44" s="197">
        <f t="shared" si="92"/>
        <v>124.03780709036103</v>
      </c>
      <c r="AN44" s="197">
        <f t="shared" si="93"/>
        <v>287.85991000895842</v>
      </c>
      <c r="AO44" s="197">
        <f t="shared" si="94"/>
        <v>539.48178025104573</v>
      </c>
      <c r="AP44" s="199">
        <f t="shared" si="95"/>
        <v>663.5195873414068</v>
      </c>
      <c r="AQ44" s="196">
        <f t="shared" si="135"/>
        <v>5201.7349421738872</v>
      </c>
      <c r="AR44" s="197">
        <f t="shared" si="96"/>
        <v>1041.1532151606482</v>
      </c>
      <c r="AS44" s="197">
        <f t="shared" si="96"/>
        <v>4575.9459783208449</v>
      </c>
      <c r="AT44" s="197">
        <f t="shared" si="96"/>
        <v>625.78896385304324</v>
      </c>
      <c r="AU44" s="199">
        <f t="shared" si="96"/>
        <v>1666.9421790136914</v>
      </c>
      <c r="AV44" s="197"/>
      <c r="AX44" s="204">
        <f t="shared" si="136"/>
        <v>7</v>
      </c>
      <c r="AY44" s="197">
        <f>'Energy NPV'!$D97</f>
        <v>16.3</v>
      </c>
      <c r="AZ44" s="197">
        <f>'Energy margins'!$Z$12</f>
        <v>72</v>
      </c>
      <c r="BA44" s="197">
        <f t="shared" si="137"/>
        <v>1173.6000000000001</v>
      </c>
      <c r="BB44" s="197">
        <f>'Margins summary'!$W$14</f>
        <v>175.95</v>
      </c>
      <c r="BC44" s="197">
        <f t="shared" si="97"/>
        <v>1349.5500000000002</v>
      </c>
      <c r="BD44" s="197"/>
      <c r="BE44" s="918">
        <f>'Energy NPV'!U97</f>
        <v>408.3347839999999</v>
      </c>
      <c r="BF44" s="197"/>
      <c r="BG44" s="197">
        <f t="shared" si="98"/>
        <v>408.3347839999999</v>
      </c>
      <c r="BH44" s="197">
        <f t="shared" si="75"/>
        <v>765.26521600000024</v>
      </c>
      <c r="BI44" s="197">
        <f t="shared" si="76"/>
        <v>941.21521600000028</v>
      </c>
      <c r="BJ44" s="196">
        <f t="shared" si="99"/>
        <v>1042.123214133715</v>
      </c>
      <c r="BK44" s="197">
        <f t="shared" si="100"/>
        <v>156.23856469566047</v>
      </c>
      <c r="BL44" s="197">
        <f t="shared" si="101"/>
        <v>362.58960254318009</v>
      </c>
      <c r="BM44" s="197">
        <f t="shared" si="102"/>
        <v>679.53361159053497</v>
      </c>
      <c r="BN44" s="199">
        <f t="shared" si="103"/>
        <v>835.77217628619553</v>
      </c>
      <c r="BO44" s="196">
        <f t="shared" si="138"/>
        <v>5975.2541337602324</v>
      </c>
      <c r="BP44" s="197">
        <f t="shared" si="104"/>
        <v>1161.5217652169754</v>
      </c>
      <c r="BQ44" s="197">
        <f t="shared" si="105"/>
        <v>4874.9695383096569</v>
      </c>
      <c r="BR44" s="197">
        <f t="shared" si="106"/>
        <v>1100.2845954505769</v>
      </c>
      <c r="BS44" s="199">
        <f t="shared" si="107"/>
        <v>2261.8063606675519</v>
      </c>
      <c r="BT44" s="197"/>
      <c r="BV44" s="204">
        <f t="shared" si="139"/>
        <v>7</v>
      </c>
      <c r="BW44" s="197">
        <f>'Energy NPV'!$D97</f>
        <v>16.3</v>
      </c>
      <c r="BX44" s="197">
        <f>'Energy margins'!$Z$12</f>
        <v>72</v>
      </c>
      <c r="BY44" s="197">
        <f t="shared" si="140"/>
        <v>1173.6000000000001</v>
      </c>
      <c r="BZ44" s="197">
        <f>'Margins summary'!$W$14</f>
        <v>175.95</v>
      </c>
      <c r="CA44" s="197">
        <f t="shared" si="108"/>
        <v>1349.5500000000002</v>
      </c>
      <c r="CB44" s="197"/>
      <c r="CC44" s="918">
        <f>'Energy NPV'!U97</f>
        <v>408.3347839999999</v>
      </c>
      <c r="CD44" s="197"/>
      <c r="CE44" s="197">
        <f t="shared" si="109"/>
        <v>408.3347839999999</v>
      </c>
      <c r="CF44" s="197">
        <f t="shared" si="77"/>
        <v>765.26521600000024</v>
      </c>
      <c r="CG44" s="197">
        <f t="shared" si="78"/>
        <v>941.21521600000028</v>
      </c>
      <c r="CH44" s="196">
        <f t="shared" si="110"/>
        <v>739.56707411001162</v>
      </c>
      <c r="CI44" s="197">
        <f t="shared" si="111"/>
        <v>110.87834585008224</v>
      </c>
      <c r="CJ44" s="197">
        <f t="shared" si="112"/>
        <v>257.32017847667305</v>
      </c>
      <c r="CK44" s="197">
        <f t="shared" si="113"/>
        <v>482.24689563333857</v>
      </c>
      <c r="CL44" s="199">
        <f t="shared" si="114"/>
        <v>593.12524148342084</v>
      </c>
      <c r="CM44" s="196">
        <f t="shared" si="141"/>
        <v>4869.8133416480196</v>
      </c>
      <c r="CN44" s="197">
        <f t="shared" si="115"/>
        <v>989.34567687397123</v>
      </c>
      <c r="CO44" s="197">
        <f t="shared" si="116"/>
        <v>4446.5942083227919</v>
      </c>
      <c r="CP44" s="197">
        <f t="shared" si="117"/>
        <v>423.21913332522774</v>
      </c>
      <c r="CQ44" s="199">
        <f t="shared" si="118"/>
        <v>1412.5648101991992</v>
      </c>
      <c r="CR44" s="197"/>
      <c r="CT44" s="204">
        <f t="shared" si="142"/>
        <v>7</v>
      </c>
      <c r="CU44" s="197">
        <f>'Energy NPV'!$D97</f>
        <v>16.3</v>
      </c>
      <c r="CV44" s="197">
        <f>'Energy margins'!$Z$12</f>
        <v>72</v>
      </c>
      <c r="CW44" s="197">
        <f t="shared" si="143"/>
        <v>1173.6000000000001</v>
      </c>
      <c r="CX44" s="197">
        <f>'Margins summary'!$W$14</f>
        <v>175.95</v>
      </c>
      <c r="CY44" s="197">
        <f t="shared" si="119"/>
        <v>1349.5500000000002</v>
      </c>
      <c r="CZ44" s="197"/>
      <c r="DA44" s="918">
        <f>'Energy NPV'!U97</f>
        <v>408.3347839999999</v>
      </c>
      <c r="DB44" s="197"/>
      <c r="DC44" s="197">
        <f t="shared" si="120"/>
        <v>408.3347839999999</v>
      </c>
      <c r="DD44" s="197">
        <f t="shared" si="79"/>
        <v>765.26521600000024</v>
      </c>
      <c r="DE44" s="197">
        <f t="shared" si="80"/>
        <v>941.21521600000028</v>
      </c>
      <c r="DF44" s="196">
        <f t="shared" si="121"/>
        <v>1173.6000000000001</v>
      </c>
      <c r="DG44" s="197">
        <f t="shared" si="122"/>
        <v>175.95</v>
      </c>
      <c r="DH44" s="197">
        <f t="shared" si="123"/>
        <v>408.3347839999999</v>
      </c>
      <c r="DI44" s="197">
        <f t="shared" si="124"/>
        <v>765.26521600000024</v>
      </c>
      <c r="DJ44" s="199">
        <f t="shared" si="125"/>
        <v>941.21521600000028</v>
      </c>
      <c r="DK44" s="196">
        <f t="shared" si="144"/>
        <v>6427.2000000000016</v>
      </c>
      <c r="DL44" s="197">
        <f t="shared" si="126"/>
        <v>1231.6500000000001</v>
      </c>
      <c r="DM44" s="197">
        <f t="shared" si="127"/>
        <v>5048.3509879999992</v>
      </c>
      <c r="DN44" s="197">
        <f t="shared" si="128"/>
        <v>1378.8490120000013</v>
      </c>
      <c r="DO44" s="199">
        <f t="shared" si="129"/>
        <v>2610.4990120000011</v>
      </c>
    </row>
    <row r="45" spans="2:119" x14ac:dyDescent="0.3">
      <c r="B45" s="204">
        <f t="shared" si="130"/>
        <v>8</v>
      </c>
      <c r="C45" s="197">
        <f>'Energy NPV'!$D98</f>
        <v>16.3</v>
      </c>
      <c r="D45" s="197">
        <f>'Energy margins'!$Z$12</f>
        <v>72</v>
      </c>
      <c r="E45" s="197">
        <f t="shared" si="131"/>
        <v>1173.6000000000001</v>
      </c>
      <c r="F45" s="197">
        <f>'Margins summary'!$W$14</f>
        <v>175.95</v>
      </c>
      <c r="G45" s="197">
        <f t="shared" si="81"/>
        <v>1349.5500000000002</v>
      </c>
      <c r="H45" s="197"/>
      <c r="I45" s="918">
        <f>'Energy NPV'!U98</f>
        <v>408.3347839999999</v>
      </c>
      <c r="J45" s="197"/>
      <c r="K45" s="197">
        <f t="shared" si="82"/>
        <v>408.3347839999999</v>
      </c>
      <c r="L45" s="197">
        <f t="shared" si="71"/>
        <v>765.26521600000024</v>
      </c>
      <c r="M45" s="197">
        <f t="shared" si="72"/>
        <v>941.21521600000028</v>
      </c>
      <c r="N45" s="196">
        <f t="shared" si="83"/>
        <v>891.83954557394156</v>
      </c>
      <c r="O45" s="197">
        <f t="shared" si="84"/>
        <v>133.70753923290303</v>
      </c>
      <c r="P45" s="197">
        <f t="shared" si="85"/>
        <v>310.30087611161679</v>
      </c>
      <c r="Q45" s="197">
        <f t="shared" si="86"/>
        <v>581.53866946232472</v>
      </c>
      <c r="R45" s="199">
        <f t="shared" si="87"/>
        <v>715.24620869522778</v>
      </c>
      <c r="S45" s="196">
        <f t="shared" si="132"/>
        <v>6460.4622027088108</v>
      </c>
      <c r="T45" s="197">
        <f t="shared" si="88"/>
        <v>1232.0115191774235</v>
      </c>
      <c r="U45" s="197">
        <f t="shared" si="88"/>
        <v>5028.4671853515883</v>
      </c>
      <c r="V45" s="197">
        <f t="shared" si="88"/>
        <v>1431.995017357222</v>
      </c>
      <c r="W45" s="199">
        <f t="shared" si="88"/>
        <v>2664.0065365346454</v>
      </c>
      <c r="X45" s="197"/>
      <c r="Z45" s="204">
        <f t="shared" si="133"/>
        <v>8</v>
      </c>
      <c r="AA45" s="197">
        <f>'Energy NPV'!$D98</f>
        <v>16.3</v>
      </c>
      <c r="AB45" s="197">
        <f>'Energy margins'!$Z$12</f>
        <v>72</v>
      </c>
      <c r="AC45" s="197">
        <f t="shared" si="134"/>
        <v>1173.6000000000001</v>
      </c>
      <c r="AD45" s="197">
        <f>'Margins summary'!$W$14</f>
        <v>175.95</v>
      </c>
      <c r="AE45" s="197">
        <f t="shared" si="89"/>
        <v>1349.5500000000002</v>
      </c>
      <c r="AF45" s="197"/>
      <c r="AG45" s="918">
        <f>'Energy NPV'!U98</f>
        <v>408.3347839999999</v>
      </c>
      <c r="AH45" s="197"/>
      <c r="AI45" s="197">
        <f t="shared" si="90"/>
        <v>408.3347839999999</v>
      </c>
      <c r="AJ45" s="197">
        <f t="shared" si="73"/>
        <v>765.26521600000024</v>
      </c>
      <c r="AK45" s="197">
        <f t="shared" si="74"/>
        <v>941.21521600000028</v>
      </c>
      <c r="AL45" s="196">
        <f t="shared" si="91"/>
        <v>780.51102854717362</v>
      </c>
      <c r="AM45" s="197">
        <f t="shared" si="92"/>
        <v>117.01679914185002</v>
      </c>
      <c r="AN45" s="197">
        <f t="shared" si="93"/>
        <v>271.56595283863999</v>
      </c>
      <c r="AO45" s="197">
        <f t="shared" si="94"/>
        <v>508.94507570853369</v>
      </c>
      <c r="AP45" s="199">
        <f t="shared" si="95"/>
        <v>625.96187485038377</v>
      </c>
      <c r="AQ45" s="196">
        <f t="shared" si="135"/>
        <v>5982.245970721061</v>
      </c>
      <c r="AR45" s="197">
        <f t="shared" si="96"/>
        <v>1158.1700143024982</v>
      </c>
      <c r="AS45" s="197">
        <f t="shared" si="96"/>
        <v>4847.5119311594844</v>
      </c>
      <c r="AT45" s="197">
        <f t="shared" si="96"/>
        <v>1134.734039561577</v>
      </c>
      <c r="AU45" s="199">
        <f t="shared" si="96"/>
        <v>2292.9040538640752</v>
      </c>
      <c r="AV45" s="197"/>
      <c r="AX45" s="204">
        <f t="shared" si="136"/>
        <v>8</v>
      </c>
      <c r="AY45" s="197">
        <f>'Energy NPV'!$D98</f>
        <v>16.3</v>
      </c>
      <c r="AZ45" s="197">
        <f>'Energy margins'!$Z$12</f>
        <v>72</v>
      </c>
      <c r="BA45" s="197">
        <f t="shared" si="137"/>
        <v>1173.6000000000001</v>
      </c>
      <c r="BB45" s="197">
        <f>'Margins summary'!$W$14</f>
        <v>175.95</v>
      </c>
      <c r="BC45" s="197">
        <f t="shared" si="97"/>
        <v>1349.5500000000002</v>
      </c>
      <c r="BD45" s="197"/>
      <c r="BE45" s="918">
        <f>'Energy NPV'!U98</f>
        <v>408.3347839999999</v>
      </c>
      <c r="BF45" s="197"/>
      <c r="BG45" s="197">
        <f t="shared" si="98"/>
        <v>408.3347839999999</v>
      </c>
      <c r="BH45" s="197">
        <f t="shared" si="75"/>
        <v>765.26521600000024</v>
      </c>
      <c r="BI45" s="197">
        <f t="shared" si="76"/>
        <v>941.21521600000028</v>
      </c>
      <c r="BJ45" s="196">
        <f t="shared" si="99"/>
        <v>1021.6894256212895</v>
      </c>
      <c r="BK45" s="197">
        <f t="shared" si="100"/>
        <v>153.17506342711815</v>
      </c>
      <c r="BL45" s="197">
        <f t="shared" si="101"/>
        <v>355.48000249331386</v>
      </c>
      <c r="BM45" s="197">
        <f t="shared" si="102"/>
        <v>666.20942312797558</v>
      </c>
      <c r="BN45" s="199">
        <f t="shared" si="103"/>
        <v>819.38448655509387</v>
      </c>
      <c r="BO45" s="196">
        <f t="shared" si="138"/>
        <v>6996.9435593815215</v>
      </c>
      <c r="BP45" s="197">
        <f t="shared" si="104"/>
        <v>1314.6968286440936</v>
      </c>
      <c r="BQ45" s="197">
        <f t="shared" si="105"/>
        <v>5230.4495408029707</v>
      </c>
      <c r="BR45" s="197">
        <f t="shared" si="106"/>
        <v>1766.4940185785526</v>
      </c>
      <c r="BS45" s="199">
        <f t="shared" si="107"/>
        <v>3081.190847222646</v>
      </c>
      <c r="BT45" s="197"/>
      <c r="BV45" s="204">
        <f t="shared" si="139"/>
        <v>8</v>
      </c>
      <c r="BW45" s="197">
        <f>'Energy NPV'!$D98</f>
        <v>16.3</v>
      </c>
      <c r="BX45" s="197">
        <f>'Energy margins'!$Z$12</f>
        <v>72</v>
      </c>
      <c r="BY45" s="197">
        <f t="shared" si="140"/>
        <v>1173.6000000000001</v>
      </c>
      <c r="BZ45" s="197">
        <f>'Margins summary'!$W$14</f>
        <v>175.95</v>
      </c>
      <c r="CA45" s="197">
        <f t="shared" si="108"/>
        <v>1349.5500000000002</v>
      </c>
      <c r="CB45" s="197"/>
      <c r="CC45" s="918">
        <f>'Energy NPV'!U98</f>
        <v>408.3347839999999</v>
      </c>
      <c r="CD45" s="197"/>
      <c r="CE45" s="197">
        <f t="shared" si="109"/>
        <v>408.3347839999999</v>
      </c>
      <c r="CF45" s="197">
        <f t="shared" si="77"/>
        <v>765.26521600000024</v>
      </c>
      <c r="CG45" s="197">
        <f t="shared" si="78"/>
        <v>941.21521600000028</v>
      </c>
      <c r="CH45" s="196">
        <f t="shared" si="110"/>
        <v>684.78432787964039</v>
      </c>
      <c r="CI45" s="197">
        <f t="shared" si="111"/>
        <v>102.66513504637244</v>
      </c>
      <c r="CJ45" s="197">
        <f t="shared" si="112"/>
        <v>238.25942451543798</v>
      </c>
      <c r="CK45" s="197">
        <f t="shared" si="113"/>
        <v>446.52490336420237</v>
      </c>
      <c r="CL45" s="199">
        <f t="shared" si="114"/>
        <v>549.19003841057486</v>
      </c>
      <c r="CM45" s="196">
        <f t="shared" si="141"/>
        <v>5554.5976695276604</v>
      </c>
      <c r="CN45" s="197">
        <f t="shared" si="115"/>
        <v>1092.0108119203437</v>
      </c>
      <c r="CO45" s="197">
        <f t="shared" si="116"/>
        <v>4684.8536328382297</v>
      </c>
      <c r="CP45" s="197">
        <f t="shared" si="117"/>
        <v>869.74403668943012</v>
      </c>
      <c r="CQ45" s="199">
        <f t="shared" si="118"/>
        <v>1961.7548486097739</v>
      </c>
      <c r="CR45" s="197"/>
      <c r="CT45" s="204">
        <f t="shared" si="142"/>
        <v>8</v>
      </c>
      <c r="CU45" s="197">
        <f>'Energy NPV'!$D98</f>
        <v>16.3</v>
      </c>
      <c r="CV45" s="197">
        <f>'Energy margins'!$Z$12</f>
        <v>72</v>
      </c>
      <c r="CW45" s="197">
        <f t="shared" si="143"/>
        <v>1173.6000000000001</v>
      </c>
      <c r="CX45" s="197">
        <f>'Margins summary'!$W$14</f>
        <v>175.95</v>
      </c>
      <c r="CY45" s="197">
        <f t="shared" si="119"/>
        <v>1349.5500000000002</v>
      </c>
      <c r="CZ45" s="197"/>
      <c r="DA45" s="918">
        <f>'Energy NPV'!U98</f>
        <v>408.3347839999999</v>
      </c>
      <c r="DB45" s="197"/>
      <c r="DC45" s="197">
        <f t="shared" si="120"/>
        <v>408.3347839999999</v>
      </c>
      <c r="DD45" s="197">
        <f t="shared" si="79"/>
        <v>765.26521600000024</v>
      </c>
      <c r="DE45" s="197">
        <f t="shared" si="80"/>
        <v>941.21521600000028</v>
      </c>
      <c r="DF45" s="196">
        <f t="shared" si="121"/>
        <v>1173.6000000000001</v>
      </c>
      <c r="DG45" s="197">
        <f t="shared" si="122"/>
        <v>175.95</v>
      </c>
      <c r="DH45" s="197">
        <f t="shared" si="123"/>
        <v>408.3347839999999</v>
      </c>
      <c r="DI45" s="197">
        <f t="shared" si="124"/>
        <v>765.26521600000024</v>
      </c>
      <c r="DJ45" s="199">
        <f t="shared" si="125"/>
        <v>941.21521600000028</v>
      </c>
      <c r="DK45" s="196">
        <f t="shared" si="144"/>
        <v>7600.800000000002</v>
      </c>
      <c r="DL45" s="197">
        <f t="shared" si="126"/>
        <v>1407.6000000000001</v>
      </c>
      <c r="DM45" s="197">
        <f t="shared" si="127"/>
        <v>5456.6857719999989</v>
      </c>
      <c r="DN45" s="197">
        <f t="shared" si="128"/>
        <v>2144.1142280000013</v>
      </c>
      <c r="DO45" s="199">
        <f t="shared" si="129"/>
        <v>3551.7142280000016</v>
      </c>
    </row>
    <row r="46" spans="2:119" x14ac:dyDescent="0.3">
      <c r="B46" s="204">
        <f t="shared" si="130"/>
        <v>9</v>
      </c>
      <c r="C46" s="197">
        <f>'Energy NPV'!$D99</f>
        <v>16.3</v>
      </c>
      <c r="D46" s="197">
        <f>'Energy margins'!$Z$12</f>
        <v>72</v>
      </c>
      <c r="E46" s="197">
        <f t="shared" si="131"/>
        <v>1173.6000000000001</v>
      </c>
      <c r="F46" s="197">
        <f>'Margins summary'!$W$14</f>
        <v>175.95</v>
      </c>
      <c r="G46" s="197">
        <f t="shared" si="81"/>
        <v>1349.5500000000002</v>
      </c>
      <c r="H46" s="197"/>
      <c r="I46" s="918">
        <f>'Energy NPV'!U99</f>
        <v>408.3347839999999</v>
      </c>
      <c r="J46" s="197"/>
      <c r="K46" s="197">
        <f t="shared" si="82"/>
        <v>408.3347839999999</v>
      </c>
      <c r="L46" s="197">
        <f t="shared" si="71"/>
        <v>765.26521600000024</v>
      </c>
      <c r="M46" s="197">
        <f t="shared" si="72"/>
        <v>941.21521600000028</v>
      </c>
      <c r="N46" s="196">
        <f t="shared" si="83"/>
        <v>857.53802459032829</v>
      </c>
      <c r="O46" s="197">
        <f t="shared" si="84"/>
        <v>128.56494157009902</v>
      </c>
      <c r="P46" s="197">
        <f t="shared" si="85"/>
        <v>298.36622703040069</v>
      </c>
      <c r="Q46" s="197">
        <f t="shared" si="86"/>
        <v>559.17179755992754</v>
      </c>
      <c r="R46" s="199">
        <f t="shared" si="87"/>
        <v>687.73673913002665</v>
      </c>
      <c r="S46" s="196">
        <f t="shared" si="132"/>
        <v>7318.0002272991387</v>
      </c>
      <c r="T46" s="197">
        <f t="shared" si="88"/>
        <v>1360.5764607475226</v>
      </c>
      <c r="U46" s="197">
        <f t="shared" si="88"/>
        <v>5326.8334123819886</v>
      </c>
      <c r="V46" s="197">
        <f t="shared" si="88"/>
        <v>1991.1668149171496</v>
      </c>
      <c r="W46" s="199">
        <f t="shared" si="88"/>
        <v>3351.7432756646722</v>
      </c>
      <c r="X46" s="197"/>
      <c r="Z46" s="204">
        <f t="shared" si="133"/>
        <v>9</v>
      </c>
      <c r="AA46" s="197">
        <f>'Energy NPV'!$D99</f>
        <v>16.3</v>
      </c>
      <c r="AB46" s="197">
        <f>'Energy margins'!$Z$12</f>
        <v>72</v>
      </c>
      <c r="AC46" s="197">
        <f t="shared" si="134"/>
        <v>1173.6000000000001</v>
      </c>
      <c r="AD46" s="197">
        <f>'Margins summary'!$W$14</f>
        <v>175.95</v>
      </c>
      <c r="AE46" s="197">
        <f t="shared" si="89"/>
        <v>1349.5500000000002</v>
      </c>
      <c r="AF46" s="197"/>
      <c r="AG46" s="918">
        <f>'Energy NPV'!U99</f>
        <v>408.3347839999999</v>
      </c>
      <c r="AH46" s="197"/>
      <c r="AI46" s="197">
        <f t="shared" si="90"/>
        <v>408.3347839999999</v>
      </c>
      <c r="AJ46" s="197">
        <f t="shared" si="73"/>
        <v>765.26521600000024</v>
      </c>
      <c r="AK46" s="197">
        <f t="shared" si="74"/>
        <v>941.21521600000028</v>
      </c>
      <c r="AL46" s="196">
        <f t="shared" si="91"/>
        <v>736.33115900676762</v>
      </c>
      <c r="AM46" s="197">
        <f t="shared" si="92"/>
        <v>110.39320673759437</v>
      </c>
      <c r="AN46" s="197">
        <f t="shared" si="93"/>
        <v>256.19429513079245</v>
      </c>
      <c r="AO46" s="197">
        <f t="shared" si="94"/>
        <v>480.13686387597522</v>
      </c>
      <c r="AP46" s="199">
        <f t="shared" si="95"/>
        <v>590.53007061356959</v>
      </c>
      <c r="AQ46" s="196">
        <f t="shared" si="135"/>
        <v>6718.5771297278288</v>
      </c>
      <c r="AR46" s="197">
        <f t="shared" si="96"/>
        <v>1268.5632210400927</v>
      </c>
      <c r="AS46" s="197">
        <f t="shared" si="96"/>
        <v>5103.7062262902773</v>
      </c>
      <c r="AT46" s="197">
        <f t="shared" si="96"/>
        <v>1614.8709034375522</v>
      </c>
      <c r="AU46" s="199">
        <f t="shared" si="96"/>
        <v>2883.4341244776447</v>
      </c>
      <c r="AV46" s="197"/>
      <c r="AX46" s="204">
        <f t="shared" si="136"/>
        <v>9</v>
      </c>
      <c r="AY46" s="197">
        <f>'Energy NPV'!$D99</f>
        <v>16.3</v>
      </c>
      <c r="AZ46" s="197">
        <f>'Energy margins'!$Z$12</f>
        <v>72</v>
      </c>
      <c r="BA46" s="197">
        <f t="shared" si="137"/>
        <v>1173.6000000000001</v>
      </c>
      <c r="BB46" s="197">
        <f>'Margins summary'!$W$14</f>
        <v>175.95</v>
      </c>
      <c r="BC46" s="197">
        <f t="shared" si="97"/>
        <v>1349.5500000000002</v>
      </c>
      <c r="BD46" s="197"/>
      <c r="BE46" s="918">
        <f>'Energy NPV'!U99</f>
        <v>408.3347839999999</v>
      </c>
      <c r="BF46" s="197"/>
      <c r="BG46" s="197">
        <f t="shared" si="98"/>
        <v>408.3347839999999</v>
      </c>
      <c r="BH46" s="197">
        <f t="shared" si="75"/>
        <v>765.26521600000024</v>
      </c>
      <c r="BI46" s="197">
        <f t="shared" si="76"/>
        <v>941.21521600000028</v>
      </c>
      <c r="BJ46" s="196">
        <f t="shared" si="99"/>
        <v>1001.6562996287151</v>
      </c>
      <c r="BK46" s="197">
        <f t="shared" si="100"/>
        <v>150.17163081090013</v>
      </c>
      <c r="BL46" s="197">
        <f t="shared" si="101"/>
        <v>348.50980636599394</v>
      </c>
      <c r="BM46" s="197">
        <f t="shared" si="102"/>
        <v>653.14649326272115</v>
      </c>
      <c r="BN46" s="199">
        <f t="shared" si="103"/>
        <v>803.31812407362133</v>
      </c>
      <c r="BO46" s="196">
        <f t="shared" si="138"/>
        <v>7998.5998590102363</v>
      </c>
      <c r="BP46" s="197">
        <f t="shared" si="104"/>
        <v>1464.8684594549936</v>
      </c>
      <c r="BQ46" s="197">
        <f t="shared" si="105"/>
        <v>5578.959347168965</v>
      </c>
      <c r="BR46" s="197">
        <f t="shared" si="106"/>
        <v>2419.640511841274</v>
      </c>
      <c r="BS46" s="199">
        <f t="shared" si="107"/>
        <v>3884.5089712962672</v>
      </c>
      <c r="BT46" s="197"/>
      <c r="BV46" s="204">
        <f t="shared" si="139"/>
        <v>9</v>
      </c>
      <c r="BW46" s="197">
        <f>'Energy NPV'!$D99</f>
        <v>16.3</v>
      </c>
      <c r="BX46" s="197">
        <f>'Energy margins'!$Z$12</f>
        <v>72</v>
      </c>
      <c r="BY46" s="197">
        <f t="shared" si="140"/>
        <v>1173.6000000000001</v>
      </c>
      <c r="BZ46" s="197">
        <f>'Margins summary'!$W$14</f>
        <v>175.95</v>
      </c>
      <c r="CA46" s="197">
        <f t="shared" si="108"/>
        <v>1349.5500000000002</v>
      </c>
      <c r="CB46" s="197"/>
      <c r="CC46" s="918">
        <f>'Energy NPV'!U99</f>
        <v>408.3347839999999</v>
      </c>
      <c r="CD46" s="197"/>
      <c r="CE46" s="197">
        <f t="shared" si="109"/>
        <v>408.3347839999999</v>
      </c>
      <c r="CF46" s="197">
        <f t="shared" si="77"/>
        <v>765.26521600000024</v>
      </c>
      <c r="CG46" s="197">
        <f t="shared" si="78"/>
        <v>941.21521600000028</v>
      </c>
      <c r="CH46" s="196">
        <f t="shared" si="110"/>
        <v>634.05956285151888</v>
      </c>
      <c r="CI46" s="197">
        <f t="shared" si="111"/>
        <v>95.060310228122631</v>
      </c>
      <c r="CJ46" s="197">
        <f t="shared" si="112"/>
        <v>220.61057825503516</v>
      </c>
      <c r="CK46" s="197">
        <f t="shared" si="113"/>
        <v>413.44898459648368</v>
      </c>
      <c r="CL46" s="199">
        <f t="shared" si="114"/>
        <v>508.50929482460634</v>
      </c>
      <c r="CM46" s="196">
        <f t="shared" si="141"/>
        <v>6188.6572323791788</v>
      </c>
      <c r="CN46" s="197">
        <f t="shared" si="115"/>
        <v>1187.0711221484664</v>
      </c>
      <c r="CO46" s="197">
        <f t="shared" si="116"/>
        <v>4905.4642110932646</v>
      </c>
      <c r="CP46" s="197">
        <f t="shared" si="117"/>
        <v>1283.1930212859138</v>
      </c>
      <c r="CQ46" s="199">
        <f t="shared" si="118"/>
        <v>2470.2641434343805</v>
      </c>
      <c r="CR46" s="197"/>
      <c r="CT46" s="204">
        <f t="shared" si="142"/>
        <v>9</v>
      </c>
      <c r="CU46" s="197">
        <f>'Energy NPV'!$D99</f>
        <v>16.3</v>
      </c>
      <c r="CV46" s="197">
        <f>'Energy margins'!$Z$12</f>
        <v>72</v>
      </c>
      <c r="CW46" s="197">
        <f t="shared" si="143"/>
        <v>1173.6000000000001</v>
      </c>
      <c r="CX46" s="197">
        <f>'Margins summary'!$W$14</f>
        <v>175.95</v>
      </c>
      <c r="CY46" s="197">
        <f t="shared" si="119"/>
        <v>1349.5500000000002</v>
      </c>
      <c r="CZ46" s="197"/>
      <c r="DA46" s="918">
        <f>'Energy NPV'!U99</f>
        <v>408.3347839999999</v>
      </c>
      <c r="DB46" s="197"/>
      <c r="DC46" s="197">
        <f t="shared" si="120"/>
        <v>408.3347839999999</v>
      </c>
      <c r="DD46" s="197">
        <f t="shared" si="79"/>
        <v>765.26521600000024</v>
      </c>
      <c r="DE46" s="197">
        <f t="shared" si="80"/>
        <v>941.21521600000028</v>
      </c>
      <c r="DF46" s="196">
        <f t="shared" si="121"/>
        <v>1173.6000000000001</v>
      </c>
      <c r="DG46" s="197">
        <f t="shared" si="122"/>
        <v>175.95</v>
      </c>
      <c r="DH46" s="197">
        <f t="shared" si="123"/>
        <v>408.3347839999999</v>
      </c>
      <c r="DI46" s="197">
        <f t="shared" si="124"/>
        <v>765.26521600000024</v>
      </c>
      <c r="DJ46" s="199">
        <f t="shared" si="125"/>
        <v>941.21521600000028</v>
      </c>
      <c r="DK46" s="196">
        <f t="shared" si="144"/>
        <v>8774.4000000000015</v>
      </c>
      <c r="DL46" s="197">
        <f t="shared" si="126"/>
        <v>1583.5500000000002</v>
      </c>
      <c r="DM46" s="197">
        <f t="shared" si="127"/>
        <v>5865.0205559999986</v>
      </c>
      <c r="DN46" s="197">
        <f t="shared" si="128"/>
        <v>2909.3794440000015</v>
      </c>
      <c r="DO46" s="199">
        <f t="shared" si="129"/>
        <v>4492.9294440000021</v>
      </c>
    </row>
    <row r="47" spans="2:119" x14ac:dyDescent="0.3">
      <c r="B47" s="204">
        <f t="shared" si="130"/>
        <v>10</v>
      </c>
      <c r="C47" s="197">
        <f>'Energy NPV'!$D100</f>
        <v>16.3</v>
      </c>
      <c r="D47" s="197">
        <f>'Energy margins'!$Z$12</f>
        <v>72</v>
      </c>
      <c r="E47" s="197">
        <f t="shared" si="131"/>
        <v>1173.6000000000001</v>
      </c>
      <c r="F47" s="197">
        <f>'Margins summary'!$W$14</f>
        <v>175.95</v>
      </c>
      <c r="G47" s="197">
        <f t="shared" si="81"/>
        <v>1349.5500000000002</v>
      </c>
      <c r="H47" s="197"/>
      <c r="I47" s="918">
        <f>'Energy NPV'!U100</f>
        <v>408.3347839999999</v>
      </c>
      <c r="J47" s="197"/>
      <c r="K47" s="197">
        <f t="shared" si="82"/>
        <v>408.3347839999999</v>
      </c>
      <c r="L47" s="197">
        <f t="shared" si="71"/>
        <v>765.26521600000024</v>
      </c>
      <c r="M47" s="197">
        <f t="shared" si="72"/>
        <v>941.21521600000028</v>
      </c>
      <c r="N47" s="196">
        <f t="shared" si="83"/>
        <v>824.55579287531555</v>
      </c>
      <c r="O47" s="197">
        <f t="shared" si="84"/>
        <v>123.62013612509521</v>
      </c>
      <c r="P47" s="197">
        <f t="shared" si="85"/>
        <v>286.89060291384681</v>
      </c>
      <c r="Q47" s="197">
        <f t="shared" si="86"/>
        <v>537.66518996146874</v>
      </c>
      <c r="R47" s="199">
        <f t="shared" si="87"/>
        <v>661.28532608656406</v>
      </c>
      <c r="S47" s="196">
        <f t="shared" si="132"/>
        <v>8142.5560201744538</v>
      </c>
      <c r="T47" s="197">
        <f t="shared" si="88"/>
        <v>1484.1965968726179</v>
      </c>
      <c r="U47" s="197">
        <f t="shared" si="88"/>
        <v>5613.7240152958357</v>
      </c>
      <c r="V47" s="197">
        <f t="shared" si="88"/>
        <v>2528.8320048786181</v>
      </c>
      <c r="W47" s="199">
        <f t="shared" si="88"/>
        <v>4013.0286017512362</v>
      </c>
      <c r="X47" s="197"/>
      <c r="Z47" s="204">
        <f t="shared" si="133"/>
        <v>10</v>
      </c>
      <c r="AA47" s="197">
        <f>'Energy NPV'!$D100</f>
        <v>16.3</v>
      </c>
      <c r="AB47" s="197">
        <f>'Energy margins'!$Z$12</f>
        <v>72</v>
      </c>
      <c r="AC47" s="197">
        <f t="shared" si="134"/>
        <v>1173.6000000000001</v>
      </c>
      <c r="AD47" s="197">
        <f>'Margins summary'!$W$14</f>
        <v>175.95</v>
      </c>
      <c r="AE47" s="197">
        <f t="shared" si="89"/>
        <v>1349.5500000000002</v>
      </c>
      <c r="AF47" s="197"/>
      <c r="AG47" s="918">
        <f>'Energy NPV'!U100</f>
        <v>408.3347839999999</v>
      </c>
      <c r="AH47" s="197"/>
      <c r="AI47" s="197">
        <f t="shared" si="90"/>
        <v>408.3347839999999</v>
      </c>
      <c r="AJ47" s="197">
        <f t="shared" si="73"/>
        <v>765.26521600000024</v>
      </c>
      <c r="AK47" s="197">
        <f t="shared" si="74"/>
        <v>941.21521600000028</v>
      </c>
      <c r="AL47" s="196">
        <f t="shared" si="91"/>
        <v>694.65203679883746</v>
      </c>
      <c r="AM47" s="197">
        <f t="shared" si="92"/>
        <v>104.14453465810789</v>
      </c>
      <c r="AN47" s="197">
        <f t="shared" si="93"/>
        <v>241.69273125546457</v>
      </c>
      <c r="AO47" s="197">
        <f t="shared" si="94"/>
        <v>452.95930554337286</v>
      </c>
      <c r="AP47" s="199">
        <f t="shared" si="95"/>
        <v>557.10384020148081</v>
      </c>
      <c r="AQ47" s="196">
        <f t="shared" si="135"/>
        <v>7413.2291665266666</v>
      </c>
      <c r="AR47" s="197">
        <f t="shared" si="96"/>
        <v>1372.7077556982006</v>
      </c>
      <c r="AS47" s="197">
        <f t="shared" si="96"/>
        <v>5345.3989575457417</v>
      </c>
      <c r="AT47" s="197">
        <f t="shared" si="96"/>
        <v>2067.8302089809249</v>
      </c>
      <c r="AU47" s="199">
        <f t="shared" si="96"/>
        <v>3440.5379646791253</v>
      </c>
      <c r="AV47" s="197"/>
      <c r="AX47" s="204">
        <f t="shared" si="136"/>
        <v>10</v>
      </c>
      <c r="AY47" s="197">
        <f>'Energy NPV'!$D100</f>
        <v>16.3</v>
      </c>
      <c r="AZ47" s="197">
        <f>'Energy margins'!$Z$12</f>
        <v>72</v>
      </c>
      <c r="BA47" s="197">
        <f t="shared" si="137"/>
        <v>1173.6000000000001</v>
      </c>
      <c r="BB47" s="197">
        <f>'Margins summary'!$W$14</f>
        <v>175.95</v>
      </c>
      <c r="BC47" s="197">
        <f t="shared" si="97"/>
        <v>1349.5500000000002</v>
      </c>
      <c r="BD47" s="197"/>
      <c r="BE47" s="918">
        <f>'Energy NPV'!U100</f>
        <v>408.3347839999999</v>
      </c>
      <c r="BF47" s="197"/>
      <c r="BG47" s="197">
        <f t="shared" si="98"/>
        <v>408.3347839999999</v>
      </c>
      <c r="BH47" s="197">
        <f t="shared" si="75"/>
        <v>765.26521600000024</v>
      </c>
      <c r="BI47" s="197">
        <f t="shared" si="76"/>
        <v>941.21521600000028</v>
      </c>
      <c r="BJ47" s="196">
        <f t="shared" si="99"/>
        <v>982.01598002815206</v>
      </c>
      <c r="BK47" s="197">
        <f t="shared" si="100"/>
        <v>147.22708903029425</v>
      </c>
      <c r="BL47" s="197">
        <f t="shared" si="101"/>
        <v>341.67628075097446</v>
      </c>
      <c r="BM47" s="197">
        <f t="shared" si="102"/>
        <v>640.3396992771776</v>
      </c>
      <c r="BN47" s="199">
        <f t="shared" si="103"/>
        <v>787.56678830747182</v>
      </c>
      <c r="BO47" s="196">
        <f t="shared" si="138"/>
        <v>8980.615839038388</v>
      </c>
      <c r="BP47" s="197">
        <f t="shared" si="104"/>
        <v>1612.095548485288</v>
      </c>
      <c r="BQ47" s="197">
        <f t="shared" si="105"/>
        <v>5920.635627919939</v>
      </c>
      <c r="BR47" s="197">
        <f t="shared" si="106"/>
        <v>3059.9802111184517</v>
      </c>
      <c r="BS47" s="199">
        <f t="shared" si="107"/>
        <v>4672.0757596037392</v>
      </c>
      <c r="BT47" s="197"/>
      <c r="BV47" s="204">
        <f t="shared" si="139"/>
        <v>10</v>
      </c>
      <c r="BW47" s="197">
        <f>'Energy NPV'!$D100</f>
        <v>16.3</v>
      </c>
      <c r="BX47" s="197">
        <f>'Energy margins'!$Z$12</f>
        <v>72</v>
      </c>
      <c r="BY47" s="197">
        <f t="shared" si="140"/>
        <v>1173.6000000000001</v>
      </c>
      <c r="BZ47" s="197">
        <f>'Margins summary'!$W$14</f>
        <v>175.95</v>
      </c>
      <c r="CA47" s="197">
        <f t="shared" si="108"/>
        <v>1349.5500000000002</v>
      </c>
      <c r="CB47" s="197"/>
      <c r="CC47" s="918">
        <f>'Energy NPV'!U100</f>
        <v>408.3347839999999</v>
      </c>
      <c r="CD47" s="197"/>
      <c r="CE47" s="197">
        <f t="shared" si="109"/>
        <v>408.3347839999999</v>
      </c>
      <c r="CF47" s="197">
        <f t="shared" si="77"/>
        <v>765.26521600000024</v>
      </c>
      <c r="CG47" s="197">
        <f t="shared" si="78"/>
        <v>941.21521600000028</v>
      </c>
      <c r="CH47" s="196">
        <f t="shared" si="110"/>
        <v>587.09218782548032</v>
      </c>
      <c r="CI47" s="197">
        <f t="shared" si="111"/>
        <v>88.018805766780204</v>
      </c>
      <c r="CJ47" s="197">
        <f t="shared" si="112"/>
        <v>204.26905393984737</v>
      </c>
      <c r="CK47" s="197">
        <f t="shared" si="113"/>
        <v>382.82313388563301</v>
      </c>
      <c r="CL47" s="199">
        <f t="shared" si="114"/>
        <v>470.84193965241326</v>
      </c>
      <c r="CM47" s="196">
        <f t="shared" si="141"/>
        <v>6775.7494202046591</v>
      </c>
      <c r="CN47" s="197">
        <f t="shared" si="115"/>
        <v>1275.0899279152466</v>
      </c>
      <c r="CO47" s="197">
        <f t="shared" si="116"/>
        <v>5109.7332650331118</v>
      </c>
      <c r="CP47" s="197">
        <f t="shared" si="117"/>
        <v>1666.0161551715469</v>
      </c>
      <c r="CQ47" s="199">
        <f t="shared" si="118"/>
        <v>2941.1060830867937</v>
      </c>
      <c r="CR47" s="197"/>
      <c r="CT47" s="204">
        <f t="shared" si="142"/>
        <v>10</v>
      </c>
      <c r="CU47" s="197">
        <f>'Energy NPV'!$D100</f>
        <v>16.3</v>
      </c>
      <c r="CV47" s="197">
        <f>'Energy margins'!$Z$12</f>
        <v>72</v>
      </c>
      <c r="CW47" s="197">
        <f t="shared" si="143"/>
        <v>1173.6000000000001</v>
      </c>
      <c r="CX47" s="197">
        <f>'Margins summary'!$W$14</f>
        <v>175.95</v>
      </c>
      <c r="CY47" s="197">
        <f t="shared" si="119"/>
        <v>1349.5500000000002</v>
      </c>
      <c r="CZ47" s="197"/>
      <c r="DA47" s="918">
        <f>'Energy NPV'!U100</f>
        <v>408.3347839999999</v>
      </c>
      <c r="DB47" s="197"/>
      <c r="DC47" s="197">
        <f t="shared" si="120"/>
        <v>408.3347839999999</v>
      </c>
      <c r="DD47" s="197">
        <f t="shared" si="79"/>
        <v>765.26521600000024</v>
      </c>
      <c r="DE47" s="197">
        <f t="shared" si="80"/>
        <v>941.21521600000028</v>
      </c>
      <c r="DF47" s="196">
        <f t="shared" si="121"/>
        <v>1173.6000000000001</v>
      </c>
      <c r="DG47" s="197">
        <f t="shared" si="122"/>
        <v>175.95</v>
      </c>
      <c r="DH47" s="197">
        <f t="shared" si="123"/>
        <v>408.3347839999999</v>
      </c>
      <c r="DI47" s="197">
        <f t="shared" si="124"/>
        <v>765.26521600000024</v>
      </c>
      <c r="DJ47" s="199">
        <f t="shared" si="125"/>
        <v>941.21521600000028</v>
      </c>
      <c r="DK47" s="196">
        <f t="shared" si="144"/>
        <v>9948.0000000000018</v>
      </c>
      <c r="DL47" s="197">
        <f t="shared" si="126"/>
        <v>1759.5000000000002</v>
      </c>
      <c r="DM47" s="197">
        <f t="shared" si="127"/>
        <v>6273.3553399999983</v>
      </c>
      <c r="DN47" s="197">
        <f t="shared" si="128"/>
        <v>3674.6446600000017</v>
      </c>
      <c r="DO47" s="199">
        <f t="shared" si="129"/>
        <v>5434.1446600000027</v>
      </c>
    </row>
    <row r="48" spans="2:119" x14ac:dyDescent="0.3">
      <c r="B48" s="204">
        <f t="shared" si="130"/>
        <v>11</v>
      </c>
      <c r="C48" s="197">
        <f>'Energy NPV'!$D101</f>
        <v>16.3</v>
      </c>
      <c r="D48" s="197">
        <f>'Energy margins'!$Z$12</f>
        <v>72</v>
      </c>
      <c r="E48" s="197">
        <f t="shared" si="131"/>
        <v>1173.6000000000001</v>
      </c>
      <c r="F48" s="197">
        <f>'Margins summary'!$W$14</f>
        <v>175.95</v>
      </c>
      <c r="G48" s="197">
        <f t="shared" si="81"/>
        <v>1349.5500000000002</v>
      </c>
      <c r="H48" s="197"/>
      <c r="I48" s="918">
        <f>'Energy NPV'!U101</f>
        <v>408.3347839999999</v>
      </c>
      <c r="J48" s="197"/>
      <c r="K48" s="197">
        <f t="shared" si="82"/>
        <v>408.3347839999999</v>
      </c>
      <c r="L48" s="197">
        <f t="shared" si="71"/>
        <v>765.26521600000024</v>
      </c>
      <c r="M48" s="197">
        <f t="shared" si="72"/>
        <v>941.21521600000028</v>
      </c>
      <c r="N48" s="196">
        <f t="shared" si="83"/>
        <v>792.84210853395723</v>
      </c>
      <c r="O48" s="197">
        <f t="shared" si="84"/>
        <v>118.86551550489925</v>
      </c>
      <c r="P48" s="197">
        <f t="shared" si="85"/>
        <v>275.85634895562191</v>
      </c>
      <c r="Q48" s="197">
        <f t="shared" si="86"/>
        <v>516.98575957833532</v>
      </c>
      <c r="R48" s="199">
        <f t="shared" si="87"/>
        <v>635.85127508323467</v>
      </c>
      <c r="S48" s="196">
        <f t="shared" si="132"/>
        <v>8935.3981287084116</v>
      </c>
      <c r="T48" s="197">
        <f t="shared" si="88"/>
        <v>1603.0621123775172</v>
      </c>
      <c r="U48" s="197">
        <f t="shared" si="88"/>
        <v>5889.5803642514575</v>
      </c>
      <c r="V48" s="197">
        <f t="shared" si="88"/>
        <v>3045.8177644569532</v>
      </c>
      <c r="W48" s="199">
        <f t="shared" si="88"/>
        <v>4648.8798768344714</v>
      </c>
      <c r="X48" s="197"/>
      <c r="Z48" s="204">
        <f t="shared" si="133"/>
        <v>11</v>
      </c>
      <c r="AA48" s="197">
        <f>'Energy NPV'!$D101</f>
        <v>16.3</v>
      </c>
      <c r="AB48" s="197">
        <f>'Energy margins'!$Z$12</f>
        <v>72</v>
      </c>
      <c r="AC48" s="197">
        <f t="shared" si="134"/>
        <v>1173.6000000000001</v>
      </c>
      <c r="AD48" s="197">
        <f>'Margins summary'!$W$14</f>
        <v>175.95</v>
      </c>
      <c r="AE48" s="197">
        <f t="shared" si="89"/>
        <v>1349.5500000000002</v>
      </c>
      <c r="AF48" s="197"/>
      <c r="AG48" s="918">
        <f>'Energy NPV'!U101</f>
        <v>408.3347839999999</v>
      </c>
      <c r="AH48" s="197"/>
      <c r="AI48" s="197">
        <f t="shared" si="90"/>
        <v>408.3347839999999</v>
      </c>
      <c r="AJ48" s="197">
        <f t="shared" si="73"/>
        <v>765.26521600000024</v>
      </c>
      <c r="AK48" s="197">
        <f t="shared" si="74"/>
        <v>941.21521600000028</v>
      </c>
      <c r="AL48" s="196">
        <f t="shared" si="91"/>
        <v>655.33211018758243</v>
      </c>
      <c r="AM48" s="197">
        <f t="shared" si="92"/>
        <v>98.249560998214989</v>
      </c>
      <c r="AN48" s="197">
        <f t="shared" si="93"/>
        <v>228.01201061836278</v>
      </c>
      <c r="AO48" s="197">
        <f t="shared" si="94"/>
        <v>427.32009956921962</v>
      </c>
      <c r="AP48" s="199">
        <f t="shared" si="95"/>
        <v>525.56966056743465</v>
      </c>
      <c r="AQ48" s="196">
        <f t="shared" si="135"/>
        <v>8068.5612767142493</v>
      </c>
      <c r="AR48" s="197">
        <f t="shared" si="96"/>
        <v>1470.9573166964155</v>
      </c>
      <c r="AS48" s="197">
        <f t="shared" si="96"/>
        <v>5573.4109681641048</v>
      </c>
      <c r="AT48" s="197">
        <f t="shared" si="96"/>
        <v>2495.1503085501445</v>
      </c>
      <c r="AU48" s="199">
        <f t="shared" si="96"/>
        <v>3966.10762524656</v>
      </c>
      <c r="AV48" s="197"/>
      <c r="AX48" s="204">
        <f t="shared" si="136"/>
        <v>11</v>
      </c>
      <c r="AY48" s="197">
        <f>'Energy NPV'!$D101</f>
        <v>16.3</v>
      </c>
      <c r="AZ48" s="197">
        <f>'Energy margins'!$Z$12</f>
        <v>72</v>
      </c>
      <c r="BA48" s="197">
        <f t="shared" si="137"/>
        <v>1173.6000000000001</v>
      </c>
      <c r="BB48" s="197">
        <f>'Margins summary'!$W$14</f>
        <v>175.95</v>
      </c>
      <c r="BC48" s="197">
        <f t="shared" si="97"/>
        <v>1349.5500000000002</v>
      </c>
      <c r="BD48" s="197"/>
      <c r="BE48" s="918">
        <f>'Energy NPV'!U101</f>
        <v>408.3347839999999</v>
      </c>
      <c r="BF48" s="197"/>
      <c r="BG48" s="197">
        <f t="shared" si="98"/>
        <v>408.3347839999999</v>
      </c>
      <c r="BH48" s="197">
        <f t="shared" si="75"/>
        <v>765.26521600000024</v>
      </c>
      <c r="BI48" s="197">
        <f t="shared" si="76"/>
        <v>941.21521600000028</v>
      </c>
      <c r="BJ48" s="196">
        <f t="shared" si="99"/>
        <v>962.76076473348235</v>
      </c>
      <c r="BK48" s="197">
        <f t="shared" si="100"/>
        <v>144.34028336303356</v>
      </c>
      <c r="BL48" s="197">
        <f t="shared" si="101"/>
        <v>334.97674583428869</v>
      </c>
      <c r="BM48" s="197">
        <f t="shared" si="102"/>
        <v>627.78401889919371</v>
      </c>
      <c r="BN48" s="199">
        <f t="shared" si="103"/>
        <v>772.12430226222727</v>
      </c>
      <c r="BO48" s="196">
        <f t="shared" si="138"/>
        <v>9943.3766037718706</v>
      </c>
      <c r="BP48" s="197">
        <f t="shared" si="104"/>
        <v>1756.4358318483214</v>
      </c>
      <c r="BQ48" s="197">
        <f t="shared" si="105"/>
        <v>6255.6123737542275</v>
      </c>
      <c r="BR48" s="197">
        <f t="shared" si="106"/>
        <v>3687.7642300176453</v>
      </c>
      <c r="BS48" s="199">
        <f t="shared" si="107"/>
        <v>5444.2000618659667</v>
      </c>
      <c r="BT48" s="197"/>
      <c r="BV48" s="204">
        <f t="shared" si="139"/>
        <v>11</v>
      </c>
      <c r="BW48" s="197">
        <f>'Energy NPV'!$D101</f>
        <v>16.3</v>
      </c>
      <c r="BX48" s="197">
        <f>'Energy margins'!$Z$12</f>
        <v>72</v>
      </c>
      <c r="BY48" s="197">
        <f t="shared" si="140"/>
        <v>1173.6000000000001</v>
      </c>
      <c r="BZ48" s="197">
        <f>'Margins summary'!$W$14</f>
        <v>175.95</v>
      </c>
      <c r="CA48" s="197">
        <f t="shared" si="108"/>
        <v>1349.5500000000002</v>
      </c>
      <c r="CB48" s="197"/>
      <c r="CC48" s="918">
        <f>'Energy NPV'!U101</f>
        <v>408.3347839999999</v>
      </c>
      <c r="CD48" s="197"/>
      <c r="CE48" s="197">
        <f t="shared" si="109"/>
        <v>408.3347839999999</v>
      </c>
      <c r="CF48" s="197">
        <f t="shared" si="77"/>
        <v>765.26521600000024</v>
      </c>
      <c r="CG48" s="197">
        <f t="shared" si="78"/>
        <v>941.21521600000028</v>
      </c>
      <c r="CH48" s="196">
        <f t="shared" si="110"/>
        <v>543.60387761618551</v>
      </c>
      <c r="CI48" s="197">
        <f t="shared" si="111"/>
        <v>81.498894228500191</v>
      </c>
      <c r="CJ48" s="197">
        <f t="shared" si="112"/>
        <v>189.13801290726607</v>
      </c>
      <c r="CK48" s="197">
        <f t="shared" si="113"/>
        <v>354.46586470891941</v>
      </c>
      <c r="CL48" s="199">
        <f t="shared" si="114"/>
        <v>435.96475893741967</v>
      </c>
      <c r="CM48" s="196">
        <f t="shared" si="141"/>
        <v>7319.353297820845</v>
      </c>
      <c r="CN48" s="197">
        <f t="shared" si="115"/>
        <v>1356.5888221437467</v>
      </c>
      <c r="CO48" s="197">
        <f t="shared" si="116"/>
        <v>5298.8712779403777</v>
      </c>
      <c r="CP48" s="197">
        <f t="shared" si="117"/>
        <v>2020.4820198804664</v>
      </c>
      <c r="CQ48" s="199">
        <f t="shared" si="118"/>
        <v>3377.0708420242136</v>
      </c>
      <c r="CR48" s="197"/>
      <c r="CT48" s="204">
        <f t="shared" si="142"/>
        <v>11</v>
      </c>
      <c r="CU48" s="197">
        <f>'Energy NPV'!$D101</f>
        <v>16.3</v>
      </c>
      <c r="CV48" s="197">
        <f>'Energy margins'!$Z$12</f>
        <v>72</v>
      </c>
      <c r="CW48" s="197">
        <f t="shared" si="143"/>
        <v>1173.6000000000001</v>
      </c>
      <c r="CX48" s="197">
        <f>'Margins summary'!$W$14</f>
        <v>175.95</v>
      </c>
      <c r="CY48" s="197">
        <f t="shared" si="119"/>
        <v>1349.5500000000002</v>
      </c>
      <c r="CZ48" s="197"/>
      <c r="DA48" s="918">
        <f>'Energy NPV'!U101</f>
        <v>408.3347839999999</v>
      </c>
      <c r="DB48" s="197"/>
      <c r="DC48" s="197">
        <f t="shared" si="120"/>
        <v>408.3347839999999</v>
      </c>
      <c r="DD48" s="197">
        <f t="shared" si="79"/>
        <v>765.26521600000024</v>
      </c>
      <c r="DE48" s="197">
        <f t="shared" si="80"/>
        <v>941.21521600000028</v>
      </c>
      <c r="DF48" s="196">
        <f t="shared" si="121"/>
        <v>1173.6000000000001</v>
      </c>
      <c r="DG48" s="197">
        <f t="shared" si="122"/>
        <v>175.95</v>
      </c>
      <c r="DH48" s="197">
        <f t="shared" si="123"/>
        <v>408.3347839999999</v>
      </c>
      <c r="DI48" s="197">
        <f t="shared" si="124"/>
        <v>765.26521600000024</v>
      </c>
      <c r="DJ48" s="199">
        <f t="shared" si="125"/>
        <v>941.21521600000028</v>
      </c>
      <c r="DK48" s="196">
        <f t="shared" si="144"/>
        <v>11121.600000000002</v>
      </c>
      <c r="DL48" s="197">
        <f t="shared" si="126"/>
        <v>1935.4500000000003</v>
      </c>
      <c r="DM48" s="197">
        <f t="shared" si="127"/>
        <v>6681.6901239999979</v>
      </c>
      <c r="DN48" s="197">
        <f t="shared" si="128"/>
        <v>4439.9098760000015</v>
      </c>
      <c r="DO48" s="199">
        <f t="shared" si="129"/>
        <v>6375.3598760000032</v>
      </c>
    </row>
    <row r="49" spans="2:129" x14ac:dyDescent="0.3">
      <c r="B49" s="204">
        <f t="shared" si="130"/>
        <v>12</v>
      </c>
      <c r="C49" s="197">
        <f>'Energy NPV'!$D102</f>
        <v>16.3</v>
      </c>
      <c r="D49" s="197">
        <f>'Energy margins'!$Z$12</f>
        <v>72</v>
      </c>
      <c r="E49" s="197">
        <f t="shared" si="131"/>
        <v>1173.6000000000001</v>
      </c>
      <c r="F49" s="197">
        <f>'Margins summary'!$W$14</f>
        <v>175.95</v>
      </c>
      <c r="G49" s="197">
        <f t="shared" si="81"/>
        <v>1349.5500000000002</v>
      </c>
      <c r="H49" s="197"/>
      <c r="I49" s="918">
        <f>'Energy NPV'!U102</f>
        <v>408.3347839999999</v>
      </c>
      <c r="J49" s="197"/>
      <c r="K49" s="197">
        <f t="shared" si="82"/>
        <v>408.3347839999999</v>
      </c>
      <c r="L49" s="197">
        <f t="shared" si="71"/>
        <v>765.26521600000024</v>
      </c>
      <c r="M49" s="197">
        <f t="shared" si="72"/>
        <v>941.21521600000028</v>
      </c>
      <c r="N49" s="196">
        <f t="shared" si="83"/>
        <v>762.34818128265124</v>
      </c>
      <c r="O49" s="197">
        <f t="shared" si="84"/>
        <v>114.29376490855698</v>
      </c>
      <c r="P49" s="197">
        <f t="shared" si="85"/>
        <v>265.24648938040571</v>
      </c>
      <c r="Q49" s="197">
        <f t="shared" si="86"/>
        <v>497.10169190224559</v>
      </c>
      <c r="R49" s="199">
        <f t="shared" si="87"/>
        <v>611.39545681080256</v>
      </c>
      <c r="S49" s="196">
        <f t="shared" si="132"/>
        <v>9697.7463099910638</v>
      </c>
      <c r="T49" s="197">
        <f t="shared" si="88"/>
        <v>1717.3558772860742</v>
      </c>
      <c r="U49" s="197">
        <f t="shared" si="88"/>
        <v>6154.8268536318628</v>
      </c>
      <c r="V49" s="197">
        <f t="shared" si="88"/>
        <v>3542.9194563591986</v>
      </c>
      <c r="W49" s="199">
        <f t="shared" si="88"/>
        <v>5260.2753336452743</v>
      </c>
      <c r="X49" s="197"/>
      <c r="Z49" s="204">
        <f t="shared" si="133"/>
        <v>12</v>
      </c>
      <c r="AA49" s="197">
        <f>'Energy NPV'!$D102</f>
        <v>16.3</v>
      </c>
      <c r="AB49" s="197">
        <f>'Energy margins'!$Z$12</f>
        <v>72</v>
      </c>
      <c r="AC49" s="197">
        <f t="shared" si="134"/>
        <v>1173.6000000000001</v>
      </c>
      <c r="AD49" s="197">
        <f>'Margins summary'!$W$14</f>
        <v>175.95</v>
      </c>
      <c r="AE49" s="197">
        <f t="shared" si="89"/>
        <v>1349.5500000000002</v>
      </c>
      <c r="AF49" s="197"/>
      <c r="AG49" s="918">
        <f>'Energy NPV'!U102</f>
        <v>408.3347839999999</v>
      </c>
      <c r="AH49" s="197"/>
      <c r="AI49" s="197">
        <f t="shared" si="90"/>
        <v>408.3347839999999</v>
      </c>
      <c r="AJ49" s="197">
        <f t="shared" si="73"/>
        <v>765.26521600000024</v>
      </c>
      <c r="AK49" s="197">
        <f t="shared" si="74"/>
        <v>941.21521600000028</v>
      </c>
      <c r="AL49" s="196">
        <f t="shared" si="91"/>
        <v>618.23783979960592</v>
      </c>
      <c r="AM49" s="197">
        <f t="shared" si="92"/>
        <v>92.688265092655627</v>
      </c>
      <c r="AN49" s="197">
        <f t="shared" si="93"/>
        <v>215.10567039468185</v>
      </c>
      <c r="AO49" s="197">
        <f t="shared" si="94"/>
        <v>403.13216940492413</v>
      </c>
      <c r="AP49" s="199">
        <f t="shared" si="95"/>
        <v>495.82043449757975</v>
      </c>
      <c r="AQ49" s="196">
        <f t="shared" si="135"/>
        <v>8686.7991165138556</v>
      </c>
      <c r="AR49" s="197">
        <f t="shared" si="96"/>
        <v>1563.6455817890712</v>
      </c>
      <c r="AS49" s="197">
        <f t="shared" si="96"/>
        <v>5788.5166385587863</v>
      </c>
      <c r="AT49" s="197">
        <f t="shared" si="96"/>
        <v>2898.2824779550688</v>
      </c>
      <c r="AU49" s="199">
        <f t="shared" si="96"/>
        <v>4461.9280597441393</v>
      </c>
      <c r="AV49" s="197"/>
      <c r="AX49" s="204">
        <f t="shared" si="136"/>
        <v>12</v>
      </c>
      <c r="AY49" s="197">
        <f>'Energy NPV'!$D102</f>
        <v>16.3</v>
      </c>
      <c r="AZ49" s="197">
        <f>'Energy margins'!$Z$12</f>
        <v>72</v>
      </c>
      <c r="BA49" s="197">
        <f t="shared" si="137"/>
        <v>1173.6000000000001</v>
      </c>
      <c r="BB49" s="197">
        <f>'Margins summary'!$W$14</f>
        <v>175.95</v>
      </c>
      <c r="BC49" s="197">
        <f t="shared" si="97"/>
        <v>1349.5500000000002</v>
      </c>
      <c r="BD49" s="197"/>
      <c r="BE49" s="918">
        <f>'Energy NPV'!U102</f>
        <v>408.3347839999999</v>
      </c>
      <c r="BF49" s="197"/>
      <c r="BG49" s="197">
        <f t="shared" si="98"/>
        <v>408.3347839999999</v>
      </c>
      <c r="BH49" s="197">
        <f t="shared" si="75"/>
        <v>765.26521600000024</v>
      </c>
      <c r="BI49" s="197">
        <f t="shared" si="76"/>
        <v>941.21521600000028</v>
      </c>
      <c r="BJ49" s="196">
        <f t="shared" si="99"/>
        <v>943.88310267988481</v>
      </c>
      <c r="BK49" s="197">
        <f t="shared" si="100"/>
        <v>141.51008172846431</v>
      </c>
      <c r="BL49" s="197">
        <f t="shared" si="101"/>
        <v>328.40857434734193</v>
      </c>
      <c r="BM49" s="197">
        <f t="shared" si="102"/>
        <v>615.47452833254295</v>
      </c>
      <c r="BN49" s="199">
        <f t="shared" si="103"/>
        <v>756.98461006100729</v>
      </c>
      <c r="BO49" s="196">
        <f t="shared" si="138"/>
        <v>10887.259706451756</v>
      </c>
      <c r="BP49" s="197">
        <f t="shared" si="104"/>
        <v>1897.9459135767856</v>
      </c>
      <c r="BQ49" s="197">
        <f t="shared" si="105"/>
        <v>6584.020948101569</v>
      </c>
      <c r="BR49" s="197">
        <f t="shared" si="106"/>
        <v>4303.2387583501886</v>
      </c>
      <c r="BS49" s="199">
        <f t="shared" si="107"/>
        <v>6201.1846719269743</v>
      </c>
      <c r="BT49" s="197"/>
      <c r="BV49" s="204">
        <f t="shared" si="139"/>
        <v>12</v>
      </c>
      <c r="BW49" s="197">
        <f>'Energy NPV'!$D102</f>
        <v>16.3</v>
      </c>
      <c r="BX49" s="197">
        <f>'Energy margins'!$Z$12</f>
        <v>72</v>
      </c>
      <c r="BY49" s="197">
        <f t="shared" si="140"/>
        <v>1173.6000000000001</v>
      </c>
      <c r="BZ49" s="197">
        <f>'Margins summary'!$W$14</f>
        <v>175.95</v>
      </c>
      <c r="CA49" s="197">
        <f t="shared" si="108"/>
        <v>1349.5500000000002</v>
      </c>
      <c r="CB49" s="197"/>
      <c r="CC49" s="918">
        <f>'Energy NPV'!U102</f>
        <v>408.3347839999999</v>
      </c>
      <c r="CD49" s="197"/>
      <c r="CE49" s="197">
        <f t="shared" si="109"/>
        <v>408.3347839999999</v>
      </c>
      <c r="CF49" s="197">
        <f t="shared" si="77"/>
        <v>765.26521600000024</v>
      </c>
      <c r="CG49" s="197">
        <f t="shared" si="78"/>
        <v>941.21521600000028</v>
      </c>
      <c r="CH49" s="196">
        <f t="shared" si="110"/>
        <v>503.33692371869029</v>
      </c>
      <c r="CI49" s="197">
        <f t="shared" si="111"/>
        <v>75.461939100463141</v>
      </c>
      <c r="CJ49" s="197">
        <f t="shared" si="112"/>
        <v>175.12778972895006</v>
      </c>
      <c r="CK49" s="197">
        <f t="shared" si="113"/>
        <v>328.20913398974022</v>
      </c>
      <c r="CL49" s="199">
        <f t="shared" si="114"/>
        <v>403.67107309020338</v>
      </c>
      <c r="CM49" s="196">
        <f t="shared" si="141"/>
        <v>7822.6902215395348</v>
      </c>
      <c r="CN49" s="197">
        <f t="shared" si="115"/>
        <v>1432.0507612442098</v>
      </c>
      <c r="CO49" s="197">
        <f t="shared" si="116"/>
        <v>5473.9990676693278</v>
      </c>
      <c r="CP49" s="197">
        <f t="shared" si="117"/>
        <v>2348.6911538702066</v>
      </c>
      <c r="CQ49" s="199">
        <f t="shared" si="118"/>
        <v>3780.7419151144168</v>
      </c>
      <c r="CR49" s="197"/>
      <c r="CT49" s="204">
        <f t="shared" si="142"/>
        <v>12</v>
      </c>
      <c r="CU49" s="197">
        <f>'Energy NPV'!$D102</f>
        <v>16.3</v>
      </c>
      <c r="CV49" s="197">
        <f>'Energy margins'!$Z$12</f>
        <v>72</v>
      </c>
      <c r="CW49" s="197">
        <f t="shared" si="143"/>
        <v>1173.6000000000001</v>
      </c>
      <c r="CX49" s="197">
        <f>'Margins summary'!$W$14</f>
        <v>175.95</v>
      </c>
      <c r="CY49" s="197">
        <f t="shared" si="119"/>
        <v>1349.5500000000002</v>
      </c>
      <c r="CZ49" s="197"/>
      <c r="DA49" s="918">
        <f>'Energy NPV'!U102</f>
        <v>408.3347839999999</v>
      </c>
      <c r="DB49" s="197"/>
      <c r="DC49" s="197">
        <f t="shared" si="120"/>
        <v>408.3347839999999</v>
      </c>
      <c r="DD49" s="197">
        <f t="shared" si="79"/>
        <v>765.26521600000024</v>
      </c>
      <c r="DE49" s="197">
        <f t="shared" si="80"/>
        <v>941.21521600000028</v>
      </c>
      <c r="DF49" s="196">
        <f t="shared" si="121"/>
        <v>1173.6000000000001</v>
      </c>
      <c r="DG49" s="197">
        <f t="shared" si="122"/>
        <v>175.95</v>
      </c>
      <c r="DH49" s="197">
        <f t="shared" si="123"/>
        <v>408.3347839999999</v>
      </c>
      <c r="DI49" s="197">
        <f t="shared" si="124"/>
        <v>765.26521600000024</v>
      </c>
      <c r="DJ49" s="199">
        <f t="shared" si="125"/>
        <v>941.21521600000028</v>
      </c>
      <c r="DK49" s="196">
        <f t="shared" si="144"/>
        <v>12295.200000000003</v>
      </c>
      <c r="DL49" s="197">
        <f t="shared" si="126"/>
        <v>2111.4</v>
      </c>
      <c r="DM49" s="197">
        <f t="shared" si="127"/>
        <v>7090.0249079999976</v>
      </c>
      <c r="DN49" s="197">
        <f t="shared" si="128"/>
        <v>5205.1750920000013</v>
      </c>
      <c r="DO49" s="199">
        <f t="shared" si="129"/>
        <v>7316.5750920000037</v>
      </c>
    </row>
    <row r="50" spans="2:129" x14ac:dyDescent="0.3">
      <c r="B50" s="204">
        <f t="shared" si="130"/>
        <v>13</v>
      </c>
      <c r="C50" s="197">
        <f>'Energy NPV'!$D103</f>
        <v>16.3</v>
      </c>
      <c r="D50" s="197">
        <f>'Energy margins'!$Z$12</f>
        <v>72</v>
      </c>
      <c r="E50" s="197">
        <f t="shared" si="131"/>
        <v>1173.6000000000001</v>
      </c>
      <c r="F50" s="197">
        <f>'Margins summary'!$W$14</f>
        <v>175.95</v>
      </c>
      <c r="G50" s="197">
        <f t="shared" si="81"/>
        <v>1349.5500000000002</v>
      </c>
      <c r="H50" s="197"/>
      <c r="I50" s="918">
        <f>'Energy NPV'!U103</f>
        <v>408.3347839999999</v>
      </c>
      <c r="J50" s="197"/>
      <c r="K50" s="197">
        <f t="shared" si="82"/>
        <v>408.3347839999999</v>
      </c>
      <c r="L50" s="197">
        <f t="shared" si="71"/>
        <v>765.26521600000024</v>
      </c>
      <c r="M50" s="197">
        <f t="shared" si="72"/>
        <v>941.21521600000028</v>
      </c>
      <c r="N50" s="196">
        <f t="shared" si="83"/>
        <v>733.02709738716453</v>
      </c>
      <c r="O50" s="197">
        <f t="shared" si="84"/>
        <v>109.89785087361246</v>
      </c>
      <c r="P50" s="197">
        <f t="shared" si="85"/>
        <v>255.04470132731313</v>
      </c>
      <c r="Q50" s="197">
        <f t="shared" si="86"/>
        <v>477.9823960598514</v>
      </c>
      <c r="R50" s="199">
        <f t="shared" si="87"/>
        <v>587.88024693346392</v>
      </c>
      <c r="S50" s="196">
        <f t="shared" si="132"/>
        <v>10430.773407378229</v>
      </c>
      <c r="T50" s="197">
        <f t="shared" si="88"/>
        <v>1827.2537281596867</v>
      </c>
      <c r="U50" s="197">
        <f t="shared" si="88"/>
        <v>6409.8715549591761</v>
      </c>
      <c r="V50" s="197">
        <f t="shared" si="88"/>
        <v>4020.9018524190501</v>
      </c>
      <c r="W50" s="199">
        <f t="shared" si="88"/>
        <v>5848.1555805787384</v>
      </c>
      <c r="X50" s="197"/>
      <c r="Z50" s="204">
        <f t="shared" si="133"/>
        <v>13</v>
      </c>
      <c r="AA50" s="197">
        <f>'Energy NPV'!$D103</f>
        <v>16.3</v>
      </c>
      <c r="AB50" s="197">
        <f>'Energy margins'!$Z$12</f>
        <v>72</v>
      </c>
      <c r="AC50" s="197">
        <f t="shared" si="134"/>
        <v>1173.6000000000001</v>
      </c>
      <c r="AD50" s="197">
        <f>'Margins summary'!$W$14</f>
        <v>175.95</v>
      </c>
      <c r="AE50" s="197">
        <f t="shared" si="89"/>
        <v>1349.5500000000002</v>
      </c>
      <c r="AF50" s="197"/>
      <c r="AG50" s="918">
        <f>'Energy NPV'!U103</f>
        <v>408.3347839999999</v>
      </c>
      <c r="AH50" s="197"/>
      <c r="AI50" s="197">
        <f t="shared" si="90"/>
        <v>408.3347839999999</v>
      </c>
      <c r="AJ50" s="197">
        <f t="shared" si="73"/>
        <v>765.26521600000024</v>
      </c>
      <c r="AK50" s="197">
        <f t="shared" si="74"/>
        <v>941.21521600000028</v>
      </c>
      <c r="AL50" s="196">
        <f t="shared" si="91"/>
        <v>583.24324509396786</v>
      </c>
      <c r="AM50" s="197">
        <f t="shared" si="92"/>
        <v>87.441759521373228</v>
      </c>
      <c r="AN50" s="197">
        <f t="shared" si="93"/>
        <v>202.92987773083192</v>
      </c>
      <c r="AO50" s="197">
        <f t="shared" si="94"/>
        <v>380.31336736313591</v>
      </c>
      <c r="AP50" s="199">
        <f t="shared" si="95"/>
        <v>467.7551268845092</v>
      </c>
      <c r="AQ50" s="196">
        <f t="shared" si="135"/>
        <v>9270.0423616078242</v>
      </c>
      <c r="AR50" s="197">
        <f t="shared" si="96"/>
        <v>1651.0873413104446</v>
      </c>
      <c r="AS50" s="197">
        <f t="shared" si="96"/>
        <v>5991.4465162896186</v>
      </c>
      <c r="AT50" s="197">
        <f t="shared" si="96"/>
        <v>3278.5958453182047</v>
      </c>
      <c r="AU50" s="199">
        <f t="shared" si="96"/>
        <v>4929.6831866286484</v>
      </c>
      <c r="AV50" s="197"/>
      <c r="AX50" s="204">
        <f t="shared" si="136"/>
        <v>13</v>
      </c>
      <c r="AY50" s="197">
        <f>'Energy NPV'!$D103</f>
        <v>16.3</v>
      </c>
      <c r="AZ50" s="197">
        <f>'Energy margins'!$Z$12</f>
        <v>72</v>
      </c>
      <c r="BA50" s="197">
        <f t="shared" si="137"/>
        <v>1173.6000000000001</v>
      </c>
      <c r="BB50" s="197">
        <f>'Margins summary'!$W$14</f>
        <v>175.95</v>
      </c>
      <c r="BC50" s="197">
        <f t="shared" si="97"/>
        <v>1349.5500000000002</v>
      </c>
      <c r="BD50" s="197"/>
      <c r="BE50" s="918">
        <f>'Energy NPV'!U103</f>
        <v>408.3347839999999</v>
      </c>
      <c r="BF50" s="197"/>
      <c r="BG50" s="197">
        <f t="shared" si="98"/>
        <v>408.3347839999999</v>
      </c>
      <c r="BH50" s="197">
        <f t="shared" si="75"/>
        <v>765.26521600000024</v>
      </c>
      <c r="BI50" s="197">
        <f t="shared" si="76"/>
        <v>941.21521600000028</v>
      </c>
      <c r="BJ50" s="196">
        <f t="shared" si="99"/>
        <v>925.37559086263207</v>
      </c>
      <c r="BK50" s="197">
        <f t="shared" si="100"/>
        <v>138.73537424359245</v>
      </c>
      <c r="BL50" s="197">
        <f t="shared" si="101"/>
        <v>321.96919053660963</v>
      </c>
      <c r="BM50" s="197">
        <f t="shared" si="102"/>
        <v>603.40640032602244</v>
      </c>
      <c r="BN50" s="199">
        <f t="shared" si="103"/>
        <v>742.14177456961488</v>
      </c>
      <c r="BO50" s="196">
        <f t="shared" si="138"/>
        <v>11812.635297314388</v>
      </c>
      <c r="BP50" s="197">
        <f t="shared" si="104"/>
        <v>2036.6812878203782</v>
      </c>
      <c r="BQ50" s="197">
        <f t="shared" si="105"/>
        <v>6905.9901386381789</v>
      </c>
      <c r="BR50" s="197">
        <f t="shared" si="106"/>
        <v>4906.6451586762114</v>
      </c>
      <c r="BS50" s="199">
        <f t="shared" si="107"/>
        <v>6943.3264464965887</v>
      </c>
      <c r="BT50" s="197"/>
      <c r="BV50" s="204">
        <f t="shared" si="139"/>
        <v>13</v>
      </c>
      <c r="BW50" s="197">
        <f>'Energy NPV'!$D103</f>
        <v>16.3</v>
      </c>
      <c r="BX50" s="197">
        <f>'Energy margins'!$Z$12</f>
        <v>72</v>
      </c>
      <c r="BY50" s="197">
        <f t="shared" si="140"/>
        <v>1173.6000000000001</v>
      </c>
      <c r="BZ50" s="197">
        <f>'Margins summary'!$W$14</f>
        <v>175.95</v>
      </c>
      <c r="CA50" s="197">
        <f t="shared" si="108"/>
        <v>1349.5500000000002</v>
      </c>
      <c r="CB50" s="197"/>
      <c r="CC50" s="918">
        <f>'Energy NPV'!U103</f>
        <v>408.3347839999999</v>
      </c>
      <c r="CD50" s="197"/>
      <c r="CE50" s="197">
        <f t="shared" si="109"/>
        <v>408.3347839999999</v>
      </c>
      <c r="CF50" s="197">
        <f t="shared" si="77"/>
        <v>765.26521600000024</v>
      </c>
      <c r="CG50" s="197">
        <f t="shared" si="78"/>
        <v>941.21521600000028</v>
      </c>
      <c r="CH50" s="196">
        <f t="shared" si="110"/>
        <v>466.0527071469354</v>
      </c>
      <c r="CI50" s="197">
        <f t="shared" si="111"/>
        <v>69.872165833762153</v>
      </c>
      <c r="CJ50" s="197">
        <f t="shared" si="112"/>
        <v>162.15536086013893</v>
      </c>
      <c r="CK50" s="197">
        <f t="shared" si="113"/>
        <v>303.89734628679645</v>
      </c>
      <c r="CL50" s="199">
        <f t="shared" si="114"/>
        <v>373.76951212055866</v>
      </c>
      <c r="CM50" s="196">
        <f t="shared" si="141"/>
        <v>8288.7429286864699</v>
      </c>
      <c r="CN50" s="197">
        <f t="shared" si="115"/>
        <v>1501.922927077972</v>
      </c>
      <c r="CO50" s="197">
        <f t="shared" si="116"/>
        <v>5636.1544285294667</v>
      </c>
      <c r="CP50" s="197">
        <f t="shared" si="117"/>
        <v>2652.5885001570032</v>
      </c>
      <c r="CQ50" s="199">
        <f t="shared" si="118"/>
        <v>4154.5114272349756</v>
      </c>
      <c r="CR50" s="197"/>
      <c r="CT50" s="204">
        <f t="shared" si="142"/>
        <v>13</v>
      </c>
      <c r="CU50" s="197">
        <f>'Energy NPV'!$D103</f>
        <v>16.3</v>
      </c>
      <c r="CV50" s="197">
        <f>'Energy margins'!$Z$12</f>
        <v>72</v>
      </c>
      <c r="CW50" s="197">
        <f t="shared" si="143"/>
        <v>1173.6000000000001</v>
      </c>
      <c r="CX50" s="197">
        <f>'Margins summary'!$W$14</f>
        <v>175.95</v>
      </c>
      <c r="CY50" s="197">
        <f t="shared" si="119"/>
        <v>1349.5500000000002</v>
      </c>
      <c r="CZ50" s="197"/>
      <c r="DA50" s="918">
        <f>'Energy NPV'!U103</f>
        <v>408.3347839999999</v>
      </c>
      <c r="DB50" s="197"/>
      <c r="DC50" s="197">
        <f t="shared" si="120"/>
        <v>408.3347839999999</v>
      </c>
      <c r="DD50" s="197">
        <f t="shared" si="79"/>
        <v>765.26521600000024</v>
      </c>
      <c r="DE50" s="197">
        <f t="shared" si="80"/>
        <v>941.21521600000028</v>
      </c>
      <c r="DF50" s="196">
        <f t="shared" si="121"/>
        <v>1173.6000000000001</v>
      </c>
      <c r="DG50" s="197">
        <f t="shared" si="122"/>
        <v>175.95</v>
      </c>
      <c r="DH50" s="197">
        <f t="shared" si="123"/>
        <v>408.3347839999999</v>
      </c>
      <c r="DI50" s="197">
        <f t="shared" si="124"/>
        <v>765.26521600000024</v>
      </c>
      <c r="DJ50" s="199">
        <f t="shared" si="125"/>
        <v>941.21521600000028</v>
      </c>
      <c r="DK50" s="196">
        <f t="shared" si="144"/>
        <v>13468.800000000003</v>
      </c>
      <c r="DL50" s="197">
        <f t="shared" si="126"/>
        <v>2287.35</v>
      </c>
      <c r="DM50" s="197">
        <f t="shared" si="127"/>
        <v>7498.3596919999973</v>
      </c>
      <c r="DN50" s="197">
        <f t="shared" si="128"/>
        <v>5970.4403080000011</v>
      </c>
      <c r="DO50" s="199">
        <f t="shared" si="129"/>
        <v>8257.7903080000033</v>
      </c>
    </row>
    <row r="51" spans="2:129" x14ac:dyDescent="0.3">
      <c r="B51" s="204">
        <f t="shared" si="130"/>
        <v>14</v>
      </c>
      <c r="C51" s="197">
        <f>'Energy NPV'!$D104</f>
        <v>16.3</v>
      </c>
      <c r="D51" s="197">
        <f>'Energy margins'!$Z$12</f>
        <v>72</v>
      </c>
      <c r="E51" s="197">
        <f t="shared" si="131"/>
        <v>1173.6000000000001</v>
      </c>
      <c r="F51" s="197">
        <f>'Margins summary'!$W$14</f>
        <v>175.95</v>
      </c>
      <c r="G51" s="197">
        <f t="shared" si="81"/>
        <v>1349.5500000000002</v>
      </c>
      <c r="H51" s="197"/>
      <c r="I51" s="918">
        <f>'Energy NPV'!U104</f>
        <v>408.3347839999999</v>
      </c>
      <c r="J51" s="197"/>
      <c r="K51" s="197">
        <f t="shared" si="82"/>
        <v>408.3347839999999</v>
      </c>
      <c r="L51" s="197">
        <f t="shared" si="71"/>
        <v>765.26521600000024</v>
      </c>
      <c r="M51" s="197">
        <f t="shared" si="72"/>
        <v>941.21521600000028</v>
      </c>
      <c r="N51" s="196">
        <f t="shared" si="83"/>
        <v>704.83374748765823</v>
      </c>
      <c r="O51" s="197">
        <f t="shared" si="84"/>
        <v>105.67101045539658</v>
      </c>
      <c r="P51" s="197">
        <f t="shared" si="85"/>
        <v>245.23528973780108</v>
      </c>
      <c r="Q51" s="197">
        <f t="shared" si="86"/>
        <v>459.59845774985712</v>
      </c>
      <c r="R51" s="199">
        <f t="shared" si="87"/>
        <v>565.2694682052537</v>
      </c>
      <c r="S51" s="196">
        <f t="shared" si="132"/>
        <v>11135.607154865887</v>
      </c>
      <c r="T51" s="197">
        <f t="shared" si="88"/>
        <v>1932.9247386150832</v>
      </c>
      <c r="U51" s="197">
        <f t="shared" si="88"/>
        <v>6655.1068446969775</v>
      </c>
      <c r="V51" s="197">
        <f t="shared" si="88"/>
        <v>4480.5003101689072</v>
      </c>
      <c r="W51" s="199">
        <f t="shared" si="88"/>
        <v>6413.4250487839918</v>
      </c>
      <c r="X51" s="197"/>
      <c r="Z51" s="204">
        <f t="shared" si="133"/>
        <v>14</v>
      </c>
      <c r="AA51" s="197">
        <f>'Energy NPV'!$D104</f>
        <v>16.3</v>
      </c>
      <c r="AB51" s="197">
        <f>'Energy margins'!$Z$12</f>
        <v>72</v>
      </c>
      <c r="AC51" s="197">
        <f t="shared" si="134"/>
        <v>1173.6000000000001</v>
      </c>
      <c r="AD51" s="197">
        <f>'Margins summary'!$W$14</f>
        <v>175.95</v>
      </c>
      <c r="AE51" s="197">
        <f t="shared" si="89"/>
        <v>1349.5500000000002</v>
      </c>
      <c r="AF51" s="197"/>
      <c r="AG51" s="918">
        <f>'Energy NPV'!U104</f>
        <v>408.3347839999999</v>
      </c>
      <c r="AH51" s="197"/>
      <c r="AI51" s="197">
        <f t="shared" si="90"/>
        <v>408.3347839999999</v>
      </c>
      <c r="AJ51" s="197">
        <f t="shared" si="73"/>
        <v>765.26521600000024</v>
      </c>
      <c r="AK51" s="197">
        <f t="shared" si="74"/>
        <v>941.21521600000028</v>
      </c>
      <c r="AL51" s="196">
        <f t="shared" si="91"/>
        <v>550.22947650374317</v>
      </c>
      <c r="AM51" s="197">
        <f t="shared" si="92"/>
        <v>82.492225963559648</v>
      </c>
      <c r="AN51" s="197">
        <f t="shared" si="93"/>
        <v>191.4432808781433</v>
      </c>
      <c r="AO51" s="197">
        <f t="shared" si="94"/>
        <v>358.78619562559993</v>
      </c>
      <c r="AP51" s="199">
        <f t="shared" si="95"/>
        <v>441.27842158915956</v>
      </c>
      <c r="AQ51" s="196">
        <f t="shared" si="135"/>
        <v>9820.2718381115665</v>
      </c>
      <c r="AR51" s="197">
        <f t="shared" si="96"/>
        <v>1733.5795672740041</v>
      </c>
      <c r="AS51" s="197">
        <f t="shared" si="96"/>
        <v>6182.8897971677616</v>
      </c>
      <c r="AT51" s="197">
        <f t="shared" si="96"/>
        <v>3637.3820409438049</v>
      </c>
      <c r="AU51" s="199">
        <f t="shared" si="96"/>
        <v>5370.9616082178081</v>
      </c>
      <c r="AV51" s="197"/>
      <c r="AX51" s="204">
        <f t="shared" si="136"/>
        <v>14</v>
      </c>
      <c r="AY51" s="197">
        <f>'Energy NPV'!$D104</f>
        <v>16.3</v>
      </c>
      <c r="AZ51" s="197">
        <f>'Energy margins'!$Z$12</f>
        <v>72</v>
      </c>
      <c r="BA51" s="197">
        <f t="shared" si="137"/>
        <v>1173.6000000000001</v>
      </c>
      <c r="BB51" s="197">
        <f>'Margins summary'!$W$14</f>
        <v>175.95</v>
      </c>
      <c r="BC51" s="197">
        <f t="shared" si="97"/>
        <v>1349.5500000000002</v>
      </c>
      <c r="BD51" s="197"/>
      <c r="BE51" s="918">
        <f>'Energy NPV'!U104</f>
        <v>408.3347839999999</v>
      </c>
      <c r="BF51" s="197"/>
      <c r="BG51" s="197">
        <f t="shared" si="98"/>
        <v>408.3347839999999</v>
      </c>
      <c r="BH51" s="197">
        <f t="shared" si="75"/>
        <v>765.26521600000024</v>
      </c>
      <c r="BI51" s="197">
        <f t="shared" si="76"/>
        <v>941.21521600000028</v>
      </c>
      <c r="BJ51" s="196">
        <f t="shared" si="99"/>
        <v>907.23097143395307</v>
      </c>
      <c r="BK51" s="197">
        <f t="shared" si="100"/>
        <v>136.01507278783572</v>
      </c>
      <c r="BL51" s="197">
        <f t="shared" si="101"/>
        <v>315.65606915353891</v>
      </c>
      <c r="BM51" s="197">
        <f t="shared" si="102"/>
        <v>591.57490228041411</v>
      </c>
      <c r="BN51" s="199">
        <f t="shared" si="103"/>
        <v>727.58997506824994</v>
      </c>
      <c r="BO51" s="196">
        <f t="shared" si="138"/>
        <v>12719.866268748341</v>
      </c>
      <c r="BP51" s="197">
        <f t="shared" si="104"/>
        <v>2172.696360608214</v>
      </c>
      <c r="BQ51" s="197">
        <f t="shared" si="105"/>
        <v>7221.6462077917176</v>
      </c>
      <c r="BR51" s="197">
        <f t="shared" si="106"/>
        <v>5498.2200609566253</v>
      </c>
      <c r="BS51" s="199">
        <f t="shared" si="107"/>
        <v>7670.9164215648389</v>
      </c>
      <c r="BT51" s="197"/>
      <c r="BV51" s="204">
        <f t="shared" si="139"/>
        <v>14</v>
      </c>
      <c r="BW51" s="197">
        <f>'Energy NPV'!$D104</f>
        <v>16.3</v>
      </c>
      <c r="BX51" s="197">
        <f>'Energy margins'!$Z$12</f>
        <v>72</v>
      </c>
      <c r="BY51" s="197">
        <f t="shared" si="140"/>
        <v>1173.6000000000001</v>
      </c>
      <c r="BZ51" s="197">
        <f>'Margins summary'!$W$14</f>
        <v>175.95</v>
      </c>
      <c r="CA51" s="197">
        <f t="shared" si="108"/>
        <v>1349.5500000000002</v>
      </c>
      <c r="CB51" s="197"/>
      <c r="CC51" s="918">
        <f>'Energy NPV'!U104</f>
        <v>408.3347839999999</v>
      </c>
      <c r="CD51" s="197"/>
      <c r="CE51" s="197">
        <f t="shared" si="109"/>
        <v>408.3347839999999</v>
      </c>
      <c r="CF51" s="197">
        <f t="shared" si="77"/>
        <v>765.26521600000024</v>
      </c>
      <c r="CG51" s="197">
        <f t="shared" si="78"/>
        <v>941.21521600000028</v>
      </c>
      <c r="CH51" s="196">
        <f t="shared" si="110"/>
        <v>431.53028439531056</v>
      </c>
      <c r="CI51" s="197">
        <f t="shared" si="111"/>
        <v>64.696449846076078</v>
      </c>
      <c r="CJ51" s="197">
        <f t="shared" si="112"/>
        <v>150.14385264827681</v>
      </c>
      <c r="CK51" s="197">
        <f t="shared" si="113"/>
        <v>281.38643174703378</v>
      </c>
      <c r="CL51" s="199">
        <f t="shared" si="114"/>
        <v>346.08288159310985</v>
      </c>
      <c r="CM51" s="196">
        <f t="shared" si="141"/>
        <v>8720.2732130817803</v>
      </c>
      <c r="CN51" s="197">
        <f t="shared" si="115"/>
        <v>1566.6193769240481</v>
      </c>
      <c r="CO51" s="197">
        <f t="shared" si="116"/>
        <v>5786.2982811777438</v>
      </c>
      <c r="CP51" s="197">
        <f t="shared" si="117"/>
        <v>2933.974931904037</v>
      </c>
      <c r="CQ51" s="199">
        <f t="shared" si="118"/>
        <v>4500.5943088280856</v>
      </c>
      <c r="CR51" s="197"/>
      <c r="CT51" s="204">
        <f t="shared" si="142"/>
        <v>14</v>
      </c>
      <c r="CU51" s="197">
        <f>'Energy NPV'!$D104</f>
        <v>16.3</v>
      </c>
      <c r="CV51" s="197">
        <f>'Energy margins'!$Z$12</f>
        <v>72</v>
      </c>
      <c r="CW51" s="197">
        <f t="shared" si="143"/>
        <v>1173.6000000000001</v>
      </c>
      <c r="CX51" s="197">
        <f>'Margins summary'!$W$14</f>
        <v>175.95</v>
      </c>
      <c r="CY51" s="197">
        <f t="shared" si="119"/>
        <v>1349.5500000000002</v>
      </c>
      <c r="CZ51" s="197"/>
      <c r="DA51" s="918">
        <f>'Energy NPV'!U104</f>
        <v>408.3347839999999</v>
      </c>
      <c r="DB51" s="197"/>
      <c r="DC51" s="197">
        <f t="shared" si="120"/>
        <v>408.3347839999999</v>
      </c>
      <c r="DD51" s="197">
        <f t="shared" si="79"/>
        <v>765.26521600000024</v>
      </c>
      <c r="DE51" s="197">
        <f t="shared" si="80"/>
        <v>941.21521600000028</v>
      </c>
      <c r="DF51" s="196">
        <f t="shared" si="121"/>
        <v>1173.6000000000001</v>
      </c>
      <c r="DG51" s="197">
        <f t="shared" si="122"/>
        <v>175.95</v>
      </c>
      <c r="DH51" s="197">
        <f t="shared" si="123"/>
        <v>408.3347839999999</v>
      </c>
      <c r="DI51" s="197">
        <f t="shared" si="124"/>
        <v>765.26521600000024</v>
      </c>
      <c r="DJ51" s="199">
        <f t="shared" si="125"/>
        <v>941.21521600000028</v>
      </c>
      <c r="DK51" s="196">
        <f t="shared" si="144"/>
        <v>14642.400000000003</v>
      </c>
      <c r="DL51" s="197">
        <f t="shared" si="126"/>
        <v>2463.2999999999997</v>
      </c>
      <c r="DM51" s="197">
        <f t="shared" si="127"/>
        <v>7906.6944759999969</v>
      </c>
      <c r="DN51" s="197">
        <f t="shared" si="128"/>
        <v>6735.7055240000009</v>
      </c>
      <c r="DO51" s="199">
        <f t="shared" si="129"/>
        <v>9199.0055240000038</v>
      </c>
    </row>
    <row r="52" spans="2:129" x14ac:dyDescent="0.3">
      <c r="B52" s="204">
        <f t="shared" si="130"/>
        <v>15</v>
      </c>
      <c r="C52" s="197">
        <f>'Energy NPV'!$D105</f>
        <v>16.3</v>
      </c>
      <c r="D52" s="197">
        <f>'Energy margins'!$Z$12</f>
        <v>72</v>
      </c>
      <c r="E52" s="197">
        <f t="shared" si="131"/>
        <v>1173.6000000000001</v>
      </c>
      <c r="F52" s="197">
        <f>'Margins summary'!$W$14</f>
        <v>175.95</v>
      </c>
      <c r="G52" s="197">
        <f t="shared" si="81"/>
        <v>1349.5500000000002</v>
      </c>
      <c r="H52" s="197"/>
      <c r="I52" s="918">
        <f>'Energy NPV'!U105</f>
        <v>408.3347839999999</v>
      </c>
      <c r="J52" s="197"/>
      <c r="K52" s="197">
        <f t="shared" si="82"/>
        <v>408.3347839999999</v>
      </c>
      <c r="L52" s="197">
        <f t="shared" si="71"/>
        <v>765.26521600000024</v>
      </c>
      <c r="M52" s="197">
        <f t="shared" si="72"/>
        <v>941.21521600000028</v>
      </c>
      <c r="N52" s="196">
        <f t="shared" si="83"/>
        <v>677.72475719967133</v>
      </c>
      <c r="O52" s="197">
        <f t="shared" si="84"/>
        <v>101.60674082249672</v>
      </c>
      <c r="P52" s="197">
        <f t="shared" si="85"/>
        <v>235.80316320942413</v>
      </c>
      <c r="Q52" s="197">
        <f t="shared" si="86"/>
        <v>441.92159399024723</v>
      </c>
      <c r="R52" s="199">
        <f t="shared" si="87"/>
        <v>543.52833481274399</v>
      </c>
      <c r="S52" s="196">
        <f t="shared" si="132"/>
        <v>11813.331912065558</v>
      </c>
      <c r="T52" s="197">
        <f t="shared" si="88"/>
        <v>2034.5314794375799</v>
      </c>
      <c r="U52" s="197">
        <f t="shared" si="88"/>
        <v>6890.9100079064019</v>
      </c>
      <c r="V52" s="197">
        <f t="shared" si="88"/>
        <v>4922.4219041591541</v>
      </c>
      <c r="W52" s="199">
        <f t="shared" si="88"/>
        <v>6956.9533835967359</v>
      </c>
      <c r="X52" s="197"/>
      <c r="Z52" s="204">
        <f t="shared" si="133"/>
        <v>15</v>
      </c>
      <c r="AA52" s="197">
        <f>'Energy NPV'!$D105</f>
        <v>16.3</v>
      </c>
      <c r="AB52" s="197">
        <f>'Energy margins'!$Z$12</f>
        <v>72</v>
      </c>
      <c r="AC52" s="197">
        <f t="shared" si="134"/>
        <v>1173.6000000000001</v>
      </c>
      <c r="AD52" s="197">
        <f>'Margins summary'!$W$14</f>
        <v>175.95</v>
      </c>
      <c r="AE52" s="197">
        <f t="shared" si="89"/>
        <v>1349.5500000000002</v>
      </c>
      <c r="AF52" s="197"/>
      <c r="AG52" s="918">
        <f>'Energy NPV'!U105</f>
        <v>408.3347839999999</v>
      </c>
      <c r="AH52" s="197"/>
      <c r="AI52" s="197">
        <f t="shared" si="90"/>
        <v>408.3347839999999</v>
      </c>
      <c r="AJ52" s="197">
        <f t="shared" si="73"/>
        <v>765.26521600000024</v>
      </c>
      <c r="AK52" s="197">
        <f t="shared" si="74"/>
        <v>941.21521600000028</v>
      </c>
      <c r="AL52" s="196">
        <f t="shared" si="91"/>
        <v>519.08441179598412</v>
      </c>
      <c r="AM52" s="197">
        <f t="shared" si="92"/>
        <v>77.822854682603449</v>
      </c>
      <c r="AN52" s="197">
        <f t="shared" si="93"/>
        <v>180.6068687529654</v>
      </c>
      <c r="AO52" s="197">
        <f t="shared" si="94"/>
        <v>338.47754304301878</v>
      </c>
      <c r="AP52" s="199">
        <f t="shared" si="95"/>
        <v>416.30039772562225</v>
      </c>
      <c r="AQ52" s="196">
        <f t="shared" si="135"/>
        <v>10339.356249907551</v>
      </c>
      <c r="AR52" s="197">
        <f t="shared" si="96"/>
        <v>1811.4024219566077</v>
      </c>
      <c r="AS52" s="197">
        <f t="shared" si="96"/>
        <v>6363.4966659207266</v>
      </c>
      <c r="AT52" s="197">
        <f t="shared" si="96"/>
        <v>3975.8595839868235</v>
      </c>
      <c r="AU52" s="199">
        <f t="shared" si="96"/>
        <v>5787.2620059434303</v>
      </c>
      <c r="AV52" s="197"/>
      <c r="AX52" s="204">
        <f t="shared" si="136"/>
        <v>15</v>
      </c>
      <c r="AY52" s="197">
        <f>'Energy NPV'!$D105</f>
        <v>16.3</v>
      </c>
      <c r="AZ52" s="197">
        <f>'Energy margins'!$Z$12</f>
        <v>72</v>
      </c>
      <c r="BA52" s="197">
        <f t="shared" si="137"/>
        <v>1173.6000000000001</v>
      </c>
      <c r="BB52" s="197">
        <f>'Margins summary'!$W$14</f>
        <v>175.95</v>
      </c>
      <c r="BC52" s="197">
        <f t="shared" si="97"/>
        <v>1349.5500000000002</v>
      </c>
      <c r="BD52" s="197"/>
      <c r="BE52" s="918">
        <f>'Energy NPV'!U105</f>
        <v>408.3347839999999</v>
      </c>
      <c r="BF52" s="197"/>
      <c r="BG52" s="197">
        <f t="shared" si="98"/>
        <v>408.3347839999999</v>
      </c>
      <c r="BH52" s="197">
        <f t="shared" si="75"/>
        <v>765.26521600000024</v>
      </c>
      <c r="BI52" s="197">
        <f t="shared" si="76"/>
        <v>941.21521600000028</v>
      </c>
      <c r="BJ52" s="196">
        <f t="shared" si="99"/>
        <v>889.44212885681657</v>
      </c>
      <c r="BK52" s="197">
        <f t="shared" si="100"/>
        <v>133.34811057630952</v>
      </c>
      <c r="BL52" s="197">
        <f t="shared" si="101"/>
        <v>309.46673446425382</v>
      </c>
      <c r="BM52" s="197">
        <f t="shared" si="102"/>
        <v>579.97539439256286</v>
      </c>
      <c r="BN52" s="199">
        <f t="shared" si="103"/>
        <v>713.32350496887238</v>
      </c>
      <c r="BO52" s="196">
        <f t="shared" si="138"/>
        <v>13609.308397605158</v>
      </c>
      <c r="BP52" s="197">
        <f t="shared" si="104"/>
        <v>2306.0444711845234</v>
      </c>
      <c r="BQ52" s="197">
        <f t="shared" si="105"/>
        <v>7531.1129422559716</v>
      </c>
      <c r="BR52" s="197">
        <f t="shared" si="106"/>
        <v>6078.1954553491878</v>
      </c>
      <c r="BS52" s="199">
        <f t="shared" si="107"/>
        <v>8384.2399265337117</v>
      </c>
      <c r="BT52" s="197"/>
      <c r="BV52" s="204">
        <f t="shared" si="139"/>
        <v>15</v>
      </c>
      <c r="BW52" s="197">
        <f>'Energy NPV'!$D105</f>
        <v>16.3</v>
      </c>
      <c r="BX52" s="197">
        <f>'Energy margins'!$Z$12</f>
        <v>72</v>
      </c>
      <c r="BY52" s="197">
        <f t="shared" si="140"/>
        <v>1173.6000000000001</v>
      </c>
      <c r="BZ52" s="197">
        <f>'Margins summary'!$W$14</f>
        <v>175.95</v>
      </c>
      <c r="CA52" s="197">
        <f t="shared" si="108"/>
        <v>1349.5500000000002</v>
      </c>
      <c r="CB52" s="197"/>
      <c r="CC52" s="918">
        <f>'Energy NPV'!U105</f>
        <v>408.3347839999999</v>
      </c>
      <c r="CD52" s="197"/>
      <c r="CE52" s="197">
        <f t="shared" si="109"/>
        <v>408.3347839999999</v>
      </c>
      <c r="CF52" s="197">
        <f t="shared" si="77"/>
        <v>765.26521600000024</v>
      </c>
      <c r="CG52" s="197">
        <f t="shared" si="78"/>
        <v>941.21521600000028</v>
      </c>
      <c r="CH52" s="196">
        <f t="shared" si="110"/>
        <v>399.56507814380598</v>
      </c>
      <c r="CI52" s="197">
        <f t="shared" si="111"/>
        <v>59.904120227848203</v>
      </c>
      <c r="CJ52" s="197">
        <f t="shared" si="112"/>
        <v>139.02208578544145</v>
      </c>
      <c r="CK52" s="197">
        <f t="shared" si="113"/>
        <v>260.54299235836453</v>
      </c>
      <c r="CL52" s="199">
        <f t="shared" si="114"/>
        <v>320.44711258621277</v>
      </c>
      <c r="CM52" s="196">
        <f t="shared" si="141"/>
        <v>9119.8382912255856</v>
      </c>
      <c r="CN52" s="197">
        <f t="shared" si="115"/>
        <v>1626.5234971518962</v>
      </c>
      <c r="CO52" s="197">
        <f t="shared" si="116"/>
        <v>5925.3203669631848</v>
      </c>
      <c r="CP52" s="197">
        <f t="shared" si="117"/>
        <v>3194.5179242624017</v>
      </c>
      <c r="CQ52" s="199">
        <f t="shared" si="118"/>
        <v>4821.0414214142984</v>
      </c>
      <c r="CR52" s="197"/>
      <c r="CT52" s="204">
        <f t="shared" si="142"/>
        <v>15</v>
      </c>
      <c r="CU52" s="197">
        <f>'Energy NPV'!$D105</f>
        <v>16.3</v>
      </c>
      <c r="CV52" s="197">
        <f>'Energy margins'!$Z$12</f>
        <v>72</v>
      </c>
      <c r="CW52" s="197">
        <f t="shared" si="143"/>
        <v>1173.6000000000001</v>
      </c>
      <c r="CX52" s="197">
        <f>'Margins summary'!$W$14</f>
        <v>175.95</v>
      </c>
      <c r="CY52" s="197">
        <f t="shared" si="119"/>
        <v>1349.5500000000002</v>
      </c>
      <c r="CZ52" s="197"/>
      <c r="DA52" s="918">
        <f>'Energy NPV'!U105</f>
        <v>408.3347839999999</v>
      </c>
      <c r="DB52" s="197"/>
      <c r="DC52" s="197">
        <f t="shared" si="120"/>
        <v>408.3347839999999</v>
      </c>
      <c r="DD52" s="197">
        <f t="shared" si="79"/>
        <v>765.26521600000024</v>
      </c>
      <c r="DE52" s="197">
        <f t="shared" si="80"/>
        <v>941.21521600000028</v>
      </c>
      <c r="DF52" s="196">
        <f t="shared" si="121"/>
        <v>1173.6000000000001</v>
      </c>
      <c r="DG52" s="197">
        <f t="shared" si="122"/>
        <v>175.95</v>
      </c>
      <c r="DH52" s="197">
        <f t="shared" si="123"/>
        <v>408.3347839999999</v>
      </c>
      <c r="DI52" s="197">
        <f t="shared" si="124"/>
        <v>765.26521600000024</v>
      </c>
      <c r="DJ52" s="199">
        <f t="shared" si="125"/>
        <v>941.21521600000028</v>
      </c>
      <c r="DK52" s="196">
        <f t="shared" si="144"/>
        <v>15816.000000000004</v>
      </c>
      <c r="DL52" s="197">
        <f t="shared" si="126"/>
        <v>2639.2499999999995</v>
      </c>
      <c r="DM52" s="197">
        <f t="shared" si="127"/>
        <v>8315.0292599999975</v>
      </c>
      <c r="DN52" s="197">
        <f t="shared" si="128"/>
        <v>7500.9707400000007</v>
      </c>
      <c r="DO52" s="199">
        <f t="shared" si="129"/>
        <v>10140.220740000004</v>
      </c>
    </row>
    <row r="53" spans="2:129" x14ac:dyDescent="0.3">
      <c r="B53" s="206">
        <f t="shared" si="130"/>
        <v>16</v>
      </c>
      <c r="C53" s="207">
        <f>'Energy NPV'!$D106</f>
        <v>16.3</v>
      </c>
      <c r="D53" s="207">
        <f>'Energy margins'!$Z$12</f>
        <v>72</v>
      </c>
      <c r="E53" s="207">
        <f t="shared" si="131"/>
        <v>1173.6000000000001</v>
      </c>
      <c r="F53" s="207">
        <f>'Margins summary'!$W$14</f>
        <v>175.95</v>
      </c>
      <c r="G53" s="207">
        <f t="shared" si="81"/>
        <v>1349.5500000000002</v>
      </c>
      <c r="H53" s="207"/>
      <c r="I53" s="919">
        <f>'Energy NPV'!U106</f>
        <v>408.3347839999999</v>
      </c>
      <c r="J53" s="207">
        <f>'Energy margins'!$AE$67</f>
        <v>192.1</v>
      </c>
      <c r="K53" s="207">
        <f t="shared" si="82"/>
        <v>600.43478399999992</v>
      </c>
      <c r="L53" s="207">
        <f t="shared" si="71"/>
        <v>573.16521600000021</v>
      </c>
      <c r="M53" s="207">
        <f t="shared" si="72"/>
        <v>749.11521600000026</v>
      </c>
      <c r="N53" s="208">
        <f t="shared" si="83"/>
        <v>651.65842038429935</v>
      </c>
      <c r="O53" s="207">
        <f t="shared" si="84"/>
        <v>97.698789252400701</v>
      </c>
      <c r="P53" s="207">
        <f>K53/(1+$B$4)^(B53-1)</f>
        <v>333.40012174951255</v>
      </c>
      <c r="Q53" s="207">
        <f t="shared" si="86"/>
        <v>318.25829863478685</v>
      </c>
      <c r="R53" s="209">
        <f>M53/(1+$B$4)^(B53-1)</f>
        <v>415.95708788718758</v>
      </c>
      <c r="S53" s="208">
        <f t="shared" si="132"/>
        <v>12464.990332449857</v>
      </c>
      <c r="T53" s="207">
        <f t="shared" si="88"/>
        <v>2132.2302686899807</v>
      </c>
      <c r="U53" s="207">
        <f t="shared" si="88"/>
        <v>7224.3101296559144</v>
      </c>
      <c r="V53" s="207">
        <f t="shared" si="88"/>
        <v>5240.6802027939411</v>
      </c>
      <c r="W53" s="209">
        <f t="shared" si="88"/>
        <v>7372.9104714839232</v>
      </c>
      <c r="X53" s="197"/>
      <c r="Z53" s="206">
        <f t="shared" si="133"/>
        <v>16</v>
      </c>
      <c r="AA53" s="207">
        <f>'Energy NPV'!$D106</f>
        <v>16.3</v>
      </c>
      <c r="AB53" s="207">
        <f>'Energy margins'!$Z$12</f>
        <v>72</v>
      </c>
      <c r="AC53" s="207">
        <f t="shared" si="134"/>
        <v>1173.6000000000001</v>
      </c>
      <c r="AD53" s="207">
        <f>'Margins summary'!$W$14</f>
        <v>175.95</v>
      </c>
      <c r="AE53" s="207">
        <f t="shared" si="89"/>
        <v>1349.5500000000002</v>
      </c>
      <c r="AF53" s="207"/>
      <c r="AG53" s="919">
        <f>'Energy NPV'!U106</f>
        <v>408.3347839999999</v>
      </c>
      <c r="AH53" s="207">
        <f>'Energy margins'!$AE$67</f>
        <v>192.1</v>
      </c>
      <c r="AI53" s="207">
        <f t="shared" si="90"/>
        <v>600.43478399999992</v>
      </c>
      <c r="AJ53" s="207">
        <f t="shared" si="73"/>
        <v>573.16521600000021</v>
      </c>
      <c r="AK53" s="207">
        <f t="shared" si="74"/>
        <v>749.11521600000026</v>
      </c>
      <c r="AL53" s="208">
        <f t="shared" si="91"/>
        <v>489.70227527923021</v>
      </c>
      <c r="AM53" s="207">
        <f t="shared" si="92"/>
        <v>73.417787436418322</v>
      </c>
      <c r="AN53" s="207">
        <f t="shared" si="93"/>
        <v>250.54045661349102</v>
      </c>
      <c r="AO53" s="207">
        <f t="shared" si="94"/>
        <v>239.16181866573919</v>
      </c>
      <c r="AP53" s="209">
        <f t="shared" si="95"/>
        <v>312.57960610215753</v>
      </c>
      <c r="AQ53" s="208">
        <f t="shared" si="135"/>
        <v>10829.058525186781</v>
      </c>
      <c r="AR53" s="207">
        <f t="shared" si="96"/>
        <v>1884.8202093930261</v>
      </c>
      <c r="AS53" s="207">
        <f t="shared" si="96"/>
        <v>6614.0371225342178</v>
      </c>
      <c r="AT53" s="207">
        <f t="shared" si="96"/>
        <v>4215.0214026525628</v>
      </c>
      <c r="AU53" s="209">
        <f t="shared" si="96"/>
        <v>6099.8416120455877</v>
      </c>
      <c r="AV53" s="197"/>
      <c r="AX53" s="206">
        <f t="shared" si="136"/>
        <v>16</v>
      </c>
      <c r="AY53" s="207">
        <f>'Energy NPV'!$D106</f>
        <v>16.3</v>
      </c>
      <c r="AZ53" s="207">
        <f>'Energy margins'!$Z$12</f>
        <v>72</v>
      </c>
      <c r="BA53" s="207">
        <f t="shared" si="137"/>
        <v>1173.6000000000001</v>
      </c>
      <c r="BB53" s="207">
        <f>'Margins summary'!$W$14</f>
        <v>175.95</v>
      </c>
      <c r="BC53" s="207">
        <f t="shared" si="97"/>
        <v>1349.5500000000002</v>
      </c>
      <c r="BD53" s="207"/>
      <c r="BE53" s="919">
        <f>'Energy NPV'!U106</f>
        <v>408.3347839999999</v>
      </c>
      <c r="BF53" s="207">
        <f>'Energy margins'!$AE$67</f>
        <v>192.1</v>
      </c>
      <c r="BG53" s="207">
        <f t="shared" si="98"/>
        <v>600.43478399999992</v>
      </c>
      <c r="BH53" s="207">
        <f t="shared" si="75"/>
        <v>573.16521600000021</v>
      </c>
      <c r="BI53" s="207">
        <f t="shared" si="76"/>
        <v>749.11521600000026</v>
      </c>
      <c r="BJ53" s="208">
        <f t="shared" si="99"/>
        <v>872.00208711452638</v>
      </c>
      <c r="BK53" s="207">
        <f t="shared" si="100"/>
        <v>130.73344174147996</v>
      </c>
      <c r="BL53" s="207">
        <f t="shared" si="101"/>
        <v>446.13188890947487</v>
      </c>
      <c r="BM53" s="207">
        <f t="shared" si="102"/>
        <v>425.87019820505151</v>
      </c>
      <c r="BN53" s="209">
        <f t="shared" si="103"/>
        <v>556.60363994653153</v>
      </c>
      <c r="BO53" s="208">
        <f t="shared" si="138"/>
        <v>14481.310484719685</v>
      </c>
      <c r="BP53" s="207">
        <f t="shared" si="104"/>
        <v>2436.7779129260034</v>
      </c>
      <c r="BQ53" s="207">
        <f t="shared" si="105"/>
        <v>7977.2448311654462</v>
      </c>
      <c r="BR53" s="207">
        <f t="shared" si="106"/>
        <v>6504.0656535542394</v>
      </c>
      <c r="BS53" s="209">
        <f t="shared" si="107"/>
        <v>8940.8435664802437</v>
      </c>
      <c r="BT53" s="197"/>
      <c r="BV53" s="206">
        <f t="shared" si="139"/>
        <v>16</v>
      </c>
      <c r="BW53" s="207">
        <f>'Energy NPV'!$D106</f>
        <v>16.3</v>
      </c>
      <c r="BX53" s="207">
        <f>'Energy margins'!$Z$12</f>
        <v>72</v>
      </c>
      <c r="BY53" s="207">
        <f t="shared" si="140"/>
        <v>1173.6000000000001</v>
      </c>
      <c r="BZ53" s="207">
        <f>'Margins summary'!$W$14</f>
        <v>175.95</v>
      </c>
      <c r="CA53" s="207">
        <f t="shared" si="108"/>
        <v>1349.5500000000002</v>
      </c>
      <c r="CB53" s="207"/>
      <c r="CC53" s="919">
        <f>'Energy NPV'!U106</f>
        <v>408.3347839999999</v>
      </c>
      <c r="CD53" s="207">
        <f>'Energy margins'!$AE$67</f>
        <v>192.1</v>
      </c>
      <c r="CE53" s="207">
        <f t="shared" si="109"/>
        <v>600.43478399999992</v>
      </c>
      <c r="CF53" s="207">
        <f t="shared" si="77"/>
        <v>573.16521600000021</v>
      </c>
      <c r="CG53" s="207">
        <f t="shared" si="78"/>
        <v>749.11521600000026</v>
      </c>
      <c r="CH53" s="208">
        <f t="shared" si="110"/>
        <v>369.9676649479685</v>
      </c>
      <c r="CI53" s="207">
        <f t="shared" si="111"/>
        <v>55.466777988748333</v>
      </c>
      <c r="CJ53" s="207">
        <f t="shared" si="112"/>
        <v>189.28208502898585</v>
      </c>
      <c r="CK53" s="207">
        <f t="shared" si="113"/>
        <v>180.68557991898265</v>
      </c>
      <c r="CL53" s="209">
        <f t="shared" si="114"/>
        <v>236.15235790773102</v>
      </c>
      <c r="CM53" s="208">
        <f t="shared" si="141"/>
        <v>9489.8059561735536</v>
      </c>
      <c r="CN53" s="207">
        <f t="shared" si="115"/>
        <v>1681.9902751406446</v>
      </c>
      <c r="CO53" s="207">
        <f t="shared" si="116"/>
        <v>6114.6024519921702</v>
      </c>
      <c r="CP53" s="207">
        <f t="shared" si="117"/>
        <v>3375.2035041813842</v>
      </c>
      <c r="CQ53" s="209">
        <f t="shared" si="118"/>
        <v>5057.1937793220295</v>
      </c>
      <c r="CR53" s="197"/>
      <c r="CT53" s="206">
        <f t="shared" si="142"/>
        <v>16</v>
      </c>
      <c r="CU53" s="207">
        <f>'Energy NPV'!$D106</f>
        <v>16.3</v>
      </c>
      <c r="CV53" s="207">
        <f>'Energy margins'!$Z$12</f>
        <v>72</v>
      </c>
      <c r="CW53" s="207">
        <f t="shared" si="143"/>
        <v>1173.6000000000001</v>
      </c>
      <c r="CX53" s="207">
        <f>'Margins summary'!$W$14</f>
        <v>175.95</v>
      </c>
      <c r="CY53" s="207">
        <f t="shared" si="119"/>
        <v>1349.5500000000002</v>
      </c>
      <c r="CZ53" s="207"/>
      <c r="DA53" s="919">
        <f>'Energy NPV'!U106</f>
        <v>408.3347839999999</v>
      </c>
      <c r="DB53" s="207">
        <f>'Energy margins'!$AE$67</f>
        <v>192.1</v>
      </c>
      <c r="DC53" s="207">
        <f t="shared" si="120"/>
        <v>600.43478399999992</v>
      </c>
      <c r="DD53" s="207">
        <f t="shared" si="79"/>
        <v>573.16521600000021</v>
      </c>
      <c r="DE53" s="207">
        <f t="shared" si="80"/>
        <v>749.11521600000026</v>
      </c>
      <c r="DF53" s="208">
        <f t="shared" si="121"/>
        <v>1173.6000000000001</v>
      </c>
      <c r="DG53" s="207">
        <f t="shared" si="122"/>
        <v>175.95</v>
      </c>
      <c r="DH53" s="207">
        <f t="shared" si="123"/>
        <v>600.43478399999992</v>
      </c>
      <c r="DI53" s="207">
        <f t="shared" si="124"/>
        <v>573.16521600000021</v>
      </c>
      <c r="DJ53" s="209">
        <f t="shared" si="125"/>
        <v>749.11521600000026</v>
      </c>
      <c r="DK53" s="208">
        <f t="shared" si="144"/>
        <v>16989.600000000002</v>
      </c>
      <c r="DL53" s="207">
        <f t="shared" si="126"/>
        <v>2815.1999999999994</v>
      </c>
      <c r="DM53" s="207">
        <f t="shared" si="127"/>
        <v>8915.4640439999966</v>
      </c>
      <c r="DN53" s="207">
        <f t="shared" si="128"/>
        <v>8074.135956000001</v>
      </c>
      <c r="DO53" s="209">
        <f t="shared" si="129"/>
        <v>10889.335956000004</v>
      </c>
    </row>
    <row r="59" spans="2:129" x14ac:dyDescent="0.3">
      <c r="B59" s="211" t="s">
        <v>299</v>
      </c>
      <c r="C59" s="763" t="s">
        <v>420</v>
      </c>
      <c r="D59" s="269" t="s">
        <v>405</v>
      </c>
      <c r="AB59" s="211" t="s">
        <v>299</v>
      </c>
      <c r="AC59" s="763" t="s">
        <v>421</v>
      </c>
      <c r="AD59" s="269" t="s">
        <v>405</v>
      </c>
      <c r="BB59" s="211" t="s">
        <v>299</v>
      </c>
      <c r="BC59" s="763" t="s">
        <v>422</v>
      </c>
      <c r="BD59" s="269" t="s">
        <v>405</v>
      </c>
      <c r="CB59" s="211" t="s">
        <v>299</v>
      </c>
      <c r="CC59" s="763" t="s">
        <v>423</v>
      </c>
      <c r="CD59" s="269" t="s">
        <v>405</v>
      </c>
      <c r="DB59" s="211" t="s">
        <v>299</v>
      </c>
      <c r="DC59" s="763" t="s">
        <v>424</v>
      </c>
      <c r="DD59" s="269" t="s">
        <v>405</v>
      </c>
    </row>
    <row r="60" spans="2:129" x14ac:dyDescent="0.3">
      <c r="B60" s="203"/>
      <c r="C60" s="103"/>
      <c r="D60" s="158"/>
      <c r="E60" s="158"/>
      <c r="F60" s="158"/>
      <c r="G60" s="158"/>
      <c r="H60" s="758"/>
      <c r="I60" s="758"/>
      <c r="J60" s="758"/>
      <c r="K60" s="148"/>
      <c r="L60" s="148"/>
      <c r="M60" s="758"/>
      <c r="N60" s="148"/>
      <c r="O60" s="148"/>
      <c r="P60" s="1015" t="s">
        <v>275</v>
      </c>
      <c r="Q60" s="1016"/>
      <c r="R60" s="1016"/>
      <c r="S60" s="1016"/>
      <c r="T60" s="1017"/>
      <c r="U60" s="1015" t="s">
        <v>276</v>
      </c>
      <c r="V60" s="1016"/>
      <c r="W60" s="1016"/>
      <c r="X60" s="1016"/>
      <c r="Y60" s="1017"/>
      <c r="Z60" s="987"/>
      <c r="AB60" s="203"/>
      <c r="AC60" s="103"/>
      <c r="AD60" s="158"/>
      <c r="AE60" s="158"/>
      <c r="AF60" s="158"/>
      <c r="AG60" s="158"/>
      <c r="AH60" s="758"/>
      <c r="AI60" s="758"/>
      <c r="AJ60" s="758"/>
      <c r="AK60" s="148"/>
      <c r="AL60" s="148"/>
      <c r="AM60" s="758"/>
      <c r="AN60" s="148"/>
      <c r="AO60" s="148"/>
      <c r="AP60" s="1015" t="s">
        <v>275</v>
      </c>
      <c r="AQ60" s="1016"/>
      <c r="AR60" s="1016"/>
      <c r="AS60" s="1016"/>
      <c r="AT60" s="1017"/>
      <c r="AU60" s="1015" t="s">
        <v>276</v>
      </c>
      <c r="AV60" s="1016"/>
      <c r="AW60" s="1016"/>
      <c r="AX60" s="1016"/>
      <c r="AY60" s="1017"/>
      <c r="BB60" s="203"/>
      <c r="BC60" s="103"/>
      <c r="BD60" s="158"/>
      <c r="BE60" s="158"/>
      <c r="BF60" s="158"/>
      <c r="BG60" s="158"/>
      <c r="BH60" s="758"/>
      <c r="BI60" s="758"/>
      <c r="BJ60" s="758"/>
      <c r="BK60" s="148"/>
      <c r="BL60" s="148"/>
      <c r="BM60" s="758"/>
      <c r="BN60" s="148"/>
      <c r="BO60" s="148"/>
      <c r="BP60" s="1015" t="s">
        <v>275</v>
      </c>
      <c r="BQ60" s="1016"/>
      <c r="BR60" s="1016"/>
      <c r="BS60" s="1016"/>
      <c r="BT60" s="1017"/>
      <c r="BU60" s="1015" t="s">
        <v>276</v>
      </c>
      <c r="BV60" s="1016"/>
      <c r="BW60" s="1016"/>
      <c r="BX60" s="1016"/>
      <c r="BY60" s="1017"/>
      <c r="CB60" s="203"/>
      <c r="CC60" s="103"/>
      <c r="CD60" s="158"/>
      <c r="CE60" s="158"/>
      <c r="CF60" s="158"/>
      <c r="CG60" s="158"/>
      <c r="CH60" s="758"/>
      <c r="CI60" s="758"/>
      <c r="CJ60" s="758"/>
      <c r="CK60" s="148"/>
      <c r="CL60" s="148"/>
      <c r="CM60" s="758"/>
      <c r="CN60" s="148"/>
      <c r="CO60" s="148"/>
      <c r="CP60" s="1015" t="s">
        <v>275</v>
      </c>
      <c r="CQ60" s="1016"/>
      <c r="CR60" s="1016"/>
      <c r="CS60" s="1016"/>
      <c r="CT60" s="1017"/>
      <c r="CU60" s="1015" t="s">
        <v>276</v>
      </c>
      <c r="CV60" s="1016"/>
      <c r="CW60" s="1016"/>
      <c r="CX60" s="1016"/>
      <c r="CY60" s="1017"/>
      <c r="DB60" s="203"/>
      <c r="DC60" s="64"/>
      <c r="DE60" s="158"/>
      <c r="DF60" s="158"/>
      <c r="DG60" s="158"/>
      <c r="DH60" s="758"/>
      <c r="DI60" s="758"/>
      <c r="DJ60" s="758"/>
      <c r="DK60" s="148"/>
      <c r="DL60" s="148"/>
      <c r="DM60" s="758"/>
      <c r="DN60" s="148"/>
      <c r="DO60" s="148"/>
      <c r="DP60" s="1015" t="s">
        <v>275</v>
      </c>
      <c r="DQ60" s="1016"/>
      <c r="DR60" s="1016"/>
      <c r="DS60" s="1016"/>
      <c r="DT60" s="1017"/>
      <c r="DU60" s="1015" t="s">
        <v>276</v>
      </c>
      <c r="DV60" s="1016"/>
      <c r="DW60" s="1016"/>
      <c r="DX60" s="1016"/>
      <c r="DY60" s="1017"/>
    </row>
    <row r="61" spans="2:129" ht="51" x14ac:dyDescent="0.3">
      <c r="B61" s="204" t="s">
        <v>277</v>
      </c>
      <c r="C61" s="204" t="s">
        <v>278</v>
      </c>
      <c r="D61" s="205" t="s">
        <v>303</v>
      </c>
      <c r="E61" s="205" t="s">
        <v>304</v>
      </c>
      <c r="F61" s="205" t="s">
        <v>664</v>
      </c>
      <c r="G61" s="205" t="s">
        <v>665</v>
      </c>
      <c r="H61" s="171" t="s">
        <v>675</v>
      </c>
      <c r="I61" s="171" t="s">
        <v>666</v>
      </c>
      <c r="J61" s="171" t="s">
        <v>676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283</v>
      </c>
      <c r="N61" s="171" t="s">
        <v>677</v>
      </c>
      <c r="O61" s="171" t="s">
        <v>678</v>
      </c>
      <c r="P61" s="195" t="s">
        <v>286</v>
      </c>
      <c r="Q61" s="171" t="s">
        <v>679</v>
      </c>
      <c r="R61" s="171" t="s">
        <v>288</v>
      </c>
      <c r="S61" s="171" t="s">
        <v>680</v>
      </c>
      <c r="T61" s="198" t="s">
        <v>290</v>
      </c>
      <c r="U61" s="195" t="s">
        <v>291</v>
      </c>
      <c r="V61" s="171" t="s">
        <v>681</v>
      </c>
      <c r="W61" s="171" t="s">
        <v>293</v>
      </c>
      <c r="X61" s="171" t="s">
        <v>682</v>
      </c>
      <c r="Y61" s="198" t="s">
        <v>295</v>
      </c>
      <c r="Z61" s="171"/>
      <c r="AB61" s="204" t="s">
        <v>277</v>
      </c>
      <c r="AC61" s="204" t="s">
        <v>278</v>
      </c>
      <c r="AD61" s="205" t="s">
        <v>303</v>
      </c>
      <c r="AE61" s="205" t="s">
        <v>304</v>
      </c>
      <c r="AF61" s="205" t="s">
        <v>664</v>
      </c>
      <c r="AG61" s="205" t="s">
        <v>665</v>
      </c>
      <c r="AH61" s="171" t="s">
        <v>675</v>
      </c>
      <c r="AI61" s="171" t="s">
        <v>666</v>
      </c>
      <c r="AJ61" s="171" t="s">
        <v>676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283</v>
      </c>
      <c r="AN61" s="171" t="s">
        <v>677</v>
      </c>
      <c r="AO61" s="171" t="s">
        <v>678</v>
      </c>
      <c r="AP61" s="195" t="s">
        <v>286</v>
      </c>
      <c r="AQ61" s="171" t="s">
        <v>679</v>
      </c>
      <c r="AR61" s="171" t="s">
        <v>288</v>
      </c>
      <c r="AS61" s="171" t="s">
        <v>680</v>
      </c>
      <c r="AT61" s="198" t="s">
        <v>290</v>
      </c>
      <c r="AU61" s="195" t="s">
        <v>291</v>
      </c>
      <c r="AV61" s="171" t="s">
        <v>681</v>
      </c>
      <c r="AW61" s="171" t="s">
        <v>293</v>
      </c>
      <c r="AX61" s="171" t="s">
        <v>682</v>
      </c>
      <c r="AY61" s="198" t="s">
        <v>295</v>
      </c>
      <c r="BB61" s="204" t="s">
        <v>277</v>
      </c>
      <c r="BC61" s="204" t="s">
        <v>278</v>
      </c>
      <c r="BD61" s="205" t="s">
        <v>303</v>
      </c>
      <c r="BE61" s="205" t="s">
        <v>304</v>
      </c>
      <c r="BF61" s="205" t="s">
        <v>664</v>
      </c>
      <c r="BG61" s="205" t="s">
        <v>665</v>
      </c>
      <c r="BH61" s="171" t="s">
        <v>675</v>
      </c>
      <c r="BI61" s="171" t="s">
        <v>666</v>
      </c>
      <c r="BJ61" s="171" t="s">
        <v>676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283</v>
      </c>
      <c r="BN61" s="171" t="s">
        <v>677</v>
      </c>
      <c r="BO61" s="171" t="s">
        <v>678</v>
      </c>
      <c r="BP61" s="195" t="s">
        <v>286</v>
      </c>
      <c r="BQ61" s="171" t="s">
        <v>679</v>
      </c>
      <c r="BR61" s="171" t="s">
        <v>288</v>
      </c>
      <c r="BS61" s="171" t="s">
        <v>680</v>
      </c>
      <c r="BT61" s="198" t="s">
        <v>290</v>
      </c>
      <c r="BU61" s="195" t="s">
        <v>291</v>
      </c>
      <c r="BV61" s="171" t="s">
        <v>681</v>
      </c>
      <c r="BW61" s="171" t="s">
        <v>293</v>
      </c>
      <c r="BX61" s="171" t="s">
        <v>682</v>
      </c>
      <c r="BY61" s="198" t="s">
        <v>295</v>
      </c>
      <c r="CB61" s="204" t="s">
        <v>277</v>
      </c>
      <c r="CC61" s="204" t="s">
        <v>278</v>
      </c>
      <c r="CD61" s="205" t="s">
        <v>303</v>
      </c>
      <c r="CE61" s="205" t="s">
        <v>304</v>
      </c>
      <c r="CF61" s="205" t="s">
        <v>664</v>
      </c>
      <c r="CG61" s="205" t="s">
        <v>665</v>
      </c>
      <c r="CH61" s="171" t="s">
        <v>675</v>
      </c>
      <c r="CI61" s="171" t="s">
        <v>666</v>
      </c>
      <c r="CJ61" s="171" t="s">
        <v>676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283</v>
      </c>
      <c r="CN61" s="171" t="s">
        <v>677</v>
      </c>
      <c r="CO61" s="171" t="s">
        <v>678</v>
      </c>
      <c r="CP61" s="195" t="s">
        <v>286</v>
      </c>
      <c r="CQ61" s="171" t="s">
        <v>679</v>
      </c>
      <c r="CR61" s="171" t="s">
        <v>288</v>
      </c>
      <c r="CS61" s="171" t="s">
        <v>680</v>
      </c>
      <c r="CT61" s="198" t="s">
        <v>290</v>
      </c>
      <c r="CU61" s="195" t="s">
        <v>291</v>
      </c>
      <c r="CV61" s="171" t="s">
        <v>681</v>
      </c>
      <c r="CW61" s="171" t="s">
        <v>293</v>
      </c>
      <c r="CX61" s="171" t="s">
        <v>682</v>
      </c>
      <c r="CY61" s="198" t="s">
        <v>295</v>
      </c>
      <c r="DB61" s="204" t="s">
        <v>277</v>
      </c>
      <c r="DC61" s="204" t="s">
        <v>278</v>
      </c>
      <c r="DD61" s="205" t="s">
        <v>303</v>
      </c>
      <c r="DE61" s="205" t="s">
        <v>304</v>
      </c>
      <c r="DF61" s="205" t="s">
        <v>664</v>
      </c>
      <c r="DG61" s="205" t="s">
        <v>665</v>
      </c>
      <c r="DH61" s="171" t="s">
        <v>675</v>
      </c>
      <c r="DI61" s="171" t="s">
        <v>666</v>
      </c>
      <c r="DJ61" s="171" t="s">
        <v>676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283</v>
      </c>
      <c r="DN61" s="171" t="s">
        <v>677</v>
      </c>
      <c r="DO61" s="171" t="s">
        <v>678</v>
      </c>
      <c r="DP61" s="195" t="s">
        <v>286</v>
      </c>
      <c r="DQ61" s="171" t="s">
        <v>679</v>
      </c>
      <c r="DR61" s="171" t="s">
        <v>288</v>
      </c>
      <c r="DS61" s="171" t="s">
        <v>680</v>
      </c>
      <c r="DT61" s="198" t="s">
        <v>290</v>
      </c>
      <c r="DU61" s="195" t="s">
        <v>291</v>
      </c>
      <c r="DV61" s="171" t="s">
        <v>681</v>
      </c>
      <c r="DW61" s="171" t="s">
        <v>293</v>
      </c>
      <c r="DX61" s="171" t="s">
        <v>682</v>
      </c>
      <c r="DY61" s="198" t="s">
        <v>295</v>
      </c>
    </row>
    <row r="62" spans="2:129" x14ac:dyDescent="0.3">
      <c r="B62" s="173"/>
      <c r="C62" s="55"/>
      <c r="D62" s="226" t="s">
        <v>341</v>
      </c>
      <c r="E62" s="226" t="s">
        <v>601</v>
      </c>
      <c r="F62" s="226" t="s">
        <v>341</v>
      </c>
      <c r="G62" s="226" t="s">
        <v>601</v>
      </c>
      <c r="H62" s="201" t="s">
        <v>599</v>
      </c>
      <c r="I62" s="201" t="s">
        <v>599</v>
      </c>
      <c r="J62" s="201" t="s">
        <v>599</v>
      </c>
      <c r="K62" s="201" t="s">
        <v>599</v>
      </c>
      <c r="L62" s="201" t="s">
        <v>599</v>
      </c>
      <c r="M62" s="201" t="s">
        <v>599</v>
      </c>
      <c r="N62" s="201" t="s">
        <v>599</v>
      </c>
      <c r="O62" s="202" t="s">
        <v>599</v>
      </c>
      <c r="P62" s="201" t="s">
        <v>599</v>
      </c>
      <c r="Q62" s="201" t="s">
        <v>599</v>
      </c>
      <c r="R62" s="201" t="s">
        <v>599</v>
      </c>
      <c r="S62" s="201" t="s">
        <v>599</v>
      </c>
      <c r="T62" s="202" t="s">
        <v>599</v>
      </c>
      <c r="U62" s="201" t="s">
        <v>599</v>
      </c>
      <c r="V62" s="201" t="s">
        <v>599</v>
      </c>
      <c r="W62" s="201" t="s">
        <v>599</v>
      </c>
      <c r="X62" s="201" t="s">
        <v>599</v>
      </c>
      <c r="Y62" s="202" t="s">
        <v>599</v>
      </c>
      <c r="Z62" s="988"/>
      <c r="AB62" s="173"/>
      <c r="AC62" s="55"/>
      <c r="AD62" s="226" t="s">
        <v>341</v>
      </c>
      <c r="AE62" s="226" t="s">
        <v>601</v>
      </c>
      <c r="AF62" s="226" t="s">
        <v>341</v>
      </c>
      <c r="AG62" s="226" t="s">
        <v>601</v>
      </c>
      <c r="AH62" s="201" t="s">
        <v>599</v>
      </c>
      <c r="AI62" s="201" t="s">
        <v>599</v>
      </c>
      <c r="AJ62" s="201" t="s">
        <v>599</v>
      </c>
      <c r="AK62" s="201" t="s">
        <v>599</v>
      </c>
      <c r="AL62" s="201" t="s">
        <v>599</v>
      </c>
      <c r="AM62" s="201" t="s">
        <v>599</v>
      </c>
      <c r="AN62" s="201" t="s">
        <v>599</v>
      </c>
      <c r="AO62" s="202" t="s">
        <v>599</v>
      </c>
      <c r="AP62" s="201" t="s">
        <v>599</v>
      </c>
      <c r="AQ62" s="201" t="s">
        <v>599</v>
      </c>
      <c r="AR62" s="201" t="s">
        <v>599</v>
      </c>
      <c r="AS62" s="201" t="s">
        <v>599</v>
      </c>
      <c r="AT62" s="202" t="s">
        <v>599</v>
      </c>
      <c r="AU62" s="201" t="s">
        <v>599</v>
      </c>
      <c r="AV62" s="201" t="s">
        <v>599</v>
      </c>
      <c r="AW62" s="201" t="s">
        <v>599</v>
      </c>
      <c r="AX62" s="201" t="s">
        <v>599</v>
      </c>
      <c r="AY62" s="202" t="s">
        <v>599</v>
      </c>
      <c r="BB62" s="173"/>
      <c r="BC62" s="55"/>
      <c r="BD62" s="226" t="s">
        <v>341</v>
      </c>
      <c r="BE62" s="226" t="s">
        <v>601</v>
      </c>
      <c r="BF62" s="226" t="s">
        <v>341</v>
      </c>
      <c r="BG62" s="226" t="s">
        <v>601</v>
      </c>
      <c r="BH62" s="201" t="s">
        <v>599</v>
      </c>
      <c r="BI62" s="201" t="s">
        <v>599</v>
      </c>
      <c r="BJ62" s="201" t="s">
        <v>599</v>
      </c>
      <c r="BK62" s="201" t="s">
        <v>599</v>
      </c>
      <c r="BL62" s="201" t="s">
        <v>599</v>
      </c>
      <c r="BM62" s="201" t="s">
        <v>599</v>
      </c>
      <c r="BN62" s="201" t="s">
        <v>599</v>
      </c>
      <c r="BO62" s="202" t="s">
        <v>599</v>
      </c>
      <c r="BP62" s="201" t="s">
        <v>599</v>
      </c>
      <c r="BQ62" s="201" t="s">
        <v>599</v>
      </c>
      <c r="BR62" s="201" t="s">
        <v>599</v>
      </c>
      <c r="BS62" s="201" t="s">
        <v>599</v>
      </c>
      <c r="BT62" s="202" t="s">
        <v>599</v>
      </c>
      <c r="BU62" s="201" t="s">
        <v>599</v>
      </c>
      <c r="BV62" s="201" t="s">
        <v>599</v>
      </c>
      <c r="BW62" s="201" t="s">
        <v>599</v>
      </c>
      <c r="BX62" s="201" t="s">
        <v>599</v>
      </c>
      <c r="BY62" s="202" t="s">
        <v>599</v>
      </c>
      <c r="CB62" s="173"/>
      <c r="CC62" s="55"/>
      <c r="CD62" s="226" t="s">
        <v>341</v>
      </c>
      <c r="CE62" s="226" t="s">
        <v>601</v>
      </c>
      <c r="CF62" s="226" t="s">
        <v>341</v>
      </c>
      <c r="CG62" s="226" t="s">
        <v>601</v>
      </c>
      <c r="CH62" s="201" t="s">
        <v>599</v>
      </c>
      <c r="CI62" s="201" t="s">
        <v>599</v>
      </c>
      <c r="CJ62" s="201" t="s">
        <v>599</v>
      </c>
      <c r="CK62" s="201" t="s">
        <v>599</v>
      </c>
      <c r="CL62" s="201" t="s">
        <v>599</v>
      </c>
      <c r="CM62" s="201" t="s">
        <v>599</v>
      </c>
      <c r="CN62" s="201" t="s">
        <v>599</v>
      </c>
      <c r="CO62" s="202" t="s">
        <v>599</v>
      </c>
      <c r="CP62" s="201" t="s">
        <v>599</v>
      </c>
      <c r="CQ62" s="201" t="s">
        <v>599</v>
      </c>
      <c r="CR62" s="201" t="s">
        <v>599</v>
      </c>
      <c r="CS62" s="201" t="s">
        <v>599</v>
      </c>
      <c r="CT62" s="202" t="s">
        <v>599</v>
      </c>
      <c r="CU62" s="201" t="s">
        <v>599</v>
      </c>
      <c r="CV62" s="201" t="s">
        <v>599</v>
      </c>
      <c r="CW62" s="201" t="s">
        <v>599</v>
      </c>
      <c r="CX62" s="201" t="s">
        <v>599</v>
      </c>
      <c r="CY62" s="202" t="s">
        <v>599</v>
      </c>
      <c r="DB62" s="173"/>
      <c r="DC62" s="55"/>
      <c r="DD62" s="226" t="s">
        <v>341</v>
      </c>
      <c r="DE62" s="226" t="s">
        <v>601</v>
      </c>
      <c r="DF62" s="226" t="s">
        <v>341</v>
      </c>
      <c r="DG62" s="226" t="s">
        <v>601</v>
      </c>
      <c r="DH62" s="201" t="s">
        <v>599</v>
      </c>
      <c r="DI62" s="201" t="s">
        <v>599</v>
      </c>
      <c r="DJ62" s="201" t="s">
        <v>599</v>
      </c>
      <c r="DK62" s="201" t="s">
        <v>599</v>
      </c>
      <c r="DL62" s="201" t="s">
        <v>599</v>
      </c>
      <c r="DM62" s="201" t="s">
        <v>599</v>
      </c>
      <c r="DN62" s="201" t="s">
        <v>599</v>
      </c>
      <c r="DO62" s="202" t="s">
        <v>599</v>
      </c>
      <c r="DP62" s="201" t="s">
        <v>599</v>
      </c>
      <c r="DQ62" s="201" t="s">
        <v>599</v>
      </c>
      <c r="DR62" s="201" t="s">
        <v>599</v>
      </c>
      <c r="DS62" s="201" t="s">
        <v>599</v>
      </c>
      <c r="DT62" s="202" t="s">
        <v>599</v>
      </c>
      <c r="DU62" s="201" t="s">
        <v>599</v>
      </c>
      <c r="DV62" s="201" t="s">
        <v>599</v>
      </c>
      <c r="DW62" s="201" t="s">
        <v>599</v>
      </c>
      <c r="DX62" s="201" t="s">
        <v>599</v>
      </c>
      <c r="DY62" s="202" t="s">
        <v>599</v>
      </c>
    </row>
    <row r="63" spans="2:129" x14ac:dyDescent="0.3">
      <c r="B63" s="204">
        <v>1</v>
      </c>
      <c r="C63" s="219" t="s">
        <v>4</v>
      </c>
      <c r="D63" s="760">
        <f>'Arable Inputs'!$D$18</f>
        <v>7.45</v>
      </c>
      <c r="E63" s="760">
        <f>'Arable Inputs'!$D$25</f>
        <v>193.7</v>
      </c>
      <c r="F63" s="760">
        <f>'Arable Inputs'!$D$19</f>
        <v>3.9</v>
      </c>
      <c r="G63" s="760">
        <f>'Arable Inputs'!$D$26</f>
        <v>73.449999999999989</v>
      </c>
      <c r="H63" s="762">
        <f>D63*E63+F63*G63</f>
        <v>1729.52</v>
      </c>
      <c r="I63" s="197">
        <f>'Arable NPV'!$E143</f>
        <v>175.95</v>
      </c>
      <c r="J63" s="197">
        <f>H63+I63</f>
        <v>1905.47</v>
      </c>
      <c r="K63" s="197">
        <f>'Arable NPV'!$G143</f>
        <v>671.92799999999988</v>
      </c>
      <c r="L63" s="197">
        <f>'Arable NPV'!$H143</f>
        <v>969.47373599999992</v>
      </c>
      <c r="M63" s="197">
        <f>K63+L63</f>
        <v>1641.4017359999998</v>
      </c>
      <c r="N63" s="197">
        <f>H63-M63</f>
        <v>88.118264000000181</v>
      </c>
      <c r="O63" s="197">
        <f>J63-M63</f>
        <v>264.06826400000023</v>
      </c>
      <c r="P63" s="1018">
        <f>H63/(1+$B$4)^(B63-1)</f>
        <v>1729.52</v>
      </c>
      <c r="Q63" s="213">
        <f>I63/(1+$B$4)^(B63-1)</f>
        <v>175.95</v>
      </c>
      <c r="R63" s="213">
        <f>M63/(1+$B$4)^(B63-1)</f>
        <v>1641.4017359999998</v>
      </c>
      <c r="S63" s="213">
        <f>N63/(1+$B$4)^(B63-1)</f>
        <v>88.118264000000181</v>
      </c>
      <c r="T63" s="929">
        <f>O63/(1+$B$4)^(B63-1)</f>
        <v>264.06826400000023</v>
      </c>
      <c r="U63" s="196">
        <f>P63</f>
        <v>1729.52</v>
      </c>
      <c r="V63" s="197">
        <f>Q63</f>
        <v>175.95</v>
      </c>
      <c r="W63" s="197">
        <f>R63</f>
        <v>1641.4017359999998</v>
      </c>
      <c r="X63" s="197">
        <f>S63</f>
        <v>88.118264000000181</v>
      </c>
      <c r="Y63" s="199">
        <f>T63</f>
        <v>264.06826400000023</v>
      </c>
      <c r="Z63" s="197"/>
      <c r="AB63" s="204">
        <v>1</v>
      </c>
      <c r="AC63" s="219" t="s">
        <v>4</v>
      </c>
      <c r="AD63" s="760">
        <f>'Arable Inputs'!$D$18</f>
        <v>7.45</v>
      </c>
      <c r="AE63" s="760">
        <f>'Arable Inputs'!$D$25</f>
        <v>193.7</v>
      </c>
      <c r="AF63" s="760">
        <f>'Arable Inputs'!$D$19</f>
        <v>3.9</v>
      </c>
      <c r="AG63" s="760">
        <f>'Arable Inputs'!$D$26</f>
        <v>73.449999999999989</v>
      </c>
      <c r="AH63" s="762">
        <f>AD63*AE63+AF63*AG63</f>
        <v>1729.52</v>
      </c>
      <c r="AI63" s="197">
        <f>'Arable NPV'!$E143</f>
        <v>175.95</v>
      </c>
      <c r="AJ63" s="197">
        <f>AH63+AI63</f>
        <v>1905.47</v>
      </c>
      <c r="AK63" s="197">
        <f>'Arable NPV'!$G143</f>
        <v>671.92799999999988</v>
      </c>
      <c r="AL63" s="197">
        <f>'Arable NPV'!$H143</f>
        <v>969.47373599999992</v>
      </c>
      <c r="AM63" s="197">
        <f>AK63+AL63</f>
        <v>1641.4017359999998</v>
      </c>
      <c r="AN63" s="197">
        <f>AH63-AM63</f>
        <v>88.118264000000181</v>
      </c>
      <c r="AO63" s="197">
        <f>AJ63-AM63</f>
        <v>264.06826400000023</v>
      </c>
      <c r="AP63" s="1018">
        <f>AH63/(1+$C$4)^(AB63-1)</f>
        <v>1729.52</v>
      </c>
      <c r="AQ63" s="213">
        <f>AI63/(1+$C$4)^(AB63-1)</f>
        <v>175.95</v>
      </c>
      <c r="AR63" s="213">
        <f>AM63/(1+$C$4)^(AB63-1)</f>
        <v>1641.4017359999998</v>
      </c>
      <c r="AS63" s="213">
        <f>AN63/(1+$C$4)^(AB63-1)</f>
        <v>88.118264000000181</v>
      </c>
      <c r="AT63" s="929">
        <f>AO63/(1+$C$4)^(AB63-1)</f>
        <v>264.06826400000023</v>
      </c>
      <c r="AU63" s="196">
        <f>AP63</f>
        <v>1729.52</v>
      </c>
      <c r="AV63" s="197">
        <f>AQ63</f>
        <v>175.95</v>
      </c>
      <c r="AW63" s="197">
        <f>AR63</f>
        <v>1641.4017359999998</v>
      </c>
      <c r="AX63" s="197">
        <f>AS63</f>
        <v>88.118264000000181</v>
      </c>
      <c r="AY63" s="199">
        <f>AT63</f>
        <v>264.06826400000023</v>
      </c>
      <c r="BB63" s="204">
        <v>1</v>
      </c>
      <c r="BC63" s="219" t="s">
        <v>4</v>
      </c>
      <c r="BD63" s="760">
        <f>'Arable Inputs'!$D$18</f>
        <v>7.45</v>
      </c>
      <c r="BE63" s="760">
        <f>'Arable Inputs'!$D$25</f>
        <v>193.7</v>
      </c>
      <c r="BF63" s="760">
        <f>'Arable Inputs'!$D$19</f>
        <v>3.9</v>
      </c>
      <c r="BG63" s="760">
        <f>'Arable Inputs'!$D$26</f>
        <v>73.449999999999989</v>
      </c>
      <c r="BH63" s="762">
        <f>BD63*BE63+BF63*BG63</f>
        <v>1729.52</v>
      </c>
      <c r="BI63" s="197">
        <f>'Arable NPV'!$E143</f>
        <v>175.95</v>
      </c>
      <c r="BJ63" s="197">
        <f>BH63+BI63</f>
        <v>1905.47</v>
      </c>
      <c r="BK63" s="197">
        <f>'Arable NPV'!$G143</f>
        <v>671.92799999999988</v>
      </c>
      <c r="BL63" s="197">
        <f>'Arable NPV'!$H143</f>
        <v>969.47373599999992</v>
      </c>
      <c r="BM63" s="197">
        <f>BK63+BL63</f>
        <v>1641.4017359999998</v>
      </c>
      <c r="BN63" s="197">
        <f>BH63-BM63</f>
        <v>88.118264000000181</v>
      </c>
      <c r="BO63" s="197">
        <f>BJ63-BM63</f>
        <v>264.06826400000023</v>
      </c>
      <c r="BP63" s="1018">
        <f>BH63/(1+$D$4)^(BB63-1)</f>
        <v>1729.52</v>
      </c>
      <c r="BQ63" s="213">
        <f>BI63/(1+$D$4)^(BB63-1)</f>
        <v>175.95</v>
      </c>
      <c r="BR63" s="213">
        <f>BM63/(1+$D$4)^(BB63-1)</f>
        <v>1641.4017359999998</v>
      </c>
      <c r="BS63" s="213">
        <f>BN63/(1+$D$4)^(BB63-1)</f>
        <v>88.118264000000181</v>
      </c>
      <c r="BT63" s="929">
        <f>BO63/(1+$D$4)^(BB63-1)</f>
        <v>264.06826400000023</v>
      </c>
      <c r="BU63" s="196">
        <f>BP63</f>
        <v>1729.52</v>
      </c>
      <c r="BV63" s="197">
        <f>BQ63</f>
        <v>175.95</v>
      </c>
      <c r="BW63" s="197">
        <f>BR63</f>
        <v>1641.4017359999998</v>
      </c>
      <c r="BX63" s="197">
        <f>BS63</f>
        <v>88.118264000000181</v>
      </c>
      <c r="BY63" s="199">
        <f>BT63</f>
        <v>264.06826400000023</v>
      </c>
      <c r="CB63" s="204">
        <v>1</v>
      </c>
      <c r="CC63" s="219" t="s">
        <v>4</v>
      </c>
      <c r="CD63" s="760">
        <f>'Arable Inputs'!$D$18</f>
        <v>7.45</v>
      </c>
      <c r="CE63" s="760">
        <f>'Arable Inputs'!$D$25</f>
        <v>193.7</v>
      </c>
      <c r="CF63" s="760">
        <f>'Arable Inputs'!$D$19</f>
        <v>3.9</v>
      </c>
      <c r="CG63" s="760">
        <f>'Arable Inputs'!$D$26</f>
        <v>73.449999999999989</v>
      </c>
      <c r="CH63" s="762">
        <f>CD63*CE63+CF63*CG63</f>
        <v>1729.52</v>
      </c>
      <c r="CI63" s="197">
        <f>'Arable NPV'!$E143</f>
        <v>175.95</v>
      </c>
      <c r="CJ63" s="197">
        <f>CH63+CI63</f>
        <v>1905.47</v>
      </c>
      <c r="CK63" s="197">
        <f>'Arable NPV'!$G143</f>
        <v>671.92799999999988</v>
      </c>
      <c r="CL63" s="197">
        <f>'Arable NPV'!$H143</f>
        <v>969.47373599999992</v>
      </c>
      <c r="CM63" s="197">
        <f>CK63+CL63</f>
        <v>1641.4017359999998</v>
      </c>
      <c r="CN63" s="197">
        <f>CH63-CM63</f>
        <v>88.118264000000181</v>
      </c>
      <c r="CO63" s="197">
        <f>CJ63-CM63</f>
        <v>264.06826400000023</v>
      </c>
      <c r="CP63" s="1018">
        <f>CH63/(1+$E$4)^(CB63-1)</f>
        <v>1729.52</v>
      </c>
      <c r="CQ63" s="213">
        <f>CI63/(1+$E$4)^(CB63-1)</f>
        <v>175.95</v>
      </c>
      <c r="CR63" s="213">
        <f>CM63/(1+$E$4)^(CB63-1)</f>
        <v>1641.4017359999998</v>
      </c>
      <c r="CS63" s="213">
        <f>CN63/(1+$E$4)^(CB63-1)</f>
        <v>88.118264000000181</v>
      </c>
      <c r="CT63" s="929">
        <f>CO63/(1+$E$4)^(CB63-1)</f>
        <v>264.06826400000023</v>
      </c>
      <c r="CU63" s="196">
        <f>CP63</f>
        <v>1729.52</v>
      </c>
      <c r="CV63" s="197">
        <f>CQ63</f>
        <v>175.95</v>
      </c>
      <c r="CW63" s="197">
        <f>CR63</f>
        <v>1641.4017359999998</v>
      </c>
      <c r="CX63" s="197">
        <f>CS63</f>
        <v>88.118264000000181</v>
      </c>
      <c r="CY63" s="199">
        <f>CT63</f>
        <v>264.06826400000023</v>
      </c>
      <c r="DB63" s="204">
        <v>1</v>
      </c>
      <c r="DC63" s="219" t="s">
        <v>4</v>
      </c>
      <c r="DD63" s="760">
        <f>'Arable Inputs'!$D$18</f>
        <v>7.45</v>
      </c>
      <c r="DE63" s="760">
        <f>'Arable Inputs'!$D$25</f>
        <v>193.7</v>
      </c>
      <c r="DF63" s="760">
        <f>'Arable Inputs'!$D$19</f>
        <v>3.9</v>
      </c>
      <c r="DG63" s="760">
        <f>'Arable Inputs'!$D$26</f>
        <v>73.449999999999989</v>
      </c>
      <c r="DH63" s="762">
        <f>DD63*DE63+DF63*DG63</f>
        <v>1729.52</v>
      </c>
      <c r="DI63" s="197">
        <f>'Arable NPV'!$E143</f>
        <v>175.95</v>
      </c>
      <c r="DJ63" s="197">
        <f>DH63+DI63</f>
        <v>1905.47</v>
      </c>
      <c r="DK63" s="197">
        <f>'Arable NPV'!$G143</f>
        <v>671.92799999999988</v>
      </c>
      <c r="DL63" s="197">
        <f>'Arable NPV'!$H143</f>
        <v>969.47373599999992</v>
      </c>
      <c r="DM63" s="197">
        <f>DK63+DL63</f>
        <v>1641.4017359999998</v>
      </c>
      <c r="DN63" s="197">
        <f>DH63-DM63</f>
        <v>88.118264000000181</v>
      </c>
      <c r="DO63" s="197">
        <f>DJ63-DM63</f>
        <v>264.06826400000023</v>
      </c>
      <c r="DP63" s="1018">
        <f>DH63/(1+$F$4)^(DB63-1)</f>
        <v>1729.52</v>
      </c>
      <c r="DQ63" s="213">
        <f>DI63/(1+$F$4)^(DB63-1)</f>
        <v>175.95</v>
      </c>
      <c r="DR63" s="213">
        <f>DM63/(1+$F$4)^(DB63-1)</f>
        <v>1641.4017359999998</v>
      </c>
      <c r="DS63" s="213">
        <f>DN63/(1+$F$4)^(DB63-1)</f>
        <v>88.118264000000181</v>
      </c>
      <c r="DT63" s="929">
        <f>DO63/(1+$F$4)^(DB63-1)</f>
        <v>264.06826400000023</v>
      </c>
      <c r="DU63" s="196">
        <f>DP63</f>
        <v>1729.52</v>
      </c>
      <c r="DV63" s="197">
        <f>DQ63</f>
        <v>175.95</v>
      </c>
      <c r="DW63" s="197">
        <f>DR63</f>
        <v>1641.4017359999998</v>
      </c>
      <c r="DX63" s="197">
        <f>DS63</f>
        <v>88.118264000000181</v>
      </c>
      <c r="DY63" s="199">
        <f>DT63</f>
        <v>264.06826400000023</v>
      </c>
    </row>
    <row r="64" spans="2:129" x14ac:dyDescent="0.3">
      <c r="B64" s="204">
        <v>2</v>
      </c>
      <c r="C64" s="219" t="s">
        <v>7</v>
      </c>
      <c r="D64" s="760">
        <f>'Arable Inputs'!$G$18</f>
        <v>63.1</v>
      </c>
      <c r="E64" s="760">
        <f>'Arable Inputs'!$G$25</f>
        <v>26</v>
      </c>
      <c r="H64" s="762">
        <f>D64*E64</f>
        <v>1640.6000000000001</v>
      </c>
      <c r="I64" s="197">
        <f>'Arable NPV'!$E144</f>
        <v>175.95</v>
      </c>
      <c r="J64" s="197">
        <f t="shared" ref="J64:J78" si="145">H64+I64</f>
        <v>1816.5500000000002</v>
      </c>
      <c r="K64" s="197">
        <f>'Arable NPV'!$G144</f>
        <v>819.30399999999986</v>
      </c>
      <c r="L64" s="197">
        <f>'Arable NPV'!$H144</f>
        <v>996.95456799999988</v>
      </c>
      <c r="M64" s="197">
        <f t="shared" ref="M64:M78" si="146">K64+L64</f>
        <v>1816.2585679999997</v>
      </c>
      <c r="N64" s="197">
        <f t="shared" ref="N64:N78" si="147">H64-M64</f>
        <v>-175.6585679999996</v>
      </c>
      <c r="O64" s="197">
        <f t="shared" ref="O64:O78" si="148">J64-M64</f>
        <v>0.29143200000044089</v>
      </c>
      <c r="P64" s="196">
        <f t="shared" ref="P64:P77" si="149">H64/(1+$B$4)^(B64-1)</f>
        <v>1577.5</v>
      </c>
      <c r="Q64" s="197">
        <f t="shared" ref="Q64:Q77" si="150">I64/(1+$B$4)^(B64-1)</f>
        <v>169.18269230769229</v>
      </c>
      <c r="R64" s="197">
        <f t="shared" ref="R64:R77" si="151">M64/(1+$B$4)^(B64-1)</f>
        <v>1746.4024692307689</v>
      </c>
      <c r="S64" s="197">
        <f t="shared" ref="S64:S78" si="152">N64/(1+$B$4)^(B64-1)</f>
        <v>-168.90246923076884</v>
      </c>
      <c r="T64" s="199">
        <f t="shared" ref="T64:T77" si="153">O64/(1+$B$4)^(B64-1)</f>
        <v>0.28022307692350085</v>
      </c>
      <c r="U64" s="196">
        <f t="shared" ref="U64:Y78" si="154">U63+P64</f>
        <v>3307.02</v>
      </c>
      <c r="V64" s="197">
        <f t="shared" si="154"/>
        <v>345.13269230769231</v>
      </c>
      <c r="W64" s="197">
        <f t="shared" si="154"/>
        <v>3387.8042052307687</v>
      </c>
      <c r="X64" s="197">
        <f t="shared" si="154"/>
        <v>-80.784205230768663</v>
      </c>
      <c r="Y64" s="199">
        <f t="shared" si="154"/>
        <v>264.34848707692373</v>
      </c>
      <c r="Z64" s="197"/>
      <c r="AB64" s="204">
        <v>2</v>
      </c>
      <c r="AC64" s="219" t="s">
        <v>7</v>
      </c>
      <c r="AD64" s="760">
        <f>'Arable Inputs'!$G$18</f>
        <v>63.1</v>
      </c>
      <c r="AE64" s="760">
        <f>'Arable Inputs'!$G$25</f>
        <v>26</v>
      </c>
      <c r="AH64" s="762">
        <f>AD64*AE64</f>
        <v>1640.6000000000001</v>
      </c>
      <c r="AI64" s="197">
        <f>'Arable NPV'!$E144</f>
        <v>175.95</v>
      </c>
      <c r="AJ64" s="197">
        <f t="shared" ref="AJ64:AJ78" si="155">AH64+AI64</f>
        <v>1816.5500000000002</v>
      </c>
      <c r="AK64" s="197">
        <f>'Arable NPV'!$G144</f>
        <v>819.30399999999986</v>
      </c>
      <c r="AL64" s="197">
        <f>'Arable NPV'!$H144</f>
        <v>996.95456799999988</v>
      </c>
      <c r="AM64" s="197">
        <f t="shared" ref="AM64:AM78" si="156">AK64+AL64</f>
        <v>1816.2585679999997</v>
      </c>
      <c r="AN64" s="197">
        <f t="shared" ref="AN64:AN78" si="157">AH64-AM64</f>
        <v>-175.6585679999996</v>
      </c>
      <c r="AO64" s="197">
        <f t="shared" ref="AO64:AO78" si="158">AJ64-AM64</f>
        <v>0.29143200000044089</v>
      </c>
      <c r="AP64" s="196">
        <f t="shared" ref="AP64:AP78" si="159">AH64/(1+$C$4)^(AB64-1)</f>
        <v>1547.7358490566039</v>
      </c>
      <c r="AQ64" s="197">
        <f t="shared" ref="AQ64:AQ78" si="160">AI64/(1+$C$4)^(AB64-1)</f>
        <v>165.99056603773582</v>
      </c>
      <c r="AR64" s="197">
        <f t="shared" ref="AR64:AR78" si="161">AM64/(1+$C$4)^(AB64-1)</f>
        <v>1713.4514792452826</v>
      </c>
      <c r="AS64" s="197">
        <f t="shared" ref="AS64:AS78" si="162">AN64/(1+$C$4)^(AB64-1)</f>
        <v>-165.71563018867886</v>
      </c>
      <c r="AT64" s="199">
        <f t="shared" ref="AT64:AT78" si="163">AO64/(1+$C$4)^(AB64-1)</f>
        <v>0.27493584905701968</v>
      </c>
      <c r="AU64" s="196">
        <f t="shared" ref="AU64:AX78" si="164">AU63+AP64</f>
        <v>3277.2558490566039</v>
      </c>
      <c r="AV64" s="197">
        <f t="shared" si="164"/>
        <v>341.94056603773583</v>
      </c>
      <c r="AW64" s="197">
        <f t="shared" si="164"/>
        <v>3354.8532152452826</v>
      </c>
      <c r="AX64" s="197">
        <f t="shared" si="164"/>
        <v>-77.597366188678677</v>
      </c>
      <c r="AY64" s="199">
        <f t="shared" ref="AY64:AY78" si="165">AY63+AT64</f>
        <v>264.34319984905727</v>
      </c>
      <c r="BB64" s="204">
        <v>2</v>
      </c>
      <c r="BC64" s="219" t="s">
        <v>7</v>
      </c>
      <c r="BD64" s="760">
        <f>'Arable Inputs'!$G$18</f>
        <v>63.1</v>
      </c>
      <c r="BE64" s="760">
        <f>'Arable Inputs'!$G$25</f>
        <v>26</v>
      </c>
      <c r="BH64" s="762">
        <f>BD64*BE64</f>
        <v>1640.6000000000001</v>
      </c>
      <c r="BI64" s="197">
        <f>'Arable NPV'!$E144</f>
        <v>175.95</v>
      </c>
      <c r="BJ64" s="197">
        <f t="shared" ref="BJ64:BJ78" si="166">BH64+BI64</f>
        <v>1816.5500000000002</v>
      </c>
      <c r="BK64" s="197">
        <f>'Arable NPV'!$G144</f>
        <v>819.30399999999986</v>
      </c>
      <c r="BL64" s="197">
        <f>'Arable NPV'!$H144</f>
        <v>996.95456799999988</v>
      </c>
      <c r="BM64" s="197">
        <f t="shared" ref="BM64:BM78" si="167">BK64+BL64</f>
        <v>1816.2585679999997</v>
      </c>
      <c r="BN64" s="197">
        <f t="shared" ref="BN64:BN78" si="168">BH64-BM64</f>
        <v>-175.6585679999996</v>
      </c>
      <c r="BO64" s="197">
        <f t="shared" ref="BO64:BO78" si="169">BJ64-BM64</f>
        <v>0.29143200000044089</v>
      </c>
      <c r="BP64" s="196">
        <f t="shared" ref="BP64:BP78" si="170">BH64/(1+$D$4)^(BB64-1)</f>
        <v>1608.4313725490197</v>
      </c>
      <c r="BQ64" s="197">
        <f t="shared" ref="BQ64:BQ78" si="171">BI64/(1+$D$4)^(BB64-1)</f>
        <v>172.5</v>
      </c>
      <c r="BR64" s="197">
        <f t="shared" ref="BR64:BR78" si="172">BM64/(1+$D$4)^(BB64-1)</f>
        <v>1780.6456549019606</v>
      </c>
      <c r="BS64" s="197">
        <f t="shared" ref="BS64:BS78" si="173">BN64/(1+$D$4)^(BB64-1)</f>
        <v>-172.21428235294078</v>
      </c>
      <c r="BT64" s="199">
        <f t="shared" ref="BT64:BT78" si="174">BO64/(1+$D$4)^(BB64-1)</f>
        <v>0.28571764705925579</v>
      </c>
      <c r="BU64" s="196">
        <f t="shared" ref="BU64:BW78" si="175">BU63+BP64</f>
        <v>3337.9513725490197</v>
      </c>
      <c r="BV64" s="197">
        <f t="shared" si="175"/>
        <v>348.45</v>
      </c>
      <c r="BW64" s="197">
        <f t="shared" si="175"/>
        <v>3422.0473909019602</v>
      </c>
      <c r="BX64" s="197">
        <f t="shared" ref="BX64:BX78" si="176">BX63+BS64</f>
        <v>-84.096018352940604</v>
      </c>
      <c r="BY64" s="199">
        <f t="shared" ref="BY64:BY78" si="177">BY63+BT64</f>
        <v>264.35398164705947</v>
      </c>
      <c r="CB64" s="204">
        <v>2</v>
      </c>
      <c r="CC64" s="219" t="s">
        <v>7</v>
      </c>
      <c r="CD64" s="760">
        <f>'Arable Inputs'!$G$18</f>
        <v>63.1</v>
      </c>
      <c r="CE64" s="760">
        <f>'Arable Inputs'!$G$25</f>
        <v>26</v>
      </c>
      <c r="CH64" s="762">
        <f>CD64*CE64</f>
        <v>1640.6000000000001</v>
      </c>
      <c r="CI64" s="197">
        <f>'Arable NPV'!$E144</f>
        <v>175.95</v>
      </c>
      <c r="CJ64" s="197">
        <f t="shared" ref="CJ64:CJ78" si="178">CH64+CI64</f>
        <v>1816.5500000000002</v>
      </c>
      <c r="CK64" s="197">
        <f>'Arable NPV'!$G144</f>
        <v>819.30399999999986</v>
      </c>
      <c r="CL64" s="197">
        <f>'Arable NPV'!$H144</f>
        <v>996.95456799999988</v>
      </c>
      <c r="CM64" s="197">
        <f t="shared" ref="CM64:CM78" si="179">CK64+CL64</f>
        <v>1816.2585679999997</v>
      </c>
      <c r="CN64" s="197">
        <f t="shared" ref="CN64:CN78" si="180">CH64-CM64</f>
        <v>-175.6585679999996</v>
      </c>
      <c r="CO64" s="197">
        <f t="shared" ref="CO64:CO78" si="181">CJ64-CM64</f>
        <v>0.29143200000044089</v>
      </c>
      <c r="CP64" s="196">
        <f t="shared" ref="CP64:CP78" si="182">CH64/(1+$E$4)^(CB64-1)</f>
        <v>1519.0740740740741</v>
      </c>
      <c r="CQ64" s="197">
        <f t="shared" ref="CQ64:CQ78" si="183">CI64/(1+$E$4)^(CB64-1)</f>
        <v>162.91666666666666</v>
      </c>
      <c r="CR64" s="197">
        <f t="shared" ref="CR64:CR78" si="184">CM64/(1+$E$4)^(CB64-1)</f>
        <v>1681.7208962962959</v>
      </c>
      <c r="CS64" s="197">
        <f t="shared" ref="CS64:CS78" si="185">CN64/(1+$E$4)^(CB64-1)</f>
        <v>-162.64682222222186</v>
      </c>
      <c r="CT64" s="199">
        <f t="shared" ref="CT64:CT78" si="186">CO64/(1+$E$4)^(CB64-1)</f>
        <v>0.26984444444485267</v>
      </c>
      <c r="CU64" s="196">
        <f t="shared" ref="CU64:CV78" si="187">CU63+CP64</f>
        <v>3248.5940740740743</v>
      </c>
      <c r="CV64" s="197">
        <f t="shared" si="187"/>
        <v>338.86666666666667</v>
      </c>
      <c r="CW64" s="197">
        <f t="shared" ref="CW64:CW78" si="188">CW63+CR64</f>
        <v>3323.1226322962957</v>
      </c>
      <c r="CX64" s="197">
        <f t="shared" ref="CX64:CX78" si="189">CX63+CS64</f>
        <v>-74.528558222221676</v>
      </c>
      <c r="CY64" s="199">
        <f t="shared" ref="CY64:CY78" si="190">CY63+CT64</f>
        <v>264.33810844444508</v>
      </c>
      <c r="DB64" s="204">
        <f t="shared" ref="DB64:DB78" si="191">DB63+1</f>
        <v>2</v>
      </c>
      <c r="DC64" s="219" t="s">
        <v>7</v>
      </c>
      <c r="DD64" s="760">
        <f>'Arable Inputs'!$G$18</f>
        <v>63.1</v>
      </c>
      <c r="DE64" s="760">
        <f>'Arable Inputs'!$G$25</f>
        <v>26</v>
      </c>
      <c r="DH64" s="762">
        <f>DD64*DE64</f>
        <v>1640.6000000000001</v>
      </c>
      <c r="DI64" s="197">
        <f>'Arable NPV'!$E144</f>
        <v>175.95</v>
      </c>
      <c r="DJ64" s="197">
        <f t="shared" ref="DJ64:DJ78" si="192">DH64+DI64</f>
        <v>1816.5500000000002</v>
      </c>
      <c r="DK64" s="197">
        <f>'Arable NPV'!$G144</f>
        <v>819.30399999999986</v>
      </c>
      <c r="DL64" s="197">
        <f>'Arable NPV'!$H144</f>
        <v>996.95456799999988</v>
      </c>
      <c r="DM64" s="197">
        <f t="shared" ref="DM64:DM78" si="193">DK64+DL64</f>
        <v>1816.2585679999997</v>
      </c>
      <c r="DN64" s="197">
        <f t="shared" ref="DN64:DN78" si="194">DH64-DM64</f>
        <v>-175.6585679999996</v>
      </c>
      <c r="DO64" s="197">
        <f t="shared" ref="DO64:DO78" si="195">DJ64-DM64</f>
        <v>0.29143200000044089</v>
      </c>
      <c r="DP64" s="196">
        <f t="shared" ref="DP64:DP78" si="196">DH64/(1+$F$4)^(DB64-1)</f>
        <v>1640.6000000000001</v>
      </c>
      <c r="DQ64" s="197">
        <f t="shared" ref="DQ64:DQ78" si="197">DI64/(1+$F$4)^(DB64-1)</f>
        <v>175.95</v>
      </c>
      <c r="DR64" s="197">
        <f t="shared" ref="DR64:DR78" si="198">DM64/(1+$F$4)^(DB64-1)</f>
        <v>1816.2585679999997</v>
      </c>
      <c r="DS64" s="197">
        <f t="shared" ref="DS64:DS78" si="199">DN64/(1+$F$4)^(DB64-1)</f>
        <v>-175.6585679999996</v>
      </c>
      <c r="DT64" s="199">
        <f t="shared" ref="DT64:DT78" si="200">DO64/(1+$F$4)^(DB64-1)</f>
        <v>0.29143200000044089</v>
      </c>
      <c r="DU64" s="196">
        <f t="shared" ref="DU64:DY78" si="201">DU63+DP64</f>
        <v>3370.12</v>
      </c>
      <c r="DV64" s="197">
        <f t="shared" si="201"/>
        <v>351.9</v>
      </c>
      <c r="DW64" s="197">
        <f t="shared" si="201"/>
        <v>3457.6603039999995</v>
      </c>
      <c r="DX64" s="197">
        <f t="shared" si="201"/>
        <v>-87.540303999999423</v>
      </c>
      <c r="DY64" s="199">
        <f t="shared" si="201"/>
        <v>264.35969600000067</v>
      </c>
    </row>
    <row r="65" spans="2:129" x14ac:dyDescent="0.3">
      <c r="B65" s="204">
        <f t="shared" ref="B65:B78" si="202">B64+1</f>
        <v>3</v>
      </c>
      <c r="C65" s="219" t="s">
        <v>31</v>
      </c>
      <c r="D65" s="760">
        <f>'Arable Inputs'!$H$18</f>
        <v>8.14</v>
      </c>
      <c r="E65" s="760">
        <f>'Arable Inputs'!$H$25</f>
        <v>182.8</v>
      </c>
      <c r="H65" s="762">
        <f>D65*E65</f>
        <v>1487.9920000000002</v>
      </c>
      <c r="I65" s="197">
        <f>'Arable NPV'!$E145</f>
        <v>175.95</v>
      </c>
      <c r="J65" s="197">
        <f t="shared" si="145"/>
        <v>1663.9420000000002</v>
      </c>
      <c r="K65" s="197">
        <f>'Arable NPV'!$G145</f>
        <v>574.23049999999989</v>
      </c>
      <c r="L65" s="197">
        <f>'Arable NPV'!$H145</f>
        <v>636.366536</v>
      </c>
      <c r="M65" s="197">
        <f t="shared" si="146"/>
        <v>1210.5970359999999</v>
      </c>
      <c r="N65" s="197">
        <f t="shared" si="147"/>
        <v>277.3949640000003</v>
      </c>
      <c r="O65" s="197">
        <f t="shared" si="148"/>
        <v>453.34496400000035</v>
      </c>
      <c r="P65" s="196">
        <f t="shared" si="149"/>
        <v>1375.7322485207101</v>
      </c>
      <c r="Q65" s="197">
        <f t="shared" si="150"/>
        <v>162.67566568047334</v>
      </c>
      <c r="R65" s="197">
        <f t="shared" si="151"/>
        <v>1119.2650110946743</v>
      </c>
      <c r="S65" s="197">
        <f t="shared" si="152"/>
        <v>256.46723742603575</v>
      </c>
      <c r="T65" s="199">
        <f t="shared" si="153"/>
        <v>419.14290310650915</v>
      </c>
      <c r="U65" s="196">
        <f t="shared" si="154"/>
        <v>4682.7522485207101</v>
      </c>
      <c r="V65" s="197">
        <f t="shared" si="154"/>
        <v>507.80835798816565</v>
      </c>
      <c r="W65" s="197">
        <f t="shared" si="154"/>
        <v>4507.0692163254425</v>
      </c>
      <c r="X65" s="197">
        <f t="shared" si="154"/>
        <v>175.68303219526709</v>
      </c>
      <c r="Y65" s="199">
        <f t="shared" si="154"/>
        <v>683.49139018343294</v>
      </c>
      <c r="Z65" s="197"/>
      <c r="AB65" s="204">
        <f t="shared" ref="AB65:AB78" si="203">AB64+1</f>
        <v>3</v>
      </c>
      <c r="AC65" s="219" t="s">
        <v>31</v>
      </c>
      <c r="AD65" s="760">
        <f>'Arable Inputs'!$H$18</f>
        <v>8.14</v>
      </c>
      <c r="AE65" s="760">
        <f>'Arable Inputs'!$H$25</f>
        <v>182.8</v>
      </c>
      <c r="AH65" s="762">
        <f>AD65*AE65</f>
        <v>1487.9920000000002</v>
      </c>
      <c r="AI65" s="197">
        <f>'Arable NPV'!$E145</f>
        <v>175.95</v>
      </c>
      <c r="AJ65" s="197">
        <f t="shared" si="155"/>
        <v>1663.9420000000002</v>
      </c>
      <c r="AK65" s="197">
        <f>'Arable NPV'!$G145</f>
        <v>574.23049999999989</v>
      </c>
      <c r="AL65" s="197">
        <f>'Arable NPV'!$H145</f>
        <v>636.366536</v>
      </c>
      <c r="AM65" s="197">
        <f t="shared" si="156"/>
        <v>1210.5970359999999</v>
      </c>
      <c r="AN65" s="197">
        <f t="shared" si="157"/>
        <v>277.3949640000003</v>
      </c>
      <c r="AO65" s="197">
        <f t="shared" si="158"/>
        <v>453.34496400000035</v>
      </c>
      <c r="AP65" s="196">
        <f t="shared" si="159"/>
        <v>1324.3075827696689</v>
      </c>
      <c r="AQ65" s="197">
        <f t="shared" si="160"/>
        <v>156.5948736205055</v>
      </c>
      <c r="AR65" s="197">
        <f t="shared" si="161"/>
        <v>1077.4270523317905</v>
      </c>
      <c r="AS65" s="197">
        <f t="shared" si="162"/>
        <v>246.88053043787849</v>
      </c>
      <c r="AT65" s="199">
        <f t="shared" si="163"/>
        <v>403.47540405838402</v>
      </c>
      <c r="AU65" s="196">
        <f t="shared" si="164"/>
        <v>4601.5634318262728</v>
      </c>
      <c r="AV65" s="197">
        <f t="shared" si="164"/>
        <v>498.53543965824133</v>
      </c>
      <c r="AW65" s="197">
        <f t="shared" si="164"/>
        <v>4432.2802675770727</v>
      </c>
      <c r="AX65" s="197">
        <f t="shared" si="164"/>
        <v>169.28316424919981</v>
      </c>
      <c r="AY65" s="199">
        <f t="shared" si="165"/>
        <v>667.81860390744123</v>
      </c>
      <c r="BB65" s="204">
        <f t="shared" ref="BB65:BB78" si="204">BB64+1</f>
        <v>3</v>
      </c>
      <c r="BC65" s="219" t="s">
        <v>31</v>
      </c>
      <c r="BD65" s="760">
        <f>'Arable Inputs'!$H$18</f>
        <v>8.14</v>
      </c>
      <c r="BE65" s="760">
        <f>'Arable Inputs'!$H$25</f>
        <v>182.8</v>
      </c>
      <c r="BH65" s="762">
        <f>BD65*BE65</f>
        <v>1487.9920000000002</v>
      </c>
      <c r="BI65" s="197">
        <f>'Arable NPV'!$E145</f>
        <v>175.95</v>
      </c>
      <c r="BJ65" s="197">
        <f t="shared" si="166"/>
        <v>1663.9420000000002</v>
      </c>
      <c r="BK65" s="197">
        <f>'Arable NPV'!$G145</f>
        <v>574.23049999999989</v>
      </c>
      <c r="BL65" s="197">
        <f>'Arable NPV'!$H145</f>
        <v>636.366536</v>
      </c>
      <c r="BM65" s="197">
        <f t="shared" si="167"/>
        <v>1210.5970359999999</v>
      </c>
      <c r="BN65" s="197">
        <f t="shared" si="168"/>
        <v>277.3949640000003</v>
      </c>
      <c r="BO65" s="197">
        <f t="shared" si="169"/>
        <v>453.34496400000035</v>
      </c>
      <c r="BP65" s="196">
        <f t="shared" si="170"/>
        <v>1430.2114571318725</v>
      </c>
      <c r="BQ65" s="197">
        <f t="shared" si="171"/>
        <v>169.11764705882351</v>
      </c>
      <c r="BR65" s="197">
        <f t="shared" si="172"/>
        <v>1163.5880776624374</v>
      </c>
      <c r="BS65" s="197">
        <f t="shared" si="173"/>
        <v>266.62337946943512</v>
      </c>
      <c r="BT65" s="199">
        <f t="shared" si="174"/>
        <v>435.74102652825871</v>
      </c>
      <c r="BU65" s="196">
        <f t="shared" si="175"/>
        <v>4768.1628296808922</v>
      </c>
      <c r="BV65" s="197">
        <f t="shared" si="175"/>
        <v>517.56764705882347</v>
      </c>
      <c r="BW65" s="197">
        <f t="shared" si="175"/>
        <v>4585.6354685643973</v>
      </c>
      <c r="BX65" s="197">
        <f t="shared" si="176"/>
        <v>182.52736111649452</v>
      </c>
      <c r="BY65" s="199">
        <f t="shared" si="177"/>
        <v>700.09500817531818</v>
      </c>
      <c r="CB65" s="204">
        <f t="shared" ref="CB65:CB78" si="205">CB64+1</f>
        <v>3</v>
      </c>
      <c r="CC65" s="219" t="s">
        <v>31</v>
      </c>
      <c r="CD65" s="760">
        <f>'Arable Inputs'!$H$18</f>
        <v>8.14</v>
      </c>
      <c r="CE65" s="760">
        <f>'Arable Inputs'!$H$25</f>
        <v>182.8</v>
      </c>
      <c r="CH65" s="762">
        <f>CD65*CE65</f>
        <v>1487.9920000000002</v>
      </c>
      <c r="CI65" s="197">
        <f>'Arable NPV'!$E145</f>
        <v>175.95</v>
      </c>
      <c r="CJ65" s="197">
        <f t="shared" si="178"/>
        <v>1663.9420000000002</v>
      </c>
      <c r="CK65" s="197">
        <f>'Arable NPV'!$G145</f>
        <v>574.23049999999989</v>
      </c>
      <c r="CL65" s="197">
        <f>'Arable NPV'!$H145</f>
        <v>636.366536</v>
      </c>
      <c r="CM65" s="197">
        <f t="shared" si="179"/>
        <v>1210.5970359999999</v>
      </c>
      <c r="CN65" s="197">
        <f t="shared" si="180"/>
        <v>277.3949640000003</v>
      </c>
      <c r="CO65" s="197">
        <f t="shared" si="181"/>
        <v>453.34496400000035</v>
      </c>
      <c r="CP65" s="196">
        <f t="shared" si="182"/>
        <v>1275.7133058984912</v>
      </c>
      <c r="CQ65" s="197">
        <f t="shared" si="183"/>
        <v>150.84876543209873</v>
      </c>
      <c r="CR65" s="197">
        <f t="shared" si="184"/>
        <v>1037.8918347050753</v>
      </c>
      <c r="CS65" s="197">
        <f t="shared" si="185"/>
        <v>237.82147119341587</v>
      </c>
      <c r="CT65" s="199">
        <f t="shared" si="186"/>
        <v>388.67023662551469</v>
      </c>
      <c r="CU65" s="196">
        <f t="shared" si="187"/>
        <v>4524.3073799725653</v>
      </c>
      <c r="CV65" s="197">
        <f t="shared" si="187"/>
        <v>489.7154320987654</v>
      </c>
      <c r="CW65" s="197">
        <f t="shared" si="188"/>
        <v>4361.0144670013706</v>
      </c>
      <c r="CX65" s="197">
        <f t="shared" si="189"/>
        <v>163.2929129711942</v>
      </c>
      <c r="CY65" s="199">
        <f t="shared" si="190"/>
        <v>653.00834506995977</v>
      </c>
      <c r="DB65" s="204">
        <f t="shared" si="191"/>
        <v>3</v>
      </c>
      <c r="DC65" s="219" t="s">
        <v>31</v>
      </c>
      <c r="DD65" s="760">
        <f>'Arable Inputs'!$H$18</f>
        <v>8.14</v>
      </c>
      <c r="DE65" s="760">
        <f>'Arable Inputs'!$H$25</f>
        <v>182.8</v>
      </c>
      <c r="DH65" s="762">
        <f>DD65*DE65</f>
        <v>1487.9920000000002</v>
      </c>
      <c r="DI65" s="197">
        <f>'Arable NPV'!$E145</f>
        <v>175.95</v>
      </c>
      <c r="DJ65" s="197">
        <f t="shared" si="192"/>
        <v>1663.9420000000002</v>
      </c>
      <c r="DK65" s="197">
        <f>'Arable NPV'!$G145</f>
        <v>574.23049999999989</v>
      </c>
      <c r="DL65" s="197">
        <f>'Arable NPV'!$H145</f>
        <v>636.366536</v>
      </c>
      <c r="DM65" s="197">
        <f t="shared" si="193"/>
        <v>1210.5970359999999</v>
      </c>
      <c r="DN65" s="197">
        <f t="shared" si="194"/>
        <v>277.3949640000003</v>
      </c>
      <c r="DO65" s="197">
        <f t="shared" si="195"/>
        <v>453.34496400000035</v>
      </c>
      <c r="DP65" s="196">
        <f t="shared" si="196"/>
        <v>1487.9920000000002</v>
      </c>
      <c r="DQ65" s="197">
        <f t="shared" si="197"/>
        <v>175.95</v>
      </c>
      <c r="DR65" s="197">
        <f t="shared" si="198"/>
        <v>1210.5970359999999</v>
      </c>
      <c r="DS65" s="197">
        <f t="shared" si="199"/>
        <v>277.3949640000003</v>
      </c>
      <c r="DT65" s="199">
        <f t="shared" si="200"/>
        <v>453.34496400000035</v>
      </c>
      <c r="DU65" s="196">
        <f t="shared" si="201"/>
        <v>4858.1120000000001</v>
      </c>
      <c r="DV65" s="197">
        <f t="shared" si="201"/>
        <v>527.84999999999991</v>
      </c>
      <c r="DW65" s="197">
        <f t="shared" si="201"/>
        <v>4668.2573399999992</v>
      </c>
      <c r="DX65" s="197">
        <f t="shared" si="201"/>
        <v>189.85466000000088</v>
      </c>
      <c r="DY65" s="199">
        <f t="shared" si="201"/>
        <v>717.70466000000101</v>
      </c>
    </row>
    <row r="66" spans="2:129" x14ac:dyDescent="0.3">
      <c r="B66" s="204">
        <f t="shared" si="202"/>
        <v>4</v>
      </c>
      <c r="C66" s="219" t="s">
        <v>6</v>
      </c>
      <c r="D66" s="760">
        <f>'Arable Inputs'!$F$18</f>
        <v>3.3</v>
      </c>
      <c r="E66" s="760">
        <f>'Arable Inputs'!$F$25</f>
        <v>345.1</v>
      </c>
      <c r="F66" s="760">
        <f>'Arable Inputs'!$F$19</f>
        <v>2.6</v>
      </c>
      <c r="G66" s="760">
        <f>'Arable Inputs'!$F$26</f>
        <v>42.374999999999993</v>
      </c>
      <c r="H66" s="762">
        <f>D66*E66+F66*G66</f>
        <v>1249.0049999999999</v>
      </c>
      <c r="I66" s="197">
        <f>'Arable NPV'!$E146</f>
        <v>175.95</v>
      </c>
      <c r="J66" s="197">
        <f t="shared" si="145"/>
        <v>1424.9549999999999</v>
      </c>
      <c r="K66" s="197">
        <f>'Arable NPV'!$G146</f>
        <v>619.745</v>
      </c>
      <c r="L66" s="197">
        <f>'Arable NPV'!$H146</f>
        <v>710.23622685714281</v>
      </c>
      <c r="M66" s="197">
        <f t="shared" si="146"/>
        <v>1329.9812268571427</v>
      </c>
      <c r="N66" s="197">
        <f t="shared" si="147"/>
        <v>-80.976226857142819</v>
      </c>
      <c r="O66" s="197">
        <f t="shared" si="148"/>
        <v>94.973773142857226</v>
      </c>
      <c r="P66" s="196">
        <f t="shared" si="149"/>
        <v>1110.3608969617658</v>
      </c>
      <c r="Q66" s="197">
        <f t="shared" si="150"/>
        <v>156.41890930814745</v>
      </c>
      <c r="R66" s="197">
        <f t="shared" si="151"/>
        <v>1182.3484677766758</v>
      </c>
      <c r="S66" s="197">
        <f t="shared" si="152"/>
        <v>-71.987570814909901</v>
      </c>
      <c r="T66" s="199">
        <f t="shared" si="153"/>
        <v>84.431338493237604</v>
      </c>
      <c r="U66" s="196">
        <f t="shared" si="154"/>
        <v>5793.1131454824754</v>
      </c>
      <c r="V66" s="197">
        <f t="shared" si="154"/>
        <v>664.22726729631313</v>
      </c>
      <c r="W66" s="197">
        <f t="shared" si="154"/>
        <v>5689.4176841021181</v>
      </c>
      <c r="X66" s="197">
        <f t="shared" si="154"/>
        <v>103.69546138035719</v>
      </c>
      <c r="Y66" s="199">
        <f t="shared" si="154"/>
        <v>767.92272867667054</v>
      </c>
      <c r="Z66" s="197"/>
      <c r="AB66" s="204">
        <f t="shared" si="203"/>
        <v>4</v>
      </c>
      <c r="AC66" s="219" t="s">
        <v>6</v>
      </c>
      <c r="AD66" s="760">
        <f>'Arable Inputs'!$F$18</f>
        <v>3.3</v>
      </c>
      <c r="AE66" s="760">
        <f>'Arable Inputs'!$F$25</f>
        <v>345.1</v>
      </c>
      <c r="AF66" s="760">
        <f>'Arable Inputs'!$F$19</f>
        <v>2.6</v>
      </c>
      <c r="AG66" s="760">
        <f>'Arable Inputs'!$F$26</f>
        <v>42.374999999999993</v>
      </c>
      <c r="AH66" s="762">
        <f>AD66*AE66+AF66*AG66</f>
        <v>1249.0049999999999</v>
      </c>
      <c r="AI66" s="197">
        <f>'Arable NPV'!$E146</f>
        <v>175.95</v>
      </c>
      <c r="AJ66" s="197">
        <f t="shared" si="155"/>
        <v>1424.9549999999999</v>
      </c>
      <c r="AK66" s="197">
        <f>'Arable NPV'!$G146</f>
        <v>619.745</v>
      </c>
      <c r="AL66" s="197">
        <f>'Arable NPV'!$H146</f>
        <v>710.23622685714281</v>
      </c>
      <c r="AM66" s="197">
        <f t="shared" si="156"/>
        <v>1329.9812268571427</v>
      </c>
      <c r="AN66" s="197">
        <f t="shared" si="157"/>
        <v>-80.976226857142819</v>
      </c>
      <c r="AO66" s="197">
        <f t="shared" si="158"/>
        <v>94.973773142857226</v>
      </c>
      <c r="AP66" s="196">
        <f t="shared" si="159"/>
        <v>1048.6886826037598</v>
      </c>
      <c r="AQ66" s="197">
        <f t="shared" si="160"/>
        <v>147.73101284953347</v>
      </c>
      <c r="AR66" s="197">
        <f t="shared" si="161"/>
        <v>1116.6778841402152</v>
      </c>
      <c r="AS66" s="197">
        <f t="shared" si="162"/>
        <v>-67.989201536455255</v>
      </c>
      <c r="AT66" s="199">
        <f t="shared" si="163"/>
        <v>79.741811313078244</v>
      </c>
      <c r="AU66" s="196">
        <f t="shared" si="164"/>
        <v>5650.2521144300326</v>
      </c>
      <c r="AV66" s="197">
        <f t="shared" si="164"/>
        <v>646.26645250777483</v>
      </c>
      <c r="AW66" s="197">
        <f t="shared" si="164"/>
        <v>5548.9581517172883</v>
      </c>
      <c r="AX66" s="197">
        <f t="shared" si="164"/>
        <v>101.29396271274456</v>
      </c>
      <c r="AY66" s="199">
        <f t="shared" si="165"/>
        <v>747.56041522051942</v>
      </c>
      <c r="BB66" s="204">
        <f t="shared" si="204"/>
        <v>4</v>
      </c>
      <c r="BC66" s="219" t="s">
        <v>6</v>
      </c>
      <c r="BD66" s="760">
        <f>'Arable Inputs'!$F$18</f>
        <v>3.3</v>
      </c>
      <c r="BE66" s="760">
        <f>'Arable Inputs'!$F$25</f>
        <v>345.1</v>
      </c>
      <c r="BF66" s="760">
        <f>'Arable Inputs'!$F$19</f>
        <v>2.6</v>
      </c>
      <c r="BG66" s="760">
        <f>'Arable Inputs'!$F$26</f>
        <v>42.374999999999993</v>
      </c>
      <c r="BH66" s="762">
        <f>BD66*BE66+BF66*BG66</f>
        <v>1249.0049999999999</v>
      </c>
      <c r="BI66" s="197">
        <f>'Arable NPV'!$E146</f>
        <v>175.95</v>
      </c>
      <c r="BJ66" s="197">
        <f t="shared" si="166"/>
        <v>1424.9549999999999</v>
      </c>
      <c r="BK66" s="197">
        <f>'Arable NPV'!$G146</f>
        <v>619.745</v>
      </c>
      <c r="BL66" s="197">
        <f>'Arable NPV'!$H146</f>
        <v>710.23622685714281</v>
      </c>
      <c r="BM66" s="197">
        <f t="shared" si="167"/>
        <v>1329.9812268571427</v>
      </c>
      <c r="BN66" s="197">
        <f t="shared" si="168"/>
        <v>-80.976226857142819</v>
      </c>
      <c r="BO66" s="197">
        <f t="shared" si="169"/>
        <v>94.973773142857226</v>
      </c>
      <c r="BP66" s="196">
        <f t="shared" si="170"/>
        <v>1176.9653074609312</v>
      </c>
      <c r="BQ66" s="197">
        <f t="shared" si="171"/>
        <v>165.80161476355249</v>
      </c>
      <c r="BR66" s="197">
        <f t="shared" si="172"/>
        <v>1253.2710145957651</v>
      </c>
      <c r="BS66" s="197">
        <f t="shared" si="173"/>
        <v>-76.305707134833909</v>
      </c>
      <c r="BT66" s="199">
        <f t="shared" si="174"/>
        <v>89.495907628718626</v>
      </c>
      <c r="BU66" s="196">
        <f t="shared" si="175"/>
        <v>5945.1281371418236</v>
      </c>
      <c r="BV66" s="197">
        <f t="shared" si="175"/>
        <v>683.36926182237596</v>
      </c>
      <c r="BW66" s="197">
        <f t="shared" si="175"/>
        <v>5838.9064831601627</v>
      </c>
      <c r="BX66" s="197">
        <f t="shared" si="176"/>
        <v>106.22165398166061</v>
      </c>
      <c r="BY66" s="199">
        <f t="shared" si="177"/>
        <v>789.59091580403685</v>
      </c>
      <c r="CB66" s="204">
        <f t="shared" si="205"/>
        <v>4</v>
      </c>
      <c r="CC66" s="219" t="s">
        <v>6</v>
      </c>
      <c r="CD66" s="760">
        <f>'Arable Inputs'!$F$18</f>
        <v>3.3</v>
      </c>
      <c r="CE66" s="760">
        <f>'Arable Inputs'!$F$25</f>
        <v>345.1</v>
      </c>
      <c r="CF66" s="760">
        <f>'Arable Inputs'!$F$19</f>
        <v>2.6</v>
      </c>
      <c r="CG66" s="760">
        <f>'Arable Inputs'!$F$26</f>
        <v>42.374999999999993</v>
      </c>
      <c r="CH66" s="762">
        <f>CD66*CE66+CF66*CG66</f>
        <v>1249.0049999999999</v>
      </c>
      <c r="CI66" s="197">
        <f>'Arable NPV'!$E146</f>
        <v>175.95</v>
      </c>
      <c r="CJ66" s="197">
        <f t="shared" si="178"/>
        <v>1424.9549999999999</v>
      </c>
      <c r="CK66" s="197">
        <f>'Arable NPV'!$G146</f>
        <v>619.745</v>
      </c>
      <c r="CL66" s="197">
        <f>'Arable NPV'!$H146</f>
        <v>710.23622685714281</v>
      </c>
      <c r="CM66" s="197">
        <f t="shared" si="179"/>
        <v>1329.9812268571427</v>
      </c>
      <c r="CN66" s="197">
        <f t="shared" si="180"/>
        <v>-80.976226857142819</v>
      </c>
      <c r="CO66" s="197">
        <f t="shared" si="181"/>
        <v>94.973773142857226</v>
      </c>
      <c r="CP66" s="196">
        <f t="shared" si="182"/>
        <v>991.50043819539678</v>
      </c>
      <c r="CQ66" s="197">
        <f t="shared" si="183"/>
        <v>139.67478280749884</v>
      </c>
      <c r="CR66" s="197">
        <f t="shared" si="184"/>
        <v>1055.7819778307601</v>
      </c>
      <c r="CS66" s="197">
        <f t="shared" si="185"/>
        <v>-64.28153963536333</v>
      </c>
      <c r="CT66" s="199">
        <f t="shared" si="186"/>
        <v>75.393243172135541</v>
      </c>
      <c r="CU66" s="196">
        <f t="shared" si="187"/>
        <v>5515.8078181679621</v>
      </c>
      <c r="CV66" s="197">
        <f t="shared" si="187"/>
        <v>629.39021490626419</v>
      </c>
      <c r="CW66" s="197">
        <f t="shared" si="188"/>
        <v>5416.7964448321309</v>
      </c>
      <c r="CX66" s="197">
        <f t="shared" si="189"/>
        <v>99.011373335830868</v>
      </c>
      <c r="CY66" s="199">
        <f t="shared" si="190"/>
        <v>728.40158824209527</v>
      </c>
      <c r="DB66" s="204">
        <f t="shared" si="191"/>
        <v>4</v>
      </c>
      <c r="DC66" s="219" t="s">
        <v>6</v>
      </c>
      <c r="DD66" s="760">
        <f>'Arable Inputs'!$F$18</f>
        <v>3.3</v>
      </c>
      <c r="DE66" s="760">
        <f>'Arable Inputs'!$F$25</f>
        <v>345.1</v>
      </c>
      <c r="DF66" s="760">
        <f>'Arable Inputs'!$F$19</f>
        <v>2.6</v>
      </c>
      <c r="DG66" s="760">
        <f>'Arable Inputs'!$F$26</f>
        <v>42.374999999999993</v>
      </c>
      <c r="DH66" s="762">
        <f>DD66*DE66+DF66*DG66</f>
        <v>1249.0049999999999</v>
      </c>
      <c r="DI66" s="197">
        <f>'Arable NPV'!$E146</f>
        <v>175.95</v>
      </c>
      <c r="DJ66" s="197">
        <f t="shared" si="192"/>
        <v>1424.9549999999999</v>
      </c>
      <c r="DK66" s="197">
        <f>'Arable NPV'!$G146</f>
        <v>619.745</v>
      </c>
      <c r="DL66" s="197">
        <f>'Arable NPV'!$H146</f>
        <v>710.23622685714281</v>
      </c>
      <c r="DM66" s="197">
        <f t="shared" si="193"/>
        <v>1329.9812268571427</v>
      </c>
      <c r="DN66" s="197">
        <f t="shared" si="194"/>
        <v>-80.976226857142819</v>
      </c>
      <c r="DO66" s="197">
        <f t="shared" si="195"/>
        <v>94.973773142857226</v>
      </c>
      <c r="DP66" s="196">
        <f t="shared" si="196"/>
        <v>1249.0049999999999</v>
      </c>
      <c r="DQ66" s="197">
        <f t="shared" si="197"/>
        <v>175.95</v>
      </c>
      <c r="DR66" s="197">
        <f t="shared" si="198"/>
        <v>1329.9812268571427</v>
      </c>
      <c r="DS66" s="197">
        <f t="shared" si="199"/>
        <v>-80.976226857142819</v>
      </c>
      <c r="DT66" s="199">
        <f t="shared" si="200"/>
        <v>94.973773142857226</v>
      </c>
      <c r="DU66" s="196">
        <f t="shared" si="201"/>
        <v>6107.1170000000002</v>
      </c>
      <c r="DV66" s="197">
        <f t="shared" si="201"/>
        <v>703.8</v>
      </c>
      <c r="DW66" s="197">
        <f t="shared" si="201"/>
        <v>5998.2385668571424</v>
      </c>
      <c r="DX66" s="197">
        <f t="shared" si="201"/>
        <v>108.87843314285806</v>
      </c>
      <c r="DY66" s="199">
        <f t="shared" si="201"/>
        <v>812.67843314285824</v>
      </c>
    </row>
    <row r="67" spans="2:129" x14ac:dyDescent="0.3">
      <c r="B67" s="204">
        <f t="shared" si="202"/>
        <v>5</v>
      </c>
      <c r="C67" s="219" t="s">
        <v>5</v>
      </c>
      <c r="D67" s="760">
        <f>'Arable Inputs'!$E$18</f>
        <v>4.1100000000000003</v>
      </c>
      <c r="E67" s="760">
        <f>'Arable Inputs'!$E$25</f>
        <v>154.80000000000001</v>
      </c>
      <c r="F67" s="760">
        <f>'Arable Inputs'!$E$19</f>
        <v>3.5</v>
      </c>
      <c r="G67" s="760">
        <f>'Arable Inputs'!$E$26</f>
        <v>79.099999999999994</v>
      </c>
      <c r="H67" s="762">
        <f>D67*E67+F67*G67</f>
        <v>913.07799999999997</v>
      </c>
      <c r="I67" s="197">
        <f>'Arable NPV'!$E147</f>
        <v>175.95</v>
      </c>
      <c r="J67" s="197">
        <f t="shared" si="145"/>
        <v>1089.028</v>
      </c>
      <c r="K67" s="197">
        <f>'Arable NPV'!$G147</f>
        <v>468.64299999999992</v>
      </c>
      <c r="L67" s="197">
        <f>'Arable NPV'!$H147</f>
        <v>888.75536799999986</v>
      </c>
      <c r="M67" s="197">
        <f t="shared" si="146"/>
        <v>1357.3983679999997</v>
      </c>
      <c r="N67" s="197">
        <f t="shared" si="147"/>
        <v>-444.32036799999969</v>
      </c>
      <c r="O67" s="197">
        <f t="shared" si="148"/>
        <v>-268.37036799999964</v>
      </c>
      <c r="P67" s="196">
        <f t="shared" si="149"/>
        <v>780.50290113703988</v>
      </c>
      <c r="Q67" s="197">
        <f t="shared" si="150"/>
        <v>150.40279741168024</v>
      </c>
      <c r="R67" s="197">
        <f t="shared" si="151"/>
        <v>1160.3098138633095</v>
      </c>
      <c r="S67" s="197">
        <f t="shared" si="152"/>
        <v>-379.80691272626973</v>
      </c>
      <c r="T67" s="199">
        <f t="shared" si="153"/>
        <v>-229.40411531458949</v>
      </c>
      <c r="U67" s="196">
        <f t="shared" si="154"/>
        <v>6573.6160466195151</v>
      </c>
      <c r="V67" s="197">
        <f t="shared" si="154"/>
        <v>814.63006470799337</v>
      </c>
      <c r="W67" s="197">
        <f t="shared" si="154"/>
        <v>6849.7274979654276</v>
      </c>
      <c r="X67" s="197">
        <f t="shared" si="154"/>
        <v>-276.11145134591254</v>
      </c>
      <c r="Y67" s="199">
        <f t="shared" si="154"/>
        <v>538.51861336208106</v>
      </c>
      <c r="Z67" s="197"/>
      <c r="AB67" s="204">
        <f t="shared" si="203"/>
        <v>5</v>
      </c>
      <c r="AC67" s="219" t="s">
        <v>5</v>
      </c>
      <c r="AD67" s="760">
        <f>'Arable Inputs'!$E$18</f>
        <v>4.1100000000000003</v>
      </c>
      <c r="AE67" s="760">
        <f>'Arable Inputs'!$E$25</f>
        <v>154.80000000000001</v>
      </c>
      <c r="AF67" s="760">
        <f>'Arable Inputs'!$E$19</f>
        <v>3.5</v>
      </c>
      <c r="AG67" s="760">
        <f>'Arable Inputs'!$E$26</f>
        <v>79.099999999999994</v>
      </c>
      <c r="AH67" s="762">
        <f>AD67*AE67+AF67*AG67</f>
        <v>913.07799999999997</v>
      </c>
      <c r="AI67" s="197">
        <f>'Arable NPV'!$E147</f>
        <v>175.95</v>
      </c>
      <c r="AJ67" s="197">
        <f t="shared" si="155"/>
        <v>1089.028</v>
      </c>
      <c r="AK67" s="197">
        <f>'Arable NPV'!$G147</f>
        <v>468.64299999999992</v>
      </c>
      <c r="AL67" s="197">
        <f>'Arable NPV'!$H147</f>
        <v>888.75536799999986</v>
      </c>
      <c r="AM67" s="197">
        <f t="shared" si="156"/>
        <v>1357.3983679999997</v>
      </c>
      <c r="AN67" s="197">
        <f t="shared" si="157"/>
        <v>-444.32036799999969</v>
      </c>
      <c r="AO67" s="197">
        <f t="shared" si="158"/>
        <v>-268.37036799999964</v>
      </c>
      <c r="AP67" s="196">
        <f t="shared" si="159"/>
        <v>723.24329784204519</v>
      </c>
      <c r="AQ67" s="197">
        <f t="shared" si="160"/>
        <v>139.36888004672969</v>
      </c>
      <c r="AR67" s="197">
        <f t="shared" si="161"/>
        <v>1075.1866457824303</v>
      </c>
      <c r="AS67" s="197">
        <f t="shared" si="162"/>
        <v>-351.94334794038502</v>
      </c>
      <c r="AT67" s="199">
        <f t="shared" si="163"/>
        <v>-212.57446789365531</v>
      </c>
      <c r="AU67" s="196">
        <f t="shared" si="164"/>
        <v>6373.4954122720774</v>
      </c>
      <c r="AV67" s="197">
        <f t="shared" si="164"/>
        <v>785.63533255450454</v>
      </c>
      <c r="AW67" s="197">
        <f t="shared" si="164"/>
        <v>6624.1447974997191</v>
      </c>
      <c r="AX67" s="197">
        <f t="shared" si="164"/>
        <v>-250.64938522764047</v>
      </c>
      <c r="AY67" s="199">
        <f t="shared" si="165"/>
        <v>534.98594732686411</v>
      </c>
      <c r="BB67" s="204">
        <f t="shared" si="204"/>
        <v>5</v>
      </c>
      <c r="BC67" s="219" t="s">
        <v>5</v>
      </c>
      <c r="BD67" s="760">
        <f>'Arable Inputs'!$E$18</f>
        <v>4.1100000000000003</v>
      </c>
      <c r="BE67" s="760">
        <f>'Arable Inputs'!$E$25</f>
        <v>154.80000000000001</v>
      </c>
      <c r="BF67" s="760">
        <f>'Arable Inputs'!$E$19</f>
        <v>3.5</v>
      </c>
      <c r="BG67" s="760">
        <f>'Arable Inputs'!$E$26</f>
        <v>79.099999999999994</v>
      </c>
      <c r="BH67" s="762">
        <f>BD67*BE67+BF67*BG67</f>
        <v>913.07799999999997</v>
      </c>
      <c r="BI67" s="197">
        <f>'Arable NPV'!$E147</f>
        <v>175.95</v>
      </c>
      <c r="BJ67" s="197">
        <f t="shared" si="166"/>
        <v>1089.028</v>
      </c>
      <c r="BK67" s="197">
        <f>'Arable NPV'!$G147</f>
        <v>468.64299999999992</v>
      </c>
      <c r="BL67" s="197">
        <f>'Arable NPV'!$H147</f>
        <v>888.75536799999986</v>
      </c>
      <c r="BM67" s="197">
        <f t="shared" si="167"/>
        <v>1357.3983679999997</v>
      </c>
      <c r="BN67" s="197">
        <f t="shared" si="168"/>
        <v>-444.32036799999969</v>
      </c>
      <c r="BO67" s="197">
        <f t="shared" si="169"/>
        <v>-268.37036799999964</v>
      </c>
      <c r="BP67" s="196">
        <f t="shared" si="170"/>
        <v>843.54293390543751</v>
      </c>
      <c r="BQ67" s="197">
        <f t="shared" si="171"/>
        <v>162.55060270936517</v>
      </c>
      <c r="BR67" s="197">
        <f t="shared" si="172"/>
        <v>1254.0262735726549</v>
      </c>
      <c r="BS67" s="197">
        <f t="shared" si="173"/>
        <v>-410.48333966721731</v>
      </c>
      <c r="BT67" s="199">
        <f t="shared" si="174"/>
        <v>-247.93273695785209</v>
      </c>
      <c r="BU67" s="196">
        <f t="shared" si="175"/>
        <v>6788.6710710472607</v>
      </c>
      <c r="BV67" s="197">
        <f t="shared" si="175"/>
        <v>845.91986453174115</v>
      </c>
      <c r="BW67" s="197">
        <f t="shared" si="175"/>
        <v>7092.9327567328173</v>
      </c>
      <c r="BX67" s="197">
        <f t="shared" si="176"/>
        <v>-304.2616856855567</v>
      </c>
      <c r="BY67" s="199">
        <f t="shared" si="177"/>
        <v>541.6581788461848</v>
      </c>
      <c r="CB67" s="204">
        <f t="shared" si="205"/>
        <v>5</v>
      </c>
      <c r="CC67" s="219" t="s">
        <v>5</v>
      </c>
      <c r="CD67" s="760">
        <f>'Arable Inputs'!$E$18</f>
        <v>4.1100000000000003</v>
      </c>
      <c r="CE67" s="760">
        <f>'Arable Inputs'!$E$25</f>
        <v>154.80000000000001</v>
      </c>
      <c r="CF67" s="760">
        <f>'Arable Inputs'!$E$19</f>
        <v>3.5</v>
      </c>
      <c r="CG67" s="760">
        <f>'Arable Inputs'!$E$26</f>
        <v>79.099999999999994</v>
      </c>
      <c r="CH67" s="762">
        <f>CD67*CE67+CF67*CG67</f>
        <v>913.07799999999997</v>
      </c>
      <c r="CI67" s="197">
        <f>'Arable NPV'!$E147</f>
        <v>175.95</v>
      </c>
      <c r="CJ67" s="197">
        <f t="shared" si="178"/>
        <v>1089.028</v>
      </c>
      <c r="CK67" s="197">
        <f>'Arable NPV'!$G147</f>
        <v>468.64299999999992</v>
      </c>
      <c r="CL67" s="197">
        <f>'Arable NPV'!$H147</f>
        <v>888.75536799999986</v>
      </c>
      <c r="CM67" s="197">
        <f t="shared" si="179"/>
        <v>1357.3983679999997</v>
      </c>
      <c r="CN67" s="197">
        <f t="shared" si="180"/>
        <v>-444.32036799999969</v>
      </c>
      <c r="CO67" s="197">
        <f t="shared" si="181"/>
        <v>-268.37036799999964</v>
      </c>
      <c r="CP67" s="196">
        <f t="shared" si="182"/>
        <v>671.1395879316799</v>
      </c>
      <c r="CQ67" s="197">
        <f t="shared" si="183"/>
        <v>129.32850259953594</v>
      </c>
      <c r="CR67" s="197">
        <f t="shared" si="184"/>
        <v>997.72832261718565</v>
      </c>
      <c r="CS67" s="197">
        <f t="shared" si="185"/>
        <v>-326.5887346855057</v>
      </c>
      <c r="CT67" s="199">
        <f t="shared" si="186"/>
        <v>-197.26023208596973</v>
      </c>
      <c r="CU67" s="196">
        <f t="shared" si="187"/>
        <v>6186.9474060996417</v>
      </c>
      <c r="CV67" s="197">
        <f t="shared" si="187"/>
        <v>758.7187175058001</v>
      </c>
      <c r="CW67" s="197">
        <f t="shared" si="188"/>
        <v>6414.5247674493166</v>
      </c>
      <c r="CX67" s="197">
        <f t="shared" si="189"/>
        <v>-227.57736134967485</v>
      </c>
      <c r="CY67" s="199">
        <f t="shared" si="190"/>
        <v>531.14135615612554</v>
      </c>
      <c r="DB67" s="204">
        <f t="shared" si="191"/>
        <v>5</v>
      </c>
      <c r="DC67" s="219" t="s">
        <v>5</v>
      </c>
      <c r="DD67" s="760">
        <f>'Arable Inputs'!$E$18</f>
        <v>4.1100000000000003</v>
      </c>
      <c r="DE67" s="760">
        <f>'Arable Inputs'!$E$25</f>
        <v>154.80000000000001</v>
      </c>
      <c r="DF67" s="760">
        <f>'Arable Inputs'!$E$19</f>
        <v>3.5</v>
      </c>
      <c r="DG67" s="760">
        <f>'Arable Inputs'!$E$26</f>
        <v>79.099999999999994</v>
      </c>
      <c r="DH67" s="762">
        <f>DD67*DE67+DF67*DG67</f>
        <v>913.07799999999997</v>
      </c>
      <c r="DI67" s="197">
        <f>'Arable NPV'!$E147</f>
        <v>175.95</v>
      </c>
      <c r="DJ67" s="197">
        <f t="shared" si="192"/>
        <v>1089.028</v>
      </c>
      <c r="DK67" s="197">
        <f>'Arable NPV'!$G147</f>
        <v>468.64299999999992</v>
      </c>
      <c r="DL67" s="197">
        <f>'Arable NPV'!$H147</f>
        <v>888.75536799999986</v>
      </c>
      <c r="DM67" s="197">
        <f t="shared" si="193"/>
        <v>1357.3983679999997</v>
      </c>
      <c r="DN67" s="197">
        <f t="shared" si="194"/>
        <v>-444.32036799999969</v>
      </c>
      <c r="DO67" s="197">
        <f t="shared" si="195"/>
        <v>-268.37036799999964</v>
      </c>
      <c r="DP67" s="196">
        <f t="shared" si="196"/>
        <v>913.07799999999997</v>
      </c>
      <c r="DQ67" s="197">
        <f t="shared" si="197"/>
        <v>175.95</v>
      </c>
      <c r="DR67" s="197">
        <f t="shared" si="198"/>
        <v>1357.3983679999997</v>
      </c>
      <c r="DS67" s="197">
        <f t="shared" si="199"/>
        <v>-444.32036799999969</v>
      </c>
      <c r="DT67" s="199">
        <f t="shared" si="200"/>
        <v>-268.37036799999964</v>
      </c>
      <c r="DU67" s="196">
        <f t="shared" si="201"/>
        <v>7020.1949999999997</v>
      </c>
      <c r="DV67" s="197">
        <f t="shared" si="201"/>
        <v>879.75</v>
      </c>
      <c r="DW67" s="197">
        <f t="shared" si="201"/>
        <v>7355.6369348571425</v>
      </c>
      <c r="DX67" s="197">
        <f t="shared" si="201"/>
        <v>-335.44193485714163</v>
      </c>
      <c r="DY67" s="199">
        <f t="shared" si="201"/>
        <v>544.3080651428586</v>
      </c>
    </row>
    <row r="68" spans="2:129" x14ac:dyDescent="0.3">
      <c r="B68" s="204">
        <f t="shared" si="202"/>
        <v>6</v>
      </c>
      <c r="C68" s="219" t="s">
        <v>4</v>
      </c>
      <c r="D68" s="760">
        <f>'Arable Inputs'!$D$18</f>
        <v>7.45</v>
      </c>
      <c r="E68" s="760">
        <f>'Arable Inputs'!$D$25</f>
        <v>193.7</v>
      </c>
      <c r="F68" s="760">
        <f>'Arable Inputs'!$D$19</f>
        <v>3.9</v>
      </c>
      <c r="G68" s="760">
        <f>'Arable Inputs'!$D$26</f>
        <v>73.449999999999989</v>
      </c>
      <c r="H68" s="762">
        <f>D68*E68+F68*G68</f>
        <v>1729.52</v>
      </c>
      <c r="I68" s="197">
        <f>'Arable NPV'!$E148</f>
        <v>175.95</v>
      </c>
      <c r="J68" s="197">
        <f t="shared" si="145"/>
        <v>1905.47</v>
      </c>
      <c r="K68" s="197">
        <f>'Arable NPV'!$G148</f>
        <v>671.92799999999988</v>
      </c>
      <c r="L68" s="197">
        <f>'Arable NPV'!$H148</f>
        <v>969.47373599999992</v>
      </c>
      <c r="M68" s="197">
        <f t="shared" si="146"/>
        <v>1641.4017359999998</v>
      </c>
      <c r="N68" s="197">
        <f t="shared" si="147"/>
        <v>88.118264000000181</v>
      </c>
      <c r="O68" s="197">
        <f t="shared" si="148"/>
        <v>264.06826400000023</v>
      </c>
      <c r="P68" s="196">
        <f t="shared" si="149"/>
        <v>1421.5393696824337</v>
      </c>
      <c r="Q68" s="197">
        <f t="shared" si="150"/>
        <v>144.61807443430789</v>
      </c>
      <c r="R68" s="197">
        <f t="shared" si="151"/>
        <v>1349.1125799002568</v>
      </c>
      <c r="S68" s="197">
        <f t="shared" si="152"/>
        <v>72.426789782176868</v>
      </c>
      <c r="T68" s="199">
        <f t="shared" si="153"/>
        <v>217.04486421648483</v>
      </c>
      <c r="U68" s="196">
        <f t="shared" si="154"/>
        <v>7995.1554163019491</v>
      </c>
      <c r="V68" s="197">
        <f t="shared" si="154"/>
        <v>959.24813914230128</v>
      </c>
      <c r="W68" s="197">
        <f t="shared" si="154"/>
        <v>8198.8400778656851</v>
      </c>
      <c r="X68" s="197">
        <f t="shared" si="154"/>
        <v>-203.68466156373569</v>
      </c>
      <c r="Y68" s="199">
        <f t="shared" si="154"/>
        <v>755.56347757856588</v>
      </c>
      <c r="Z68" s="197"/>
      <c r="AB68" s="204">
        <f t="shared" si="203"/>
        <v>6</v>
      </c>
      <c r="AC68" s="219" t="s">
        <v>4</v>
      </c>
      <c r="AD68" s="760">
        <f>'Arable Inputs'!$D$18</f>
        <v>7.45</v>
      </c>
      <c r="AE68" s="760">
        <f>'Arable Inputs'!$D$25</f>
        <v>193.7</v>
      </c>
      <c r="AF68" s="760">
        <f>'Arable Inputs'!$D$19</f>
        <v>3.9</v>
      </c>
      <c r="AG68" s="760">
        <f>'Arable Inputs'!$D$26</f>
        <v>73.449999999999989</v>
      </c>
      <c r="AH68" s="762">
        <f>AD68*AE68+AF68*AG68</f>
        <v>1729.52</v>
      </c>
      <c r="AI68" s="197">
        <f>'Arable NPV'!$E148</f>
        <v>175.95</v>
      </c>
      <c r="AJ68" s="197">
        <f t="shared" si="155"/>
        <v>1905.47</v>
      </c>
      <c r="AK68" s="197">
        <f>'Arable NPV'!$G148</f>
        <v>671.92799999999988</v>
      </c>
      <c r="AL68" s="197">
        <f>'Arable NPV'!$H148</f>
        <v>969.47373599999992</v>
      </c>
      <c r="AM68" s="197">
        <f t="shared" si="156"/>
        <v>1641.4017359999998</v>
      </c>
      <c r="AN68" s="197">
        <f t="shared" si="157"/>
        <v>88.118264000000181</v>
      </c>
      <c r="AO68" s="197">
        <f t="shared" si="158"/>
        <v>264.06826400000023</v>
      </c>
      <c r="AP68" s="196">
        <f t="shared" si="159"/>
        <v>1292.3979551353027</v>
      </c>
      <c r="AQ68" s="197">
        <f t="shared" si="160"/>
        <v>131.48007551578272</v>
      </c>
      <c r="AR68" s="197">
        <f t="shared" si="161"/>
        <v>1226.5508621825338</v>
      </c>
      <c r="AS68" s="197">
        <f t="shared" si="162"/>
        <v>65.847092952768975</v>
      </c>
      <c r="AT68" s="199">
        <f t="shared" si="163"/>
        <v>197.32716846855172</v>
      </c>
      <c r="AU68" s="196">
        <f t="shared" si="164"/>
        <v>7665.8933674073796</v>
      </c>
      <c r="AV68" s="197">
        <f t="shared" si="164"/>
        <v>917.11540807028723</v>
      </c>
      <c r="AW68" s="197">
        <f t="shared" si="164"/>
        <v>7850.6956596822529</v>
      </c>
      <c r="AX68" s="197">
        <f t="shared" si="164"/>
        <v>-184.80229227487149</v>
      </c>
      <c r="AY68" s="199">
        <f t="shared" si="165"/>
        <v>732.3131157954158</v>
      </c>
      <c r="BB68" s="204">
        <f t="shared" si="204"/>
        <v>6</v>
      </c>
      <c r="BC68" s="219" t="s">
        <v>4</v>
      </c>
      <c r="BD68" s="760">
        <f>'Arable Inputs'!$D$18</f>
        <v>7.45</v>
      </c>
      <c r="BE68" s="760">
        <f>'Arable Inputs'!$D$25</f>
        <v>193.7</v>
      </c>
      <c r="BF68" s="760">
        <f>'Arable Inputs'!$D$19</f>
        <v>3.9</v>
      </c>
      <c r="BG68" s="760">
        <f>'Arable Inputs'!$D$26</f>
        <v>73.449999999999989</v>
      </c>
      <c r="BH68" s="762">
        <f>BD68*BE68+BF68*BG68</f>
        <v>1729.52</v>
      </c>
      <c r="BI68" s="197">
        <f>'Arable NPV'!$E148</f>
        <v>175.95</v>
      </c>
      <c r="BJ68" s="197">
        <f t="shared" si="166"/>
        <v>1905.47</v>
      </c>
      <c r="BK68" s="197">
        <f>'Arable NPV'!$G148</f>
        <v>671.92799999999988</v>
      </c>
      <c r="BL68" s="197">
        <f>'Arable NPV'!$H148</f>
        <v>969.47373599999992</v>
      </c>
      <c r="BM68" s="197">
        <f t="shared" si="167"/>
        <v>1641.4017359999998</v>
      </c>
      <c r="BN68" s="197">
        <f t="shared" si="168"/>
        <v>88.118264000000181</v>
      </c>
      <c r="BO68" s="197">
        <f t="shared" si="169"/>
        <v>264.06826400000023</v>
      </c>
      <c r="BP68" s="196">
        <f t="shared" si="170"/>
        <v>1566.4795502170361</v>
      </c>
      <c r="BQ68" s="197">
        <f t="shared" si="171"/>
        <v>159.3633359895737</v>
      </c>
      <c r="BR68" s="197">
        <f t="shared" si="172"/>
        <v>1486.6681236035097</v>
      </c>
      <c r="BS68" s="197">
        <f t="shared" si="173"/>
        <v>79.811426613526493</v>
      </c>
      <c r="BT68" s="199">
        <f t="shared" si="174"/>
        <v>239.17476260310022</v>
      </c>
      <c r="BU68" s="196">
        <f t="shared" si="175"/>
        <v>8355.1506212642962</v>
      </c>
      <c r="BV68" s="197">
        <f t="shared" si="175"/>
        <v>1005.2832005213148</v>
      </c>
      <c r="BW68" s="197">
        <f t="shared" si="175"/>
        <v>8579.6008803363275</v>
      </c>
      <c r="BX68" s="197">
        <f t="shared" si="176"/>
        <v>-224.45025907203021</v>
      </c>
      <c r="BY68" s="199">
        <f t="shared" si="177"/>
        <v>780.83294144928504</v>
      </c>
      <c r="CB68" s="204">
        <f t="shared" si="205"/>
        <v>6</v>
      </c>
      <c r="CC68" s="219" t="s">
        <v>4</v>
      </c>
      <c r="CD68" s="760">
        <f>'Arable Inputs'!$D$18</f>
        <v>7.45</v>
      </c>
      <c r="CE68" s="760">
        <f>'Arable Inputs'!$D$25</f>
        <v>193.7</v>
      </c>
      <c r="CF68" s="760">
        <f>'Arable Inputs'!$D$19</f>
        <v>3.9</v>
      </c>
      <c r="CG68" s="760">
        <f>'Arable Inputs'!$D$26</f>
        <v>73.449999999999989</v>
      </c>
      <c r="CH68" s="762">
        <f>CD68*CE68+CF68*CG68</f>
        <v>1729.52</v>
      </c>
      <c r="CI68" s="197">
        <f>'Arable NPV'!$E148</f>
        <v>175.95</v>
      </c>
      <c r="CJ68" s="197">
        <f t="shared" si="178"/>
        <v>1905.47</v>
      </c>
      <c r="CK68" s="197">
        <f>'Arable NPV'!$G148</f>
        <v>671.92799999999988</v>
      </c>
      <c r="CL68" s="197">
        <f>'Arable NPV'!$H148</f>
        <v>969.47373599999992</v>
      </c>
      <c r="CM68" s="197">
        <f t="shared" si="179"/>
        <v>1641.4017359999998</v>
      </c>
      <c r="CN68" s="197">
        <f t="shared" si="180"/>
        <v>88.118264000000181</v>
      </c>
      <c r="CO68" s="197">
        <f t="shared" si="181"/>
        <v>264.06826400000023</v>
      </c>
      <c r="CP68" s="196">
        <f t="shared" si="182"/>
        <v>1177.0822509338166</v>
      </c>
      <c r="CQ68" s="197">
        <f t="shared" si="183"/>
        <v>119.74861351808883</v>
      </c>
      <c r="CR68" s="197">
        <f t="shared" si="184"/>
        <v>1117.1104411036322</v>
      </c>
      <c r="CS68" s="197">
        <f t="shared" si="185"/>
        <v>59.971809830184391</v>
      </c>
      <c r="CT68" s="199">
        <f t="shared" si="186"/>
        <v>179.72042334827327</v>
      </c>
      <c r="CU68" s="196">
        <f t="shared" si="187"/>
        <v>7364.0296570334585</v>
      </c>
      <c r="CV68" s="197">
        <f t="shared" si="187"/>
        <v>878.46733102388896</v>
      </c>
      <c r="CW68" s="197">
        <f t="shared" si="188"/>
        <v>7531.6352085529488</v>
      </c>
      <c r="CX68" s="197">
        <f t="shared" si="189"/>
        <v>-167.60555151949046</v>
      </c>
      <c r="CY68" s="199">
        <f t="shared" si="190"/>
        <v>710.86177950439878</v>
      </c>
      <c r="DB68" s="204">
        <f t="shared" si="191"/>
        <v>6</v>
      </c>
      <c r="DC68" s="219" t="s">
        <v>4</v>
      </c>
      <c r="DD68" s="760">
        <f>'Arable Inputs'!$D$18</f>
        <v>7.45</v>
      </c>
      <c r="DE68" s="760">
        <f>'Arable Inputs'!$D$25</f>
        <v>193.7</v>
      </c>
      <c r="DF68" s="760">
        <f>'Arable Inputs'!$D$19</f>
        <v>3.9</v>
      </c>
      <c r="DG68" s="760">
        <f>'Arable Inputs'!$D$26</f>
        <v>73.449999999999989</v>
      </c>
      <c r="DH68" s="762">
        <f>DD68*DE68+DF68*DG68</f>
        <v>1729.52</v>
      </c>
      <c r="DI68" s="197">
        <f>'Arable NPV'!$E148</f>
        <v>175.95</v>
      </c>
      <c r="DJ68" s="197">
        <f t="shared" si="192"/>
        <v>1905.47</v>
      </c>
      <c r="DK68" s="197">
        <f>'Arable NPV'!$G148</f>
        <v>671.92799999999988</v>
      </c>
      <c r="DL68" s="197">
        <f>'Arable NPV'!$H148</f>
        <v>969.47373599999992</v>
      </c>
      <c r="DM68" s="197">
        <f t="shared" si="193"/>
        <v>1641.4017359999998</v>
      </c>
      <c r="DN68" s="197">
        <f t="shared" si="194"/>
        <v>88.118264000000181</v>
      </c>
      <c r="DO68" s="197">
        <f t="shared" si="195"/>
        <v>264.06826400000023</v>
      </c>
      <c r="DP68" s="196">
        <f t="shared" si="196"/>
        <v>1729.52</v>
      </c>
      <c r="DQ68" s="197">
        <f t="shared" si="197"/>
        <v>175.95</v>
      </c>
      <c r="DR68" s="197">
        <f t="shared" si="198"/>
        <v>1641.4017359999998</v>
      </c>
      <c r="DS68" s="197">
        <f t="shared" si="199"/>
        <v>88.118264000000181</v>
      </c>
      <c r="DT68" s="199">
        <f t="shared" si="200"/>
        <v>264.06826400000023</v>
      </c>
      <c r="DU68" s="196">
        <f t="shared" si="201"/>
        <v>8749.7150000000001</v>
      </c>
      <c r="DV68" s="197">
        <f t="shared" si="201"/>
        <v>1055.7</v>
      </c>
      <c r="DW68" s="197">
        <f t="shared" si="201"/>
        <v>8997.0386708571423</v>
      </c>
      <c r="DX68" s="197">
        <f t="shared" si="201"/>
        <v>-247.32367085714145</v>
      </c>
      <c r="DY68" s="199">
        <f t="shared" si="201"/>
        <v>808.37632914285882</v>
      </c>
    </row>
    <row r="69" spans="2:129" x14ac:dyDescent="0.3">
      <c r="B69" s="204">
        <f t="shared" si="202"/>
        <v>7</v>
      </c>
      <c r="C69" s="219" t="s">
        <v>7</v>
      </c>
      <c r="D69" s="760">
        <f>'Arable Inputs'!$G$18</f>
        <v>63.1</v>
      </c>
      <c r="E69" s="760">
        <f>'Arable Inputs'!$G$25</f>
        <v>26</v>
      </c>
      <c r="H69" s="762">
        <f>D69*E69</f>
        <v>1640.6000000000001</v>
      </c>
      <c r="I69" s="197">
        <f>'Arable NPV'!$E149</f>
        <v>175.95</v>
      </c>
      <c r="J69" s="197">
        <f t="shared" si="145"/>
        <v>1816.5500000000002</v>
      </c>
      <c r="K69" s="197">
        <f>'Arable NPV'!$G149</f>
        <v>819.30399999999986</v>
      </c>
      <c r="L69" s="197">
        <f>'Arable NPV'!$H149</f>
        <v>996.95456799999988</v>
      </c>
      <c r="M69" s="197">
        <f t="shared" si="146"/>
        <v>1816.2585679999997</v>
      </c>
      <c r="N69" s="197">
        <f t="shared" si="147"/>
        <v>-175.6585679999996</v>
      </c>
      <c r="O69" s="197">
        <f t="shared" si="148"/>
        <v>0.29143200000044089</v>
      </c>
      <c r="P69" s="196">
        <f t="shared" si="149"/>
        <v>1296.5900109128772</v>
      </c>
      <c r="Q69" s="197">
        <f t="shared" si="150"/>
        <v>139.05584080221914</v>
      </c>
      <c r="R69" s="197">
        <f t="shared" si="151"/>
        <v>1435.4155287722333</v>
      </c>
      <c r="S69" s="197">
        <f t="shared" si="152"/>
        <v>-138.82551785935624</v>
      </c>
      <c r="T69" s="199">
        <f t="shared" si="153"/>
        <v>0.23032294286293628</v>
      </c>
      <c r="U69" s="196">
        <f t="shared" si="154"/>
        <v>9291.7454272148261</v>
      </c>
      <c r="V69" s="197">
        <f t="shared" si="154"/>
        <v>1098.3039799445205</v>
      </c>
      <c r="W69" s="197">
        <f t="shared" si="154"/>
        <v>9634.2556066379184</v>
      </c>
      <c r="X69" s="197">
        <f t="shared" si="154"/>
        <v>-342.51017942309193</v>
      </c>
      <c r="Y69" s="199">
        <f t="shared" si="154"/>
        <v>755.79380052142881</v>
      </c>
      <c r="Z69" s="197"/>
      <c r="AB69" s="204">
        <f t="shared" si="203"/>
        <v>7</v>
      </c>
      <c r="AC69" s="219" t="s">
        <v>7</v>
      </c>
      <c r="AD69" s="760">
        <f>'Arable Inputs'!$G$18</f>
        <v>63.1</v>
      </c>
      <c r="AE69" s="760">
        <f>'Arable Inputs'!$G$25</f>
        <v>26</v>
      </c>
      <c r="AH69" s="762">
        <f>AD69*AE69</f>
        <v>1640.6000000000001</v>
      </c>
      <c r="AI69" s="197">
        <f>'Arable NPV'!$E149</f>
        <v>175.95</v>
      </c>
      <c r="AJ69" s="197">
        <f t="shared" si="155"/>
        <v>1816.5500000000002</v>
      </c>
      <c r="AK69" s="197">
        <f>'Arable NPV'!$G149</f>
        <v>819.30399999999986</v>
      </c>
      <c r="AL69" s="197">
        <f>'Arable NPV'!$H149</f>
        <v>996.95456799999988</v>
      </c>
      <c r="AM69" s="197">
        <f t="shared" si="156"/>
        <v>1816.2585679999997</v>
      </c>
      <c r="AN69" s="197">
        <f t="shared" si="157"/>
        <v>-175.6585679999996</v>
      </c>
      <c r="AO69" s="197">
        <f t="shared" si="158"/>
        <v>0.29143200000044089</v>
      </c>
      <c r="AP69" s="196">
        <f t="shared" si="159"/>
        <v>1156.5582626453331</v>
      </c>
      <c r="AQ69" s="197">
        <f t="shared" si="160"/>
        <v>124.03780709036103</v>
      </c>
      <c r="AR69" s="197">
        <f t="shared" si="161"/>
        <v>1280.3906216754724</v>
      </c>
      <c r="AS69" s="197">
        <f t="shared" si="162"/>
        <v>-123.83235903013934</v>
      </c>
      <c r="AT69" s="199">
        <f t="shared" si="163"/>
        <v>0.20544806022172654</v>
      </c>
      <c r="AU69" s="196">
        <f t="shared" si="164"/>
        <v>8822.4516300527121</v>
      </c>
      <c r="AV69" s="197">
        <f t="shared" si="164"/>
        <v>1041.1532151606482</v>
      </c>
      <c r="AW69" s="197">
        <f t="shared" si="164"/>
        <v>9131.086281357726</v>
      </c>
      <c r="AX69" s="197">
        <f t="shared" si="164"/>
        <v>-308.63465130501083</v>
      </c>
      <c r="AY69" s="199">
        <f t="shared" si="165"/>
        <v>732.51856385563747</v>
      </c>
      <c r="BB69" s="204">
        <f t="shared" si="204"/>
        <v>7</v>
      </c>
      <c r="BC69" s="219" t="s">
        <v>7</v>
      </c>
      <c r="BD69" s="760">
        <f>'Arable Inputs'!$G$18</f>
        <v>63.1</v>
      </c>
      <c r="BE69" s="760">
        <f>'Arable Inputs'!$G$25</f>
        <v>26</v>
      </c>
      <c r="BH69" s="762">
        <f>BD69*BE69</f>
        <v>1640.6000000000001</v>
      </c>
      <c r="BI69" s="197">
        <f>'Arable NPV'!$E149</f>
        <v>175.95</v>
      </c>
      <c r="BJ69" s="197">
        <f t="shared" si="166"/>
        <v>1816.5500000000002</v>
      </c>
      <c r="BK69" s="197">
        <f>'Arable NPV'!$G149</f>
        <v>819.30399999999986</v>
      </c>
      <c r="BL69" s="197">
        <f>'Arable NPV'!$H149</f>
        <v>996.95456799999988</v>
      </c>
      <c r="BM69" s="197">
        <f t="shared" si="167"/>
        <v>1816.2585679999997</v>
      </c>
      <c r="BN69" s="197">
        <f t="shared" si="168"/>
        <v>-175.6585679999996</v>
      </c>
      <c r="BO69" s="197">
        <f t="shared" si="169"/>
        <v>0.29143200000044089</v>
      </c>
      <c r="BP69" s="196">
        <f t="shared" si="170"/>
        <v>1456.8058496146666</v>
      </c>
      <c r="BQ69" s="197">
        <f t="shared" si="171"/>
        <v>156.23856469566047</v>
      </c>
      <c r="BR69" s="197">
        <f t="shared" si="172"/>
        <v>1612.7856310344735</v>
      </c>
      <c r="BS69" s="197">
        <f t="shared" si="173"/>
        <v>-155.97978141980684</v>
      </c>
      <c r="BT69" s="199">
        <f t="shared" si="174"/>
        <v>0.25878327585367783</v>
      </c>
      <c r="BU69" s="196">
        <f t="shared" si="175"/>
        <v>9811.9564708789621</v>
      </c>
      <c r="BV69" s="197">
        <f t="shared" si="175"/>
        <v>1161.5217652169754</v>
      </c>
      <c r="BW69" s="197">
        <f t="shared" si="175"/>
        <v>10192.386511370802</v>
      </c>
      <c r="BX69" s="197">
        <f t="shared" si="176"/>
        <v>-380.43004049183708</v>
      </c>
      <c r="BY69" s="199">
        <f t="shared" si="177"/>
        <v>781.09172472513876</v>
      </c>
      <c r="CB69" s="204">
        <f t="shared" si="205"/>
        <v>7</v>
      </c>
      <c r="CC69" s="219" t="s">
        <v>7</v>
      </c>
      <c r="CD69" s="760">
        <f>'Arable Inputs'!$G$18</f>
        <v>63.1</v>
      </c>
      <c r="CE69" s="760">
        <f>'Arable Inputs'!$G$25</f>
        <v>26</v>
      </c>
      <c r="CH69" s="762">
        <f>CD69*CE69</f>
        <v>1640.6000000000001</v>
      </c>
      <c r="CI69" s="197">
        <f>'Arable NPV'!$E149</f>
        <v>175.95</v>
      </c>
      <c r="CJ69" s="197">
        <f t="shared" si="178"/>
        <v>1816.5500000000002</v>
      </c>
      <c r="CK69" s="197">
        <f>'Arable NPV'!$G149</f>
        <v>819.30399999999986</v>
      </c>
      <c r="CL69" s="197">
        <f>'Arable NPV'!$H149</f>
        <v>996.95456799999988</v>
      </c>
      <c r="CM69" s="197">
        <f t="shared" si="179"/>
        <v>1816.2585679999997</v>
      </c>
      <c r="CN69" s="197">
        <f t="shared" si="180"/>
        <v>-175.6585679999996</v>
      </c>
      <c r="CO69" s="197">
        <f t="shared" si="181"/>
        <v>0.29143200000044089</v>
      </c>
      <c r="CP69" s="196">
        <f t="shared" si="182"/>
        <v>1033.8562898644213</v>
      </c>
      <c r="CQ69" s="197">
        <f t="shared" si="183"/>
        <v>110.87834585008224</v>
      </c>
      <c r="CR69" s="197">
        <f t="shared" si="184"/>
        <v>1144.5509841198016</v>
      </c>
      <c r="CS69" s="197">
        <f t="shared" si="185"/>
        <v>-110.6946942553802</v>
      </c>
      <c r="CT69" s="199">
        <f t="shared" si="186"/>
        <v>0.18365159470207476</v>
      </c>
      <c r="CU69" s="196">
        <f t="shared" si="187"/>
        <v>8397.8859468978808</v>
      </c>
      <c r="CV69" s="197">
        <f t="shared" si="187"/>
        <v>989.34567687397123</v>
      </c>
      <c r="CW69" s="197">
        <f t="shared" si="188"/>
        <v>8676.1861926727506</v>
      </c>
      <c r="CX69" s="197">
        <f t="shared" si="189"/>
        <v>-278.30024577487063</v>
      </c>
      <c r="CY69" s="199">
        <f t="shared" si="190"/>
        <v>711.04543109910082</v>
      </c>
      <c r="DB69" s="204">
        <f t="shared" si="191"/>
        <v>7</v>
      </c>
      <c r="DC69" s="219" t="s">
        <v>7</v>
      </c>
      <c r="DD69" s="760">
        <f>'Arable Inputs'!$G$18</f>
        <v>63.1</v>
      </c>
      <c r="DE69" s="760">
        <f>'Arable Inputs'!$G$25</f>
        <v>26</v>
      </c>
      <c r="DH69" s="762">
        <f>DD69*DE69</f>
        <v>1640.6000000000001</v>
      </c>
      <c r="DI69" s="197">
        <f>'Arable NPV'!$E149</f>
        <v>175.95</v>
      </c>
      <c r="DJ69" s="197">
        <f t="shared" si="192"/>
        <v>1816.5500000000002</v>
      </c>
      <c r="DK69" s="197">
        <f>'Arable NPV'!$G149</f>
        <v>819.30399999999986</v>
      </c>
      <c r="DL69" s="197">
        <f>'Arable NPV'!$H149</f>
        <v>996.95456799999988</v>
      </c>
      <c r="DM69" s="197">
        <f t="shared" si="193"/>
        <v>1816.2585679999997</v>
      </c>
      <c r="DN69" s="197">
        <f t="shared" si="194"/>
        <v>-175.6585679999996</v>
      </c>
      <c r="DO69" s="197">
        <f t="shared" si="195"/>
        <v>0.29143200000044089</v>
      </c>
      <c r="DP69" s="196">
        <f t="shared" si="196"/>
        <v>1640.6000000000001</v>
      </c>
      <c r="DQ69" s="197">
        <f t="shared" si="197"/>
        <v>175.95</v>
      </c>
      <c r="DR69" s="197">
        <f t="shared" si="198"/>
        <v>1816.2585679999997</v>
      </c>
      <c r="DS69" s="197">
        <f t="shared" si="199"/>
        <v>-175.6585679999996</v>
      </c>
      <c r="DT69" s="199">
        <f t="shared" si="200"/>
        <v>0.29143200000044089</v>
      </c>
      <c r="DU69" s="196">
        <f t="shared" si="201"/>
        <v>10390.315000000001</v>
      </c>
      <c r="DV69" s="197">
        <f t="shared" si="201"/>
        <v>1231.6500000000001</v>
      </c>
      <c r="DW69" s="197">
        <f t="shared" si="201"/>
        <v>10813.297238857142</v>
      </c>
      <c r="DX69" s="197">
        <f t="shared" si="201"/>
        <v>-422.98223885714106</v>
      </c>
      <c r="DY69" s="199">
        <f t="shared" si="201"/>
        <v>808.66776114285926</v>
      </c>
    </row>
    <row r="70" spans="2:129" x14ac:dyDescent="0.3">
      <c r="B70" s="204">
        <f t="shared" si="202"/>
        <v>8</v>
      </c>
      <c r="C70" s="219" t="s">
        <v>31</v>
      </c>
      <c r="D70" s="760">
        <f>'Arable Inputs'!$H$18</f>
        <v>8.14</v>
      </c>
      <c r="E70" s="760">
        <f>'Arable Inputs'!$H$25</f>
        <v>182.8</v>
      </c>
      <c r="H70" s="762">
        <f>D70*E70</f>
        <v>1487.9920000000002</v>
      </c>
      <c r="I70" s="197">
        <f>'Arable NPV'!$E150</f>
        <v>175.95</v>
      </c>
      <c r="J70" s="197">
        <f t="shared" si="145"/>
        <v>1663.9420000000002</v>
      </c>
      <c r="K70" s="197">
        <f>'Arable NPV'!$G150</f>
        <v>574.23049999999989</v>
      </c>
      <c r="L70" s="197">
        <f>'Arable NPV'!$H150</f>
        <v>636.366536</v>
      </c>
      <c r="M70" s="197">
        <f t="shared" si="146"/>
        <v>1210.5970359999999</v>
      </c>
      <c r="N70" s="197">
        <f t="shared" si="147"/>
        <v>277.3949640000003</v>
      </c>
      <c r="O70" s="197">
        <f t="shared" si="148"/>
        <v>453.34496400000035</v>
      </c>
      <c r="P70" s="196">
        <f t="shared" si="149"/>
        <v>1130.7516267021647</v>
      </c>
      <c r="Q70" s="197">
        <f t="shared" si="150"/>
        <v>133.70753923290303</v>
      </c>
      <c r="R70" s="197">
        <f t="shared" si="151"/>
        <v>919.95425226601935</v>
      </c>
      <c r="S70" s="197">
        <f t="shared" si="152"/>
        <v>210.79737443614528</v>
      </c>
      <c r="T70" s="199">
        <f t="shared" si="153"/>
        <v>344.50491366904834</v>
      </c>
      <c r="U70" s="196">
        <f t="shared" si="154"/>
        <v>10422.497053916992</v>
      </c>
      <c r="V70" s="197">
        <f t="shared" si="154"/>
        <v>1232.0115191774235</v>
      </c>
      <c r="W70" s="197">
        <f t="shared" si="154"/>
        <v>10554.209858903938</v>
      </c>
      <c r="X70" s="197">
        <f t="shared" si="154"/>
        <v>-131.71280498694665</v>
      </c>
      <c r="Y70" s="199">
        <f t="shared" si="154"/>
        <v>1100.2987141904771</v>
      </c>
      <c r="Z70" s="197"/>
      <c r="AB70" s="204">
        <f t="shared" si="203"/>
        <v>8</v>
      </c>
      <c r="AC70" s="219" t="s">
        <v>31</v>
      </c>
      <c r="AD70" s="760">
        <f>'Arable Inputs'!$H$18</f>
        <v>8.14</v>
      </c>
      <c r="AE70" s="760">
        <f>'Arable Inputs'!$H$25</f>
        <v>182.8</v>
      </c>
      <c r="AH70" s="762">
        <f>AD70*AE70</f>
        <v>1487.9920000000002</v>
      </c>
      <c r="AI70" s="197">
        <f>'Arable NPV'!$E150</f>
        <v>175.95</v>
      </c>
      <c r="AJ70" s="197">
        <f t="shared" si="155"/>
        <v>1663.9420000000002</v>
      </c>
      <c r="AK70" s="197">
        <f>'Arable NPV'!$G150</f>
        <v>574.23049999999989</v>
      </c>
      <c r="AL70" s="197">
        <f>'Arable NPV'!$H150</f>
        <v>636.366536</v>
      </c>
      <c r="AM70" s="197">
        <f t="shared" si="156"/>
        <v>1210.5970359999999</v>
      </c>
      <c r="AN70" s="197">
        <f t="shared" si="157"/>
        <v>277.3949640000003</v>
      </c>
      <c r="AO70" s="197">
        <f t="shared" si="158"/>
        <v>453.34496400000035</v>
      </c>
      <c r="AP70" s="196">
        <f t="shared" si="159"/>
        <v>989.59966461312717</v>
      </c>
      <c r="AQ70" s="197">
        <f t="shared" si="160"/>
        <v>117.01679914185002</v>
      </c>
      <c r="AR70" s="197">
        <f t="shared" si="161"/>
        <v>805.11617052191514</v>
      </c>
      <c r="AS70" s="197">
        <f t="shared" si="162"/>
        <v>184.48349409121201</v>
      </c>
      <c r="AT70" s="199">
        <f t="shared" si="163"/>
        <v>301.50029323306205</v>
      </c>
      <c r="AU70" s="196">
        <f t="shared" si="164"/>
        <v>9812.05129466584</v>
      </c>
      <c r="AV70" s="197">
        <f t="shared" si="164"/>
        <v>1158.1700143024982</v>
      </c>
      <c r="AW70" s="197">
        <f t="shared" si="164"/>
        <v>9936.2024518796406</v>
      </c>
      <c r="AX70" s="197">
        <f t="shared" si="164"/>
        <v>-124.15115721379883</v>
      </c>
      <c r="AY70" s="199">
        <f t="shared" si="165"/>
        <v>1034.0188570886994</v>
      </c>
      <c r="BB70" s="204">
        <f t="shared" si="204"/>
        <v>8</v>
      </c>
      <c r="BC70" s="219" t="s">
        <v>31</v>
      </c>
      <c r="BD70" s="760">
        <f>'Arable Inputs'!$H$18</f>
        <v>8.14</v>
      </c>
      <c r="BE70" s="760">
        <f>'Arable Inputs'!$H$25</f>
        <v>182.8</v>
      </c>
      <c r="BH70" s="762">
        <f>BD70*BE70</f>
        <v>1487.9920000000002</v>
      </c>
      <c r="BI70" s="197">
        <f>'Arable NPV'!$E150</f>
        <v>175.95</v>
      </c>
      <c r="BJ70" s="197">
        <f t="shared" si="166"/>
        <v>1663.9420000000002</v>
      </c>
      <c r="BK70" s="197">
        <f>'Arable NPV'!$G150</f>
        <v>574.23049999999989</v>
      </c>
      <c r="BL70" s="197">
        <f>'Arable NPV'!$H150</f>
        <v>636.366536</v>
      </c>
      <c r="BM70" s="197">
        <f t="shared" si="167"/>
        <v>1210.5970359999999</v>
      </c>
      <c r="BN70" s="197">
        <f t="shared" si="168"/>
        <v>277.3949640000003</v>
      </c>
      <c r="BO70" s="197">
        <f t="shared" si="169"/>
        <v>453.34496400000035</v>
      </c>
      <c r="BP70" s="196">
        <f t="shared" si="170"/>
        <v>1295.3865812960751</v>
      </c>
      <c r="BQ70" s="197">
        <f t="shared" si="171"/>
        <v>153.17506342711815</v>
      </c>
      <c r="BR70" s="197">
        <f t="shared" si="172"/>
        <v>1053.8975718896347</v>
      </c>
      <c r="BS70" s="197">
        <f t="shared" si="173"/>
        <v>241.48900940644049</v>
      </c>
      <c r="BT70" s="199">
        <f t="shared" si="174"/>
        <v>394.66407283355869</v>
      </c>
      <c r="BU70" s="196">
        <f t="shared" si="175"/>
        <v>11107.343052175038</v>
      </c>
      <c r="BV70" s="197">
        <f t="shared" si="175"/>
        <v>1314.6968286440936</v>
      </c>
      <c r="BW70" s="197">
        <f t="shared" si="175"/>
        <v>11246.284083260436</v>
      </c>
      <c r="BX70" s="197">
        <f t="shared" si="176"/>
        <v>-138.94103108539659</v>
      </c>
      <c r="BY70" s="199">
        <f t="shared" si="177"/>
        <v>1175.7557975586974</v>
      </c>
      <c r="CB70" s="204">
        <f t="shared" si="205"/>
        <v>8</v>
      </c>
      <c r="CC70" s="219" t="s">
        <v>31</v>
      </c>
      <c r="CD70" s="760">
        <f>'Arable Inputs'!$H$18</f>
        <v>8.14</v>
      </c>
      <c r="CE70" s="760">
        <f>'Arable Inputs'!$H$25</f>
        <v>182.8</v>
      </c>
      <c r="CH70" s="762">
        <f>CD70*CE70</f>
        <v>1487.9920000000002</v>
      </c>
      <c r="CI70" s="197">
        <f>'Arable NPV'!$E150</f>
        <v>175.95</v>
      </c>
      <c r="CJ70" s="197">
        <f t="shared" si="178"/>
        <v>1663.9420000000002</v>
      </c>
      <c r="CK70" s="197">
        <f>'Arable NPV'!$G150</f>
        <v>574.23049999999989</v>
      </c>
      <c r="CL70" s="197">
        <f>'Arable NPV'!$H150</f>
        <v>636.366536</v>
      </c>
      <c r="CM70" s="197">
        <f t="shared" si="179"/>
        <v>1210.5970359999999</v>
      </c>
      <c r="CN70" s="197">
        <f t="shared" si="180"/>
        <v>277.3949640000003</v>
      </c>
      <c r="CO70" s="197">
        <f t="shared" si="181"/>
        <v>453.34496400000035</v>
      </c>
      <c r="CP70" s="196">
        <f t="shared" si="182"/>
        <v>868.22904022689318</v>
      </c>
      <c r="CQ70" s="197">
        <f t="shared" si="183"/>
        <v>102.66513504637244</v>
      </c>
      <c r="CR70" s="197">
        <f t="shared" si="184"/>
        <v>706.37174303880761</v>
      </c>
      <c r="CS70" s="197">
        <f t="shared" si="185"/>
        <v>161.85729718808557</v>
      </c>
      <c r="CT70" s="199">
        <f t="shared" si="186"/>
        <v>264.52243223445805</v>
      </c>
      <c r="CU70" s="196">
        <f t="shared" si="187"/>
        <v>9266.1149871247744</v>
      </c>
      <c r="CV70" s="197">
        <f t="shared" si="187"/>
        <v>1092.0108119203437</v>
      </c>
      <c r="CW70" s="197">
        <f t="shared" si="188"/>
        <v>9382.5579357115585</v>
      </c>
      <c r="CX70" s="197">
        <f t="shared" si="189"/>
        <v>-116.44294858678506</v>
      </c>
      <c r="CY70" s="199">
        <f t="shared" si="190"/>
        <v>975.56786333355888</v>
      </c>
      <c r="DB70" s="204">
        <f t="shared" si="191"/>
        <v>8</v>
      </c>
      <c r="DC70" s="219" t="s">
        <v>31</v>
      </c>
      <c r="DD70" s="760">
        <f>'Arable Inputs'!$H$18</f>
        <v>8.14</v>
      </c>
      <c r="DE70" s="760">
        <f>'Arable Inputs'!$H$25</f>
        <v>182.8</v>
      </c>
      <c r="DH70" s="762">
        <f>DD70*DE70</f>
        <v>1487.9920000000002</v>
      </c>
      <c r="DI70" s="197">
        <f>'Arable NPV'!$E150</f>
        <v>175.95</v>
      </c>
      <c r="DJ70" s="197">
        <f t="shared" si="192"/>
        <v>1663.9420000000002</v>
      </c>
      <c r="DK70" s="197">
        <f>'Arable NPV'!$G150</f>
        <v>574.23049999999989</v>
      </c>
      <c r="DL70" s="197">
        <f>'Arable NPV'!$H150</f>
        <v>636.366536</v>
      </c>
      <c r="DM70" s="197">
        <f t="shared" si="193"/>
        <v>1210.5970359999999</v>
      </c>
      <c r="DN70" s="197">
        <f t="shared" si="194"/>
        <v>277.3949640000003</v>
      </c>
      <c r="DO70" s="197">
        <f t="shared" si="195"/>
        <v>453.34496400000035</v>
      </c>
      <c r="DP70" s="196">
        <f t="shared" si="196"/>
        <v>1487.9920000000002</v>
      </c>
      <c r="DQ70" s="197">
        <f t="shared" si="197"/>
        <v>175.95</v>
      </c>
      <c r="DR70" s="197">
        <f t="shared" si="198"/>
        <v>1210.5970359999999</v>
      </c>
      <c r="DS70" s="197">
        <f t="shared" si="199"/>
        <v>277.3949640000003</v>
      </c>
      <c r="DT70" s="199">
        <f t="shared" si="200"/>
        <v>453.34496400000035</v>
      </c>
      <c r="DU70" s="196">
        <f t="shared" si="201"/>
        <v>11878.307000000001</v>
      </c>
      <c r="DV70" s="197">
        <f t="shared" si="201"/>
        <v>1407.6000000000001</v>
      </c>
      <c r="DW70" s="197">
        <f t="shared" si="201"/>
        <v>12023.894274857141</v>
      </c>
      <c r="DX70" s="197">
        <f t="shared" si="201"/>
        <v>-145.58727485714076</v>
      </c>
      <c r="DY70" s="199">
        <f t="shared" si="201"/>
        <v>1262.0127251428596</v>
      </c>
    </row>
    <row r="71" spans="2:129" x14ac:dyDescent="0.3">
      <c r="B71" s="204">
        <f t="shared" si="202"/>
        <v>9</v>
      </c>
      <c r="C71" s="219" t="s">
        <v>6</v>
      </c>
      <c r="D71" s="760">
        <f>'Arable Inputs'!$F$18</f>
        <v>3.3</v>
      </c>
      <c r="E71" s="760">
        <f>'Arable Inputs'!$F$25</f>
        <v>345.1</v>
      </c>
      <c r="F71" s="760">
        <f>'Arable Inputs'!$F$19</f>
        <v>2.6</v>
      </c>
      <c r="G71" s="760">
        <f>'Arable Inputs'!$F$26</f>
        <v>42.374999999999993</v>
      </c>
      <c r="H71" s="762">
        <f>D71*E71+F71*G71</f>
        <v>1249.0049999999999</v>
      </c>
      <c r="I71" s="197">
        <f>'Arable NPV'!$E151</f>
        <v>175.95</v>
      </c>
      <c r="J71" s="197">
        <f t="shared" si="145"/>
        <v>1424.9549999999999</v>
      </c>
      <c r="K71" s="197">
        <f>'Arable NPV'!$G151</f>
        <v>619.745</v>
      </c>
      <c r="L71" s="197">
        <f>'Arable NPV'!$H151</f>
        <v>710.23622685714281</v>
      </c>
      <c r="M71" s="197">
        <f t="shared" si="146"/>
        <v>1329.9812268571427</v>
      </c>
      <c r="N71" s="197">
        <f t="shared" si="147"/>
        <v>-80.976226857142819</v>
      </c>
      <c r="O71" s="197">
        <f t="shared" si="148"/>
        <v>94.973773142857226</v>
      </c>
      <c r="P71" s="196">
        <f t="shared" si="149"/>
        <v>912.63571949850268</v>
      </c>
      <c r="Q71" s="197">
        <f t="shared" si="150"/>
        <v>128.56494157009902</v>
      </c>
      <c r="R71" s="197">
        <f t="shared" si="151"/>
        <v>971.80425530103548</v>
      </c>
      <c r="S71" s="197">
        <f t="shared" si="152"/>
        <v>-59.16853580253283</v>
      </c>
      <c r="T71" s="199">
        <f t="shared" si="153"/>
        <v>69.39640576756625</v>
      </c>
      <c r="U71" s="196">
        <f t="shared" si="154"/>
        <v>11335.132773415495</v>
      </c>
      <c r="V71" s="197">
        <f t="shared" si="154"/>
        <v>1360.5764607475226</v>
      </c>
      <c r="W71" s="197">
        <f t="shared" si="154"/>
        <v>11526.014114204972</v>
      </c>
      <c r="X71" s="197">
        <f t="shared" si="154"/>
        <v>-190.88134078947948</v>
      </c>
      <c r="Y71" s="199">
        <f t="shared" si="154"/>
        <v>1169.6951199580433</v>
      </c>
      <c r="Z71" s="197"/>
      <c r="AB71" s="204">
        <f t="shared" si="203"/>
        <v>9</v>
      </c>
      <c r="AC71" s="219" t="s">
        <v>6</v>
      </c>
      <c r="AD71" s="760">
        <f>'Arable Inputs'!$F$18</f>
        <v>3.3</v>
      </c>
      <c r="AE71" s="760">
        <f>'Arable Inputs'!$F$25</f>
        <v>345.1</v>
      </c>
      <c r="AF71" s="760">
        <f>'Arable Inputs'!$F$19</f>
        <v>2.6</v>
      </c>
      <c r="AG71" s="760">
        <f>'Arable Inputs'!$F$26</f>
        <v>42.374999999999993</v>
      </c>
      <c r="AH71" s="762">
        <f>AD71*AE71+AF71*AG71</f>
        <v>1249.0049999999999</v>
      </c>
      <c r="AI71" s="197">
        <f>'Arable NPV'!$E151</f>
        <v>175.95</v>
      </c>
      <c r="AJ71" s="197">
        <f t="shared" si="155"/>
        <v>1424.9549999999999</v>
      </c>
      <c r="AK71" s="197">
        <f>'Arable NPV'!$G151</f>
        <v>619.745</v>
      </c>
      <c r="AL71" s="197">
        <f>'Arable NPV'!$H151</f>
        <v>710.23622685714281</v>
      </c>
      <c r="AM71" s="197">
        <f t="shared" si="156"/>
        <v>1329.9812268571427</v>
      </c>
      <c r="AN71" s="197">
        <f t="shared" si="157"/>
        <v>-80.976226857142819</v>
      </c>
      <c r="AO71" s="197">
        <f t="shared" si="158"/>
        <v>94.973773142857226</v>
      </c>
      <c r="AP71" s="196">
        <f t="shared" si="159"/>
        <v>783.64118886779795</v>
      </c>
      <c r="AQ71" s="197">
        <f t="shared" si="160"/>
        <v>110.39320673759437</v>
      </c>
      <c r="AR71" s="197">
        <f t="shared" si="161"/>
        <v>834.44667538255158</v>
      </c>
      <c r="AS71" s="197">
        <f t="shared" si="162"/>
        <v>-50.805486514753674</v>
      </c>
      <c r="AT71" s="199">
        <f t="shared" si="163"/>
        <v>59.58772022284073</v>
      </c>
      <c r="AU71" s="196">
        <f t="shared" si="164"/>
        <v>10595.692483533638</v>
      </c>
      <c r="AV71" s="197">
        <f t="shared" si="164"/>
        <v>1268.5632210400927</v>
      </c>
      <c r="AW71" s="197">
        <f t="shared" si="164"/>
        <v>10770.649127262192</v>
      </c>
      <c r="AX71" s="197">
        <f t="shared" si="164"/>
        <v>-174.95664372855251</v>
      </c>
      <c r="AY71" s="199">
        <f t="shared" si="165"/>
        <v>1093.6065773115401</v>
      </c>
      <c r="BB71" s="204">
        <f t="shared" si="204"/>
        <v>9</v>
      </c>
      <c r="BC71" s="219" t="s">
        <v>6</v>
      </c>
      <c r="BD71" s="760">
        <f>'Arable Inputs'!$F$18</f>
        <v>3.3</v>
      </c>
      <c r="BE71" s="760">
        <f>'Arable Inputs'!$F$25</f>
        <v>345.1</v>
      </c>
      <c r="BF71" s="760">
        <f>'Arable Inputs'!$F$19</f>
        <v>2.6</v>
      </c>
      <c r="BG71" s="760">
        <f>'Arable Inputs'!$F$26</f>
        <v>42.374999999999993</v>
      </c>
      <c r="BH71" s="762">
        <f>BD71*BE71+BF71*BG71</f>
        <v>1249.0049999999999</v>
      </c>
      <c r="BI71" s="197">
        <f>'Arable NPV'!$E151</f>
        <v>175.95</v>
      </c>
      <c r="BJ71" s="197">
        <f t="shared" si="166"/>
        <v>1424.9549999999999</v>
      </c>
      <c r="BK71" s="197">
        <f>'Arable NPV'!$G151</f>
        <v>619.745</v>
      </c>
      <c r="BL71" s="197">
        <f>'Arable NPV'!$H151</f>
        <v>710.23622685714281</v>
      </c>
      <c r="BM71" s="197">
        <f t="shared" si="167"/>
        <v>1329.9812268571427</v>
      </c>
      <c r="BN71" s="197">
        <f t="shared" si="168"/>
        <v>-80.976226857142819</v>
      </c>
      <c r="BO71" s="197">
        <f t="shared" si="169"/>
        <v>94.973773142857226</v>
      </c>
      <c r="BP71" s="196">
        <f t="shared" si="170"/>
        <v>1066.0137410683053</v>
      </c>
      <c r="BQ71" s="197">
        <f t="shared" si="171"/>
        <v>150.17163081090013</v>
      </c>
      <c r="BR71" s="197">
        <f t="shared" si="172"/>
        <v>1135.1261709861828</v>
      </c>
      <c r="BS71" s="197">
        <f t="shared" si="173"/>
        <v>-69.112429917877506</v>
      </c>
      <c r="BT71" s="199">
        <f t="shared" si="174"/>
        <v>81.059200893022663</v>
      </c>
      <c r="BU71" s="196">
        <f t="shared" si="175"/>
        <v>12173.356793243343</v>
      </c>
      <c r="BV71" s="197">
        <f t="shared" si="175"/>
        <v>1464.8684594549936</v>
      </c>
      <c r="BW71" s="197">
        <f t="shared" si="175"/>
        <v>12381.410254246619</v>
      </c>
      <c r="BX71" s="197">
        <f t="shared" si="176"/>
        <v>-208.05346100327409</v>
      </c>
      <c r="BY71" s="199">
        <f t="shared" si="177"/>
        <v>1256.8149984517202</v>
      </c>
      <c r="CB71" s="204">
        <f t="shared" si="205"/>
        <v>9</v>
      </c>
      <c r="CC71" s="219" t="s">
        <v>6</v>
      </c>
      <c r="CD71" s="760">
        <f>'Arable Inputs'!$F$18</f>
        <v>3.3</v>
      </c>
      <c r="CE71" s="760">
        <f>'Arable Inputs'!$F$25</f>
        <v>345.1</v>
      </c>
      <c r="CF71" s="760">
        <f>'Arable Inputs'!$F$19</f>
        <v>2.6</v>
      </c>
      <c r="CG71" s="760">
        <f>'Arable Inputs'!$F$26</f>
        <v>42.374999999999993</v>
      </c>
      <c r="CH71" s="762">
        <f>CD71*CE71+CF71*CG71</f>
        <v>1249.0049999999999</v>
      </c>
      <c r="CI71" s="197">
        <f>'Arable NPV'!$E151</f>
        <v>175.95</v>
      </c>
      <c r="CJ71" s="197">
        <f t="shared" si="178"/>
        <v>1424.9549999999999</v>
      </c>
      <c r="CK71" s="197">
        <f>'Arable NPV'!$G151</f>
        <v>619.745</v>
      </c>
      <c r="CL71" s="197">
        <f>'Arable NPV'!$H151</f>
        <v>710.23622685714281</v>
      </c>
      <c r="CM71" s="197">
        <f t="shared" si="179"/>
        <v>1329.9812268571427</v>
      </c>
      <c r="CN71" s="197">
        <f t="shared" si="180"/>
        <v>-80.976226857142819</v>
      </c>
      <c r="CO71" s="197">
        <f t="shared" si="181"/>
        <v>94.973773142857226</v>
      </c>
      <c r="CP71" s="196">
        <f t="shared" si="182"/>
        <v>674.79853808739017</v>
      </c>
      <c r="CQ71" s="197">
        <f t="shared" si="183"/>
        <v>95.060310228122631</v>
      </c>
      <c r="CR71" s="197">
        <f t="shared" si="184"/>
        <v>718.54747384267762</v>
      </c>
      <c r="CS71" s="197">
        <f t="shared" si="185"/>
        <v>-43.748935755287484</v>
      </c>
      <c r="CT71" s="199">
        <f t="shared" si="186"/>
        <v>51.311374472835176</v>
      </c>
      <c r="CU71" s="196">
        <f t="shared" si="187"/>
        <v>9940.913525212165</v>
      </c>
      <c r="CV71" s="197">
        <f t="shared" si="187"/>
        <v>1187.0711221484664</v>
      </c>
      <c r="CW71" s="197">
        <f t="shared" si="188"/>
        <v>10101.105409554237</v>
      </c>
      <c r="CX71" s="197">
        <f t="shared" si="189"/>
        <v>-160.19188434207254</v>
      </c>
      <c r="CY71" s="199">
        <f t="shared" si="190"/>
        <v>1026.879237806394</v>
      </c>
      <c r="DB71" s="204">
        <f t="shared" si="191"/>
        <v>9</v>
      </c>
      <c r="DC71" s="219" t="s">
        <v>6</v>
      </c>
      <c r="DD71" s="760">
        <f>'Arable Inputs'!$F$18</f>
        <v>3.3</v>
      </c>
      <c r="DE71" s="760">
        <f>'Arable Inputs'!$F$25</f>
        <v>345.1</v>
      </c>
      <c r="DF71" s="760">
        <f>'Arable Inputs'!$F$19</f>
        <v>2.6</v>
      </c>
      <c r="DG71" s="760">
        <f>'Arable Inputs'!$F$26</f>
        <v>42.374999999999993</v>
      </c>
      <c r="DH71" s="762">
        <f>DD71*DE71+DF71*DG71</f>
        <v>1249.0049999999999</v>
      </c>
      <c r="DI71" s="197">
        <f>'Arable NPV'!$E151</f>
        <v>175.95</v>
      </c>
      <c r="DJ71" s="197">
        <f t="shared" si="192"/>
        <v>1424.9549999999999</v>
      </c>
      <c r="DK71" s="197">
        <f>'Arable NPV'!$G151</f>
        <v>619.745</v>
      </c>
      <c r="DL71" s="197">
        <f>'Arable NPV'!$H151</f>
        <v>710.23622685714281</v>
      </c>
      <c r="DM71" s="197">
        <f t="shared" si="193"/>
        <v>1329.9812268571427</v>
      </c>
      <c r="DN71" s="197">
        <f t="shared" si="194"/>
        <v>-80.976226857142819</v>
      </c>
      <c r="DO71" s="197">
        <f t="shared" si="195"/>
        <v>94.973773142857226</v>
      </c>
      <c r="DP71" s="196">
        <f t="shared" si="196"/>
        <v>1249.0049999999999</v>
      </c>
      <c r="DQ71" s="197">
        <f t="shared" si="197"/>
        <v>175.95</v>
      </c>
      <c r="DR71" s="197">
        <f t="shared" si="198"/>
        <v>1329.9812268571427</v>
      </c>
      <c r="DS71" s="197">
        <f t="shared" si="199"/>
        <v>-80.976226857142819</v>
      </c>
      <c r="DT71" s="199">
        <f t="shared" si="200"/>
        <v>94.973773142857226</v>
      </c>
      <c r="DU71" s="196">
        <f t="shared" si="201"/>
        <v>13127.312</v>
      </c>
      <c r="DV71" s="197">
        <f t="shared" si="201"/>
        <v>1583.5500000000002</v>
      </c>
      <c r="DW71" s="197">
        <f t="shared" si="201"/>
        <v>13353.875501714283</v>
      </c>
      <c r="DX71" s="197">
        <f t="shared" si="201"/>
        <v>-226.56350171428357</v>
      </c>
      <c r="DY71" s="199">
        <f t="shared" si="201"/>
        <v>1356.9864982857168</v>
      </c>
    </row>
    <row r="72" spans="2:129" x14ac:dyDescent="0.3">
      <c r="B72" s="204">
        <f t="shared" si="202"/>
        <v>10</v>
      </c>
      <c r="C72" s="219" t="s">
        <v>5</v>
      </c>
      <c r="D72" s="760">
        <f>'Arable Inputs'!$E$18</f>
        <v>4.1100000000000003</v>
      </c>
      <c r="E72" s="760">
        <f>'Arable Inputs'!$E$25</f>
        <v>154.80000000000001</v>
      </c>
      <c r="F72" s="760">
        <f>'Arable Inputs'!$E$19</f>
        <v>3.5</v>
      </c>
      <c r="G72" s="760">
        <f>'Arable Inputs'!$E$26</f>
        <v>79.099999999999994</v>
      </c>
      <c r="H72" s="762">
        <f>D72*E72+F72*G72</f>
        <v>913.07799999999997</v>
      </c>
      <c r="I72" s="197">
        <f>'Arable NPV'!$E152</f>
        <v>175.95</v>
      </c>
      <c r="J72" s="197">
        <f t="shared" si="145"/>
        <v>1089.028</v>
      </c>
      <c r="K72" s="197">
        <f>'Arable NPV'!$G152</f>
        <v>468.64299999999992</v>
      </c>
      <c r="L72" s="197">
        <f>'Arable NPV'!$H152</f>
        <v>888.75536799999986</v>
      </c>
      <c r="M72" s="197">
        <f t="shared" si="146"/>
        <v>1357.3983679999997</v>
      </c>
      <c r="N72" s="197">
        <f t="shared" si="147"/>
        <v>-444.32036799999969</v>
      </c>
      <c r="O72" s="197">
        <f t="shared" si="148"/>
        <v>-268.37036799999964</v>
      </c>
      <c r="P72" s="196">
        <f t="shared" si="149"/>
        <v>641.51649134884735</v>
      </c>
      <c r="Q72" s="197">
        <f t="shared" si="150"/>
        <v>123.62013612509521</v>
      </c>
      <c r="R72" s="197">
        <f t="shared" si="151"/>
        <v>953.69008825315177</v>
      </c>
      <c r="S72" s="197">
        <f t="shared" si="152"/>
        <v>-312.17359690430442</v>
      </c>
      <c r="T72" s="199">
        <f t="shared" si="153"/>
        <v>-188.55346077920919</v>
      </c>
      <c r="U72" s="196">
        <f t="shared" si="154"/>
        <v>11976.649264764343</v>
      </c>
      <c r="V72" s="197">
        <f t="shared" si="154"/>
        <v>1484.1965968726179</v>
      </c>
      <c r="W72" s="197">
        <f t="shared" si="154"/>
        <v>12479.704202458124</v>
      </c>
      <c r="X72" s="197">
        <f t="shared" si="154"/>
        <v>-503.05493769378393</v>
      </c>
      <c r="Y72" s="199">
        <f t="shared" si="154"/>
        <v>981.14165917883406</v>
      </c>
      <c r="Z72" s="197"/>
      <c r="AB72" s="204">
        <f t="shared" si="203"/>
        <v>10</v>
      </c>
      <c r="AC72" s="219" t="s">
        <v>5</v>
      </c>
      <c r="AD72" s="760">
        <f>'Arable Inputs'!$E$18</f>
        <v>4.1100000000000003</v>
      </c>
      <c r="AE72" s="760">
        <f>'Arable Inputs'!$E$25</f>
        <v>154.80000000000001</v>
      </c>
      <c r="AF72" s="760">
        <f>'Arable Inputs'!$E$19</f>
        <v>3.5</v>
      </c>
      <c r="AG72" s="760">
        <f>'Arable Inputs'!$E$26</f>
        <v>79.099999999999994</v>
      </c>
      <c r="AH72" s="762">
        <f>AD72*AE72+AF72*AG72</f>
        <v>913.07799999999997</v>
      </c>
      <c r="AI72" s="197">
        <f>'Arable NPV'!$E152</f>
        <v>175.95</v>
      </c>
      <c r="AJ72" s="197">
        <f t="shared" si="155"/>
        <v>1089.028</v>
      </c>
      <c r="AK72" s="197">
        <f>'Arable NPV'!$G152</f>
        <v>468.64299999999992</v>
      </c>
      <c r="AL72" s="197">
        <f>'Arable NPV'!$H152</f>
        <v>888.75536799999986</v>
      </c>
      <c r="AM72" s="197">
        <f t="shared" si="156"/>
        <v>1357.3983679999997</v>
      </c>
      <c r="AN72" s="197">
        <f t="shared" si="157"/>
        <v>-444.32036799999969</v>
      </c>
      <c r="AO72" s="197">
        <f t="shared" si="158"/>
        <v>-268.37036799999964</v>
      </c>
      <c r="AP72" s="196">
        <f t="shared" si="159"/>
        <v>540.44946528306821</v>
      </c>
      <c r="AQ72" s="197">
        <f t="shared" si="160"/>
        <v>104.14453465810789</v>
      </c>
      <c r="AR72" s="197">
        <f t="shared" si="161"/>
        <v>803.44200841736324</v>
      </c>
      <c r="AS72" s="197">
        <f t="shared" si="162"/>
        <v>-262.99254313429509</v>
      </c>
      <c r="AT72" s="199">
        <f t="shared" si="163"/>
        <v>-158.84800847618718</v>
      </c>
      <c r="AU72" s="196">
        <f t="shared" si="164"/>
        <v>11136.141948816707</v>
      </c>
      <c r="AV72" s="197">
        <f t="shared" si="164"/>
        <v>1372.7077556982006</v>
      </c>
      <c r="AW72" s="197">
        <f t="shared" si="164"/>
        <v>11574.091135679555</v>
      </c>
      <c r="AX72" s="197">
        <f t="shared" si="164"/>
        <v>-437.94918686284757</v>
      </c>
      <c r="AY72" s="199">
        <f t="shared" si="165"/>
        <v>934.758568835353</v>
      </c>
      <c r="BB72" s="204">
        <f t="shared" si="204"/>
        <v>10</v>
      </c>
      <c r="BC72" s="219" t="s">
        <v>5</v>
      </c>
      <c r="BD72" s="760">
        <f>'Arable Inputs'!$E$18</f>
        <v>4.1100000000000003</v>
      </c>
      <c r="BE72" s="760">
        <f>'Arable Inputs'!$E$25</f>
        <v>154.80000000000001</v>
      </c>
      <c r="BF72" s="760">
        <f>'Arable Inputs'!$E$19</f>
        <v>3.5</v>
      </c>
      <c r="BG72" s="760">
        <f>'Arable Inputs'!$E$26</f>
        <v>79.099999999999994</v>
      </c>
      <c r="BH72" s="762">
        <f>BD72*BE72+BF72*BG72</f>
        <v>913.07799999999997</v>
      </c>
      <c r="BI72" s="197">
        <f>'Arable NPV'!$E152</f>
        <v>175.95</v>
      </c>
      <c r="BJ72" s="197">
        <f t="shared" si="166"/>
        <v>1089.028</v>
      </c>
      <c r="BK72" s="197">
        <f>'Arable NPV'!$G152</f>
        <v>468.64299999999992</v>
      </c>
      <c r="BL72" s="197">
        <f>'Arable NPV'!$H152</f>
        <v>888.75536799999986</v>
      </c>
      <c r="BM72" s="197">
        <f t="shared" si="167"/>
        <v>1357.3983679999997</v>
      </c>
      <c r="BN72" s="197">
        <f t="shared" si="168"/>
        <v>-444.32036799999969</v>
      </c>
      <c r="BO72" s="197">
        <f t="shared" si="169"/>
        <v>-268.37036799999964</v>
      </c>
      <c r="BP72" s="196">
        <f t="shared" si="170"/>
        <v>764.02282465247515</v>
      </c>
      <c r="BQ72" s="197">
        <f t="shared" si="171"/>
        <v>147.22708903029425</v>
      </c>
      <c r="BR72" s="197">
        <f t="shared" si="172"/>
        <v>1135.8102323109524</v>
      </c>
      <c r="BS72" s="197">
        <f t="shared" si="173"/>
        <v>-371.78740765847715</v>
      </c>
      <c r="BT72" s="199">
        <f t="shared" si="174"/>
        <v>-224.5603186281829</v>
      </c>
      <c r="BU72" s="196">
        <f t="shared" si="175"/>
        <v>12937.379617895818</v>
      </c>
      <c r="BV72" s="197">
        <f t="shared" si="175"/>
        <v>1612.095548485288</v>
      </c>
      <c r="BW72" s="197">
        <f t="shared" si="175"/>
        <v>13517.220486557571</v>
      </c>
      <c r="BX72" s="197">
        <f t="shared" si="176"/>
        <v>-579.8408686617513</v>
      </c>
      <c r="BY72" s="199">
        <f t="shared" si="177"/>
        <v>1032.2546798235373</v>
      </c>
      <c r="CB72" s="204">
        <f t="shared" si="205"/>
        <v>10</v>
      </c>
      <c r="CC72" s="219" t="s">
        <v>5</v>
      </c>
      <c r="CD72" s="760">
        <f>'Arable Inputs'!$E$18</f>
        <v>4.1100000000000003</v>
      </c>
      <c r="CE72" s="760">
        <f>'Arable Inputs'!$E$25</f>
        <v>154.80000000000001</v>
      </c>
      <c r="CF72" s="760">
        <f>'Arable Inputs'!$E$19</f>
        <v>3.5</v>
      </c>
      <c r="CG72" s="760">
        <f>'Arable Inputs'!$E$26</f>
        <v>79.099999999999994</v>
      </c>
      <c r="CH72" s="762">
        <f>CD72*CE72+CF72*CG72</f>
        <v>913.07799999999997</v>
      </c>
      <c r="CI72" s="197">
        <f>'Arable NPV'!$E152</f>
        <v>175.95</v>
      </c>
      <c r="CJ72" s="197">
        <f t="shared" si="178"/>
        <v>1089.028</v>
      </c>
      <c r="CK72" s="197">
        <f>'Arable NPV'!$G152</f>
        <v>468.64299999999992</v>
      </c>
      <c r="CL72" s="197">
        <f>'Arable NPV'!$H152</f>
        <v>888.75536799999986</v>
      </c>
      <c r="CM72" s="197">
        <f t="shared" si="179"/>
        <v>1357.3983679999997</v>
      </c>
      <c r="CN72" s="197">
        <f t="shared" si="180"/>
        <v>-444.32036799999969</v>
      </c>
      <c r="CO72" s="197">
        <f t="shared" si="181"/>
        <v>-268.37036799999964</v>
      </c>
      <c r="CP72" s="196">
        <f t="shared" si="182"/>
        <v>456.7663264104583</v>
      </c>
      <c r="CQ72" s="197">
        <f t="shared" si="183"/>
        <v>88.018805766780204</v>
      </c>
      <c r="CR72" s="197">
        <f t="shared" si="184"/>
        <v>679.03713157792788</v>
      </c>
      <c r="CS72" s="197">
        <f t="shared" si="185"/>
        <v>-222.2708051674696</v>
      </c>
      <c r="CT72" s="199">
        <f t="shared" si="186"/>
        <v>-134.25199940068939</v>
      </c>
      <c r="CU72" s="196">
        <f t="shared" si="187"/>
        <v>10397.679851622623</v>
      </c>
      <c r="CV72" s="197">
        <f t="shared" si="187"/>
        <v>1275.0899279152466</v>
      </c>
      <c r="CW72" s="197">
        <f t="shared" si="188"/>
        <v>10780.142541132165</v>
      </c>
      <c r="CX72" s="197">
        <f t="shared" si="189"/>
        <v>-382.46268950954214</v>
      </c>
      <c r="CY72" s="199">
        <f t="shared" si="190"/>
        <v>892.6272384057047</v>
      </c>
      <c r="DB72" s="204">
        <f t="shared" si="191"/>
        <v>10</v>
      </c>
      <c r="DC72" s="219" t="s">
        <v>5</v>
      </c>
      <c r="DD72" s="760">
        <f>'Arable Inputs'!$E$18</f>
        <v>4.1100000000000003</v>
      </c>
      <c r="DE72" s="760">
        <f>'Arable Inputs'!$E$25</f>
        <v>154.80000000000001</v>
      </c>
      <c r="DF72" s="760">
        <f>'Arable Inputs'!$E$19</f>
        <v>3.5</v>
      </c>
      <c r="DG72" s="760">
        <f>'Arable Inputs'!$E$26</f>
        <v>79.099999999999994</v>
      </c>
      <c r="DH72" s="762">
        <f>DD72*DE72+DF72*DG72</f>
        <v>913.07799999999997</v>
      </c>
      <c r="DI72" s="197">
        <f>'Arable NPV'!$E152</f>
        <v>175.95</v>
      </c>
      <c r="DJ72" s="197">
        <f t="shared" si="192"/>
        <v>1089.028</v>
      </c>
      <c r="DK72" s="197">
        <f>'Arable NPV'!$G152</f>
        <v>468.64299999999992</v>
      </c>
      <c r="DL72" s="197">
        <f>'Arable NPV'!$H152</f>
        <v>888.75536799999986</v>
      </c>
      <c r="DM72" s="197">
        <f t="shared" si="193"/>
        <v>1357.3983679999997</v>
      </c>
      <c r="DN72" s="197">
        <f t="shared" si="194"/>
        <v>-444.32036799999969</v>
      </c>
      <c r="DO72" s="197">
        <f t="shared" si="195"/>
        <v>-268.37036799999964</v>
      </c>
      <c r="DP72" s="196">
        <f t="shared" si="196"/>
        <v>913.07799999999997</v>
      </c>
      <c r="DQ72" s="197">
        <f t="shared" si="197"/>
        <v>175.95</v>
      </c>
      <c r="DR72" s="197">
        <f t="shared" si="198"/>
        <v>1357.3983679999997</v>
      </c>
      <c r="DS72" s="197">
        <f t="shared" si="199"/>
        <v>-444.32036799999969</v>
      </c>
      <c r="DT72" s="199">
        <f t="shared" si="200"/>
        <v>-268.37036799999964</v>
      </c>
      <c r="DU72" s="196">
        <f t="shared" si="201"/>
        <v>14040.39</v>
      </c>
      <c r="DV72" s="197">
        <f t="shared" si="201"/>
        <v>1759.5000000000002</v>
      </c>
      <c r="DW72" s="197">
        <f t="shared" si="201"/>
        <v>14711.273869714283</v>
      </c>
      <c r="DX72" s="197">
        <f t="shared" si="201"/>
        <v>-670.88386971428326</v>
      </c>
      <c r="DY72" s="199">
        <f t="shared" si="201"/>
        <v>1088.6161302857172</v>
      </c>
    </row>
    <row r="73" spans="2:129" x14ac:dyDescent="0.3">
      <c r="B73" s="204">
        <f t="shared" si="202"/>
        <v>11</v>
      </c>
      <c r="C73" s="219" t="s">
        <v>4</v>
      </c>
      <c r="D73" s="760">
        <f>'Arable Inputs'!$D$18</f>
        <v>7.45</v>
      </c>
      <c r="E73" s="760">
        <f>'Arable Inputs'!$D$25</f>
        <v>193.7</v>
      </c>
      <c r="F73" s="760">
        <f>'Arable Inputs'!$D$19</f>
        <v>3.9</v>
      </c>
      <c r="G73" s="760">
        <f>'Arable Inputs'!$D$26</f>
        <v>73.449999999999989</v>
      </c>
      <c r="H73" s="762">
        <f>D73*E73+F73*G73</f>
        <v>1729.52</v>
      </c>
      <c r="I73" s="197">
        <f>'Arable NPV'!$E153</f>
        <v>175.95</v>
      </c>
      <c r="J73" s="197">
        <f t="shared" si="145"/>
        <v>1905.47</v>
      </c>
      <c r="K73" s="197">
        <f>'Arable NPV'!$G153</f>
        <v>671.92799999999988</v>
      </c>
      <c r="L73" s="197">
        <f>'Arable NPV'!$H153</f>
        <v>969.47373599999992</v>
      </c>
      <c r="M73" s="197">
        <f t="shared" si="146"/>
        <v>1641.4017359999998</v>
      </c>
      <c r="N73" s="197">
        <f t="shared" si="147"/>
        <v>88.118264000000181</v>
      </c>
      <c r="O73" s="197">
        <f t="shared" si="148"/>
        <v>264.06826400000023</v>
      </c>
      <c r="P73" s="196">
        <f t="shared" si="149"/>
        <v>1168.4017412675951</v>
      </c>
      <c r="Q73" s="197">
        <f t="shared" si="150"/>
        <v>118.86551550489925</v>
      </c>
      <c r="R73" s="197">
        <f t="shared" si="151"/>
        <v>1108.8721994900627</v>
      </c>
      <c r="S73" s="197">
        <f t="shared" si="152"/>
        <v>59.529541777532408</v>
      </c>
      <c r="T73" s="199">
        <f t="shared" si="153"/>
        <v>178.39505728243171</v>
      </c>
      <c r="U73" s="196">
        <f t="shared" si="154"/>
        <v>13145.051006031938</v>
      </c>
      <c r="V73" s="197">
        <f t="shared" si="154"/>
        <v>1603.0621123775172</v>
      </c>
      <c r="W73" s="197">
        <f t="shared" si="154"/>
        <v>13588.576401948187</v>
      </c>
      <c r="X73" s="197">
        <f t="shared" si="154"/>
        <v>-443.52539591625151</v>
      </c>
      <c r="Y73" s="199">
        <f t="shared" si="154"/>
        <v>1159.5367164612658</v>
      </c>
      <c r="Z73" s="197"/>
      <c r="AB73" s="204">
        <f t="shared" si="203"/>
        <v>11</v>
      </c>
      <c r="AC73" s="219" t="s">
        <v>4</v>
      </c>
      <c r="AD73" s="760">
        <f>'Arable Inputs'!$D$18</f>
        <v>7.45</v>
      </c>
      <c r="AE73" s="760">
        <f>'Arable Inputs'!$D$25</f>
        <v>193.7</v>
      </c>
      <c r="AF73" s="760">
        <f>'Arable Inputs'!$D$19</f>
        <v>3.9</v>
      </c>
      <c r="AG73" s="760">
        <f>'Arable Inputs'!$D$26</f>
        <v>73.449999999999989</v>
      </c>
      <c r="AH73" s="762">
        <f>AD73*AE73+AF73*AG73</f>
        <v>1729.52</v>
      </c>
      <c r="AI73" s="197">
        <f>'Arable NPV'!$E153</f>
        <v>175.95</v>
      </c>
      <c r="AJ73" s="197">
        <f t="shared" si="155"/>
        <v>1905.47</v>
      </c>
      <c r="AK73" s="197">
        <f>'Arable NPV'!$G153</f>
        <v>671.92799999999988</v>
      </c>
      <c r="AL73" s="197">
        <f>'Arable NPV'!$H153</f>
        <v>969.47373599999992</v>
      </c>
      <c r="AM73" s="197">
        <f t="shared" si="156"/>
        <v>1641.4017359999998</v>
      </c>
      <c r="AN73" s="197">
        <f t="shared" si="157"/>
        <v>88.118264000000181</v>
      </c>
      <c r="AO73" s="197">
        <f t="shared" si="158"/>
        <v>264.06826400000023</v>
      </c>
      <c r="AP73" s="196">
        <f t="shared" si="159"/>
        <v>965.7549345702347</v>
      </c>
      <c r="AQ73" s="197">
        <f t="shared" si="160"/>
        <v>98.249560998214989</v>
      </c>
      <c r="AR73" s="197">
        <f t="shared" si="161"/>
        <v>916.55015620180711</v>
      </c>
      <c r="AS73" s="197">
        <f t="shared" si="162"/>
        <v>49.204778368427561</v>
      </c>
      <c r="AT73" s="199">
        <f t="shared" si="163"/>
        <v>147.45433936664259</v>
      </c>
      <c r="AU73" s="196">
        <f t="shared" si="164"/>
        <v>12101.896883386942</v>
      </c>
      <c r="AV73" s="197">
        <f t="shared" si="164"/>
        <v>1470.9573166964155</v>
      </c>
      <c r="AW73" s="197">
        <f t="shared" si="164"/>
        <v>12490.641291881362</v>
      </c>
      <c r="AX73" s="197">
        <f t="shared" si="164"/>
        <v>-388.74440849441999</v>
      </c>
      <c r="AY73" s="199">
        <f t="shared" si="165"/>
        <v>1082.2129082019956</v>
      </c>
      <c r="BB73" s="204">
        <f t="shared" si="204"/>
        <v>11</v>
      </c>
      <c r="BC73" s="219" t="s">
        <v>4</v>
      </c>
      <c r="BD73" s="760">
        <f>'Arable Inputs'!$D$18</f>
        <v>7.45</v>
      </c>
      <c r="BE73" s="760">
        <f>'Arable Inputs'!$D$25</f>
        <v>193.7</v>
      </c>
      <c r="BF73" s="760">
        <f>'Arable Inputs'!$D$19</f>
        <v>3.9</v>
      </c>
      <c r="BG73" s="760">
        <f>'Arable Inputs'!$D$26</f>
        <v>73.449999999999989</v>
      </c>
      <c r="BH73" s="762">
        <f>BD73*BE73+BF73*BG73</f>
        <v>1729.52</v>
      </c>
      <c r="BI73" s="197">
        <f>'Arable NPV'!$E153</f>
        <v>175.95</v>
      </c>
      <c r="BJ73" s="197">
        <f t="shared" si="166"/>
        <v>1905.47</v>
      </c>
      <c r="BK73" s="197">
        <f>'Arable NPV'!$G153</f>
        <v>671.92799999999988</v>
      </c>
      <c r="BL73" s="197">
        <f>'Arable NPV'!$H153</f>
        <v>969.47373599999992</v>
      </c>
      <c r="BM73" s="197">
        <f t="shared" si="167"/>
        <v>1641.4017359999998</v>
      </c>
      <c r="BN73" s="197">
        <f t="shared" si="168"/>
        <v>88.118264000000181</v>
      </c>
      <c r="BO73" s="197">
        <f t="shared" si="169"/>
        <v>264.06826400000023</v>
      </c>
      <c r="BP73" s="196">
        <f t="shared" si="170"/>
        <v>1418.8087916000786</v>
      </c>
      <c r="BQ73" s="197">
        <f t="shared" si="171"/>
        <v>144.34028336303356</v>
      </c>
      <c r="BR73" s="197">
        <f t="shared" si="172"/>
        <v>1346.5211235397283</v>
      </c>
      <c r="BS73" s="197">
        <f t="shared" si="173"/>
        <v>72.287668060350256</v>
      </c>
      <c r="BT73" s="199">
        <f t="shared" si="174"/>
        <v>216.62795142338385</v>
      </c>
      <c r="BU73" s="196">
        <f t="shared" si="175"/>
        <v>14356.188409495897</v>
      </c>
      <c r="BV73" s="197">
        <f t="shared" si="175"/>
        <v>1756.4358318483214</v>
      </c>
      <c r="BW73" s="197">
        <f t="shared" si="175"/>
        <v>14863.741610097299</v>
      </c>
      <c r="BX73" s="197">
        <f t="shared" si="176"/>
        <v>-507.55320060140104</v>
      </c>
      <c r="BY73" s="199">
        <f t="shared" si="177"/>
        <v>1248.8826312469212</v>
      </c>
      <c r="CB73" s="204">
        <f t="shared" si="205"/>
        <v>11</v>
      </c>
      <c r="CC73" s="219" t="s">
        <v>4</v>
      </c>
      <c r="CD73" s="760">
        <f>'Arable Inputs'!$D$18</f>
        <v>7.45</v>
      </c>
      <c r="CE73" s="760">
        <f>'Arable Inputs'!$D$25</f>
        <v>193.7</v>
      </c>
      <c r="CF73" s="760">
        <f>'Arable Inputs'!$D$19</f>
        <v>3.9</v>
      </c>
      <c r="CG73" s="760">
        <f>'Arable Inputs'!$D$26</f>
        <v>73.449999999999989</v>
      </c>
      <c r="CH73" s="762">
        <f>CD73*CE73+CF73*CG73</f>
        <v>1729.52</v>
      </c>
      <c r="CI73" s="197">
        <f>'Arable NPV'!$E153</f>
        <v>175.95</v>
      </c>
      <c r="CJ73" s="197">
        <f t="shared" si="178"/>
        <v>1905.47</v>
      </c>
      <c r="CK73" s="197">
        <f>'Arable NPV'!$G153</f>
        <v>671.92799999999988</v>
      </c>
      <c r="CL73" s="197">
        <f>'Arable NPV'!$H153</f>
        <v>969.47373599999992</v>
      </c>
      <c r="CM73" s="197">
        <f t="shared" si="179"/>
        <v>1641.4017359999998</v>
      </c>
      <c r="CN73" s="197">
        <f t="shared" si="180"/>
        <v>88.118264000000181</v>
      </c>
      <c r="CO73" s="197">
        <f t="shared" si="181"/>
        <v>264.06826400000023</v>
      </c>
      <c r="CP73" s="196">
        <f t="shared" si="182"/>
        <v>801.10240151222308</v>
      </c>
      <c r="CQ73" s="197">
        <f t="shared" si="183"/>
        <v>81.498894228500191</v>
      </c>
      <c r="CR73" s="197">
        <f t="shared" si="184"/>
        <v>760.28659544609593</v>
      </c>
      <c r="CS73" s="197">
        <f t="shared" si="185"/>
        <v>40.815806066127145</v>
      </c>
      <c r="CT73" s="199">
        <f t="shared" si="186"/>
        <v>122.31470029462736</v>
      </c>
      <c r="CU73" s="196">
        <f t="shared" si="187"/>
        <v>11198.782253134847</v>
      </c>
      <c r="CV73" s="197">
        <f t="shared" si="187"/>
        <v>1356.5888221437467</v>
      </c>
      <c r="CW73" s="197">
        <f t="shared" si="188"/>
        <v>11540.429136578261</v>
      </c>
      <c r="CX73" s="197">
        <f t="shared" si="189"/>
        <v>-341.64688344341499</v>
      </c>
      <c r="CY73" s="199">
        <f t="shared" si="190"/>
        <v>1014.941938700332</v>
      </c>
      <c r="DB73" s="204">
        <f t="shared" si="191"/>
        <v>11</v>
      </c>
      <c r="DC73" s="219" t="s">
        <v>4</v>
      </c>
      <c r="DD73" s="760">
        <f>'Arable Inputs'!$D$18</f>
        <v>7.45</v>
      </c>
      <c r="DE73" s="760">
        <f>'Arable Inputs'!$D$25</f>
        <v>193.7</v>
      </c>
      <c r="DF73" s="760">
        <f>'Arable Inputs'!$D$19</f>
        <v>3.9</v>
      </c>
      <c r="DG73" s="760">
        <f>'Arable Inputs'!$D$26</f>
        <v>73.449999999999989</v>
      </c>
      <c r="DH73" s="762">
        <f>DD73*DE73+DF73*DG73</f>
        <v>1729.52</v>
      </c>
      <c r="DI73" s="197">
        <f>'Arable NPV'!$E153</f>
        <v>175.95</v>
      </c>
      <c r="DJ73" s="197">
        <f t="shared" si="192"/>
        <v>1905.47</v>
      </c>
      <c r="DK73" s="197">
        <f>'Arable NPV'!$G153</f>
        <v>671.92799999999988</v>
      </c>
      <c r="DL73" s="197">
        <f>'Arable NPV'!$H153</f>
        <v>969.47373599999992</v>
      </c>
      <c r="DM73" s="197">
        <f t="shared" si="193"/>
        <v>1641.4017359999998</v>
      </c>
      <c r="DN73" s="197">
        <f t="shared" si="194"/>
        <v>88.118264000000181</v>
      </c>
      <c r="DO73" s="197">
        <f t="shared" si="195"/>
        <v>264.06826400000023</v>
      </c>
      <c r="DP73" s="196">
        <f t="shared" si="196"/>
        <v>1729.52</v>
      </c>
      <c r="DQ73" s="197">
        <f t="shared" si="197"/>
        <v>175.95</v>
      </c>
      <c r="DR73" s="197">
        <f t="shared" si="198"/>
        <v>1641.4017359999998</v>
      </c>
      <c r="DS73" s="197">
        <f t="shared" si="199"/>
        <v>88.118264000000181</v>
      </c>
      <c r="DT73" s="199">
        <f t="shared" si="200"/>
        <v>264.06826400000023</v>
      </c>
      <c r="DU73" s="196">
        <f t="shared" si="201"/>
        <v>15769.91</v>
      </c>
      <c r="DV73" s="197">
        <f t="shared" si="201"/>
        <v>1935.4500000000003</v>
      </c>
      <c r="DW73" s="197">
        <f t="shared" si="201"/>
        <v>16352.675605714283</v>
      </c>
      <c r="DX73" s="197">
        <f t="shared" si="201"/>
        <v>-582.76560571428308</v>
      </c>
      <c r="DY73" s="199">
        <f t="shared" si="201"/>
        <v>1352.6843942857174</v>
      </c>
    </row>
    <row r="74" spans="2:129" x14ac:dyDescent="0.3">
      <c r="B74" s="204">
        <f t="shared" si="202"/>
        <v>12</v>
      </c>
      <c r="C74" s="219" t="s">
        <v>7</v>
      </c>
      <c r="D74" s="760">
        <f>'Arable Inputs'!$G$18</f>
        <v>63.1</v>
      </c>
      <c r="E74" s="760">
        <f>'Arable Inputs'!$G$25</f>
        <v>26</v>
      </c>
      <c r="H74" s="762">
        <f>D74*E74</f>
        <v>1640.6000000000001</v>
      </c>
      <c r="I74" s="197">
        <f>'Arable NPV'!$E154</f>
        <v>175.95</v>
      </c>
      <c r="J74" s="197">
        <f t="shared" si="145"/>
        <v>1816.5500000000002</v>
      </c>
      <c r="K74" s="197">
        <f>'Arable NPV'!$G154</f>
        <v>819.30399999999986</v>
      </c>
      <c r="L74" s="197">
        <f>'Arable NPV'!$H154</f>
        <v>996.95456799999988</v>
      </c>
      <c r="M74" s="197">
        <f t="shared" si="146"/>
        <v>1816.2585679999997</v>
      </c>
      <c r="N74" s="197">
        <f t="shared" si="147"/>
        <v>-175.6585679999996</v>
      </c>
      <c r="O74" s="197">
        <f t="shared" si="148"/>
        <v>0.29143200000044089</v>
      </c>
      <c r="P74" s="196">
        <f t="shared" si="149"/>
        <v>1065.7024763226973</v>
      </c>
      <c r="Q74" s="197">
        <f t="shared" si="150"/>
        <v>114.29376490855698</v>
      </c>
      <c r="R74" s="197">
        <f t="shared" si="151"/>
        <v>1179.8069325612068</v>
      </c>
      <c r="S74" s="197">
        <f t="shared" si="152"/>
        <v>-114.10445623850939</v>
      </c>
      <c r="T74" s="199">
        <f t="shared" si="153"/>
        <v>0.18930867004763269</v>
      </c>
      <c r="U74" s="196">
        <f t="shared" si="154"/>
        <v>14210.753482354634</v>
      </c>
      <c r="V74" s="197">
        <f t="shared" si="154"/>
        <v>1717.3558772860742</v>
      </c>
      <c r="W74" s="197">
        <f t="shared" si="154"/>
        <v>14768.383334509394</v>
      </c>
      <c r="X74" s="197">
        <f t="shared" si="154"/>
        <v>-557.6298521547609</v>
      </c>
      <c r="Y74" s="199">
        <f t="shared" si="154"/>
        <v>1159.7260251313135</v>
      </c>
      <c r="Z74" s="197"/>
      <c r="AB74" s="204">
        <f t="shared" si="203"/>
        <v>12</v>
      </c>
      <c r="AC74" s="219" t="s">
        <v>7</v>
      </c>
      <c r="AD74" s="760">
        <f>'Arable Inputs'!$G$18</f>
        <v>63.1</v>
      </c>
      <c r="AE74" s="760">
        <f>'Arable Inputs'!$G$25</f>
        <v>26</v>
      </c>
      <c r="AH74" s="762">
        <f>AD74*AE74</f>
        <v>1640.6000000000001</v>
      </c>
      <c r="AI74" s="197">
        <f>'Arable NPV'!$E154</f>
        <v>175.95</v>
      </c>
      <c r="AJ74" s="197">
        <f t="shared" si="155"/>
        <v>1816.5500000000002</v>
      </c>
      <c r="AK74" s="197">
        <f>'Arable NPV'!$G154</f>
        <v>819.30399999999986</v>
      </c>
      <c r="AL74" s="197">
        <f>'Arable NPV'!$H154</f>
        <v>996.95456799999988</v>
      </c>
      <c r="AM74" s="197">
        <f t="shared" si="156"/>
        <v>1816.2585679999997</v>
      </c>
      <c r="AN74" s="197">
        <f t="shared" si="157"/>
        <v>-175.6585679999996</v>
      </c>
      <c r="AO74" s="197">
        <f t="shared" si="158"/>
        <v>0.29143200000044089</v>
      </c>
      <c r="AP74" s="196">
        <f t="shared" si="159"/>
        <v>864.24761415749276</v>
      </c>
      <c r="AQ74" s="197">
        <f t="shared" si="160"/>
        <v>92.688265092655627</v>
      </c>
      <c r="AR74" s="197">
        <f t="shared" si="161"/>
        <v>956.78235650804822</v>
      </c>
      <c r="AS74" s="197">
        <f t="shared" si="162"/>
        <v>-92.534742350555504</v>
      </c>
      <c r="AT74" s="199">
        <f t="shared" si="163"/>
        <v>0.15352274210016301</v>
      </c>
      <c r="AU74" s="196">
        <f t="shared" si="164"/>
        <v>12966.144497544436</v>
      </c>
      <c r="AV74" s="197">
        <f t="shared" si="164"/>
        <v>1563.6455817890712</v>
      </c>
      <c r="AW74" s="197">
        <f t="shared" si="164"/>
        <v>13447.423648389411</v>
      </c>
      <c r="AX74" s="197">
        <f t="shared" si="164"/>
        <v>-481.2791508449755</v>
      </c>
      <c r="AY74" s="199">
        <f t="shared" si="165"/>
        <v>1082.3664309440958</v>
      </c>
      <c r="BB74" s="204">
        <f t="shared" si="204"/>
        <v>12</v>
      </c>
      <c r="BC74" s="219" t="s">
        <v>7</v>
      </c>
      <c r="BD74" s="760">
        <f>'Arable Inputs'!$G$18</f>
        <v>63.1</v>
      </c>
      <c r="BE74" s="760">
        <f>'Arable Inputs'!$G$25</f>
        <v>26</v>
      </c>
      <c r="BH74" s="762">
        <f>BD74*BE74</f>
        <v>1640.6000000000001</v>
      </c>
      <c r="BI74" s="197">
        <f>'Arable NPV'!$E154</f>
        <v>175.95</v>
      </c>
      <c r="BJ74" s="197">
        <f t="shared" si="166"/>
        <v>1816.5500000000002</v>
      </c>
      <c r="BK74" s="197">
        <f>'Arable NPV'!$G154</f>
        <v>819.30399999999986</v>
      </c>
      <c r="BL74" s="197">
        <f>'Arable NPV'!$H154</f>
        <v>996.95456799999988</v>
      </c>
      <c r="BM74" s="197">
        <f t="shared" si="167"/>
        <v>1816.2585679999997</v>
      </c>
      <c r="BN74" s="197">
        <f t="shared" si="168"/>
        <v>-175.6585679999996</v>
      </c>
      <c r="BO74" s="197">
        <f t="shared" si="169"/>
        <v>0.29143200000044089</v>
      </c>
      <c r="BP74" s="196">
        <f t="shared" si="170"/>
        <v>1319.4739419364512</v>
      </c>
      <c r="BQ74" s="197">
        <f t="shared" si="171"/>
        <v>141.51008172846431</v>
      </c>
      <c r="BR74" s="197">
        <f t="shared" si="172"/>
        <v>1460.7496356789061</v>
      </c>
      <c r="BS74" s="197">
        <f t="shared" si="173"/>
        <v>-141.27569374245496</v>
      </c>
      <c r="BT74" s="199">
        <f t="shared" si="174"/>
        <v>0.23438798600939018</v>
      </c>
      <c r="BU74" s="196">
        <f t="shared" si="175"/>
        <v>15675.662351432347</v>
      </c>
      <c r="BV74" s="197">
        <f t="shared" si="175"/>
        <v>1897.9459135767856</v>
      </c>
      <c r="BW74" s="197">
        <f t="shared" si="175"/>
        <v>16324.491245776204</v>
      </c>
      <c r="BX74" s="197">
        <f t="shared" si="176"/>
        <v>-648.82889434385606</v>
      </c>
      <c r="BY74" s="199">
        <f t="shared" si="177"/>
        <v>1249.1170192329305</v>
      </c>
      <c r="CB74" s="204">
        <f t="shared" si="205"/>
        <v>12</v>
      </c>
      <c r="CC74" s="219" t="s">
        <v>7</v>
      </c>
      <c r="CD74" s="760">
        <f>'Arable Inputs'!$G$18</f>
        <v>63.1</v>
      </c>
      <c r="CE74" s="760">
        <f>'Arable Inputs'!$G$25</f>
        <v>26</v>
      </c>
      <c r="CH74" s="762">
        <f>CD74*CE74</f>
        <v>1640.6000000000001</v>
      </c>
      <c r="CI74" s="197">
        <f>'Arable NPV'!$E154</f>
        <v>175.95</v>
      </c>
      <c r="CJ74" s="197">
        <f t="shared" si="178"/>
        <v>1816.5500000000002</v>
      </c>
      <c r="CK74" s="197">
        <f>'Arable NPV'!$G154</f>
        <v>819.30399999999986</v>
      </c>
      <c r="CL74" s="197">
        <f>'Arable NPV'!$H154</f>
        <v>996.95456799999988</v>
      </c>
      <c r="CM74" s="197">
        <f t="shared" si="179"/>
        <v>1816.2585679999997</v>
      </c>
      <c r="CN74" s="197">
        <f t="shared" si="180"/>
        <v>-175.6585679999996</v>
      </c>
      <c r="CO74" s="197">
        <f t="shared" si="181"/>
        <v>0.29143200000044089</v>
      </c>
      <c r="CP74" s="196">
        <f t="shared" si="182"/>
        <v>703.62521902938249</v>
      </c>
      <c r="CQ74" s="197">
        <f t="shared" si="183"/>
        <v>75.461939100463141</v>
      </c>
      <c r="CR74" s="197">
        <f t="shared" si="184"/>
        <v>778.96216794038298</v>
      </c>
      <c r="CS74" s="197">
        <f t="shared" si="185"/>
        <v>-75.336948911000476</v>
      </c>
      <c r="CT74" s="199">
        <f t="shared" si="186"/>
        <v>0.12499018946268511</v>
      </c>
      <c r="CU74" s="196">
        <f t="shared" si="187"/>
        <v>11902.407472164228</v>
      </c>
      <c r="CV74" s="197">
        <f t="shared" si="187"/>
        <v>1432.0507612442098</v>
      </c>
      <c r="CW74" s="197">
        <f t="shared" si="188"/>
        <v>12319.391304518644</v>
      </c>
      <c r="CX74" s="197">
        <f t="shared" si="189"/>
        <v>-416.98383235441548</v>
      </c>
      <c r="CY74" s="199">
        <f t="shared" si="190"/>
        <v>1015.0669288897947</v>
      </c>
      <c r="DB74" s="204">
        <f t="shared" si="191"/>
        <v>12</v>
      </c>
      <c r="DC74" s="219" t="s">
        <v>7</v>
      </c>
      <c r="DD74" s="760">
        <f>'Arable Inputs'!$G$18</f>
        <v>63.1</v>
      </c>
      <c r="DE74" s="760">
        <f>'Arable Inputs'!$G$25</f>
        <v>26</v>
      </c>
      <c r="DH74" s="762">
        <f>DD74*DE74</f>
        <v>1640.6000000000001</v>
      </c>
      <c r="DI74" s="197">
        <f>'Arable NPV'!$E154</f>
        <v>175.95</v>
      </c>
      <c r="DJ74" s="197">
        <f t="shared" si="192"/>
        <v>1816.5500000000002</v>
      </c>
      <c r="DK74" s="197">
        <f>'Arable NPV'!$G154</f>
        <v>819.30399999999986</v>
      </c>
      <c r="DL74" s="197">
        <f>'Arable NPV'!$H154</f>
        <v>996.95456799999988</v>
      </c>
      <c r="DM74" s="197">
        <f t="shared" si="193"/>
        <v>1816.2585679999997</v>
      </c>
      <c r="DN74" s="197">
        <f t="shared" si="194"/>
        <v>-175.6585679999996</v>
      </c>
      <c r="DO74" s="197">
        <f t="shared" si="195"/>
        <v>0.29143200000044089</v>
      </c>
      <c r="DP74" s="196">
        <f t="shared" si="196"/>
        <v>1640.6000000000001</v>
      </c>
      <c r="DQ74" s="197">
        <f t="shared" si="197"/>
        <v>175.95</v>
      </c>
      <c r="DR74" s="197">
        <f t="shared" si="198"/>
        <v>1816.2585679999997</v>
      </c>
      <c r="DS74" s="197">
        <f t="shared" si="199"/>
        <v>-175.6585679999996</v>
      </c>
      <c r="DT74" s="199">
        <f t="shared" si="200"/>
        <v>0.29143200000044089</v>
      </c>
      <c r="DU74" s="196">
        <f t="shared" si="201"/>
        <v>17410.509999999998</v>
      </c>
      <c r="DV74" s="197">
        <f t="shared" si="201"/>
        <v>2111.4</v>
      </c>
      <c r="DW74" s="197">
        <f t="shared" si="201"/>
        <v>18168.934173714282</v>
      </c>
      <c r="DX74" s="197">
        <f t="shared" si="201"/>
        <v>-758.42417371428269</v>
      </c>
      <c r="DY74" s="199">
        <f t="shared" si="201"/>
        <v>1352.9758262857179</v>
      </c>
    </row>
    <row r="75" spans="2:129" x14ac:dyDescent="0.3">
      <c r="B75" s="204">
        <f t="shared" si="202"/>
        <v>13</v>
      </c>
      <c r="C75" s="219" t="s">
        <v>31</v>
      </c>
      <c r="D75" s="760">
        <f>'Arable Inputs'!$H$18</f>
        <v>8.14</v>
      </c>
      <c r="E75" s="760">
        <f>'Arable Inputs'!$H$25</f>
        <v>182.8</v>
      </c>
      <c r="H75" s="762">
        <f>D75*E75</f>
        <v>1487.9920000000002</v>
      </c>
      <c r="I75" s="197">
        <f>'Arable NPV'!$E155</f>
        <v>175.95</v>
      </c>
      <c r="J75" s="197">
        <f t="shared" si="145"/>
        <v>1663.9420000000002</v>
      </c>
      <c r="K75" s="197">
        <f>'Arable NPV'!$G155</f>
        <v>574.23049999999989</v>
      </c>
      <c r="L75" s="197">
        <f>'Arable NPV'!$H155</f>
        <v>636.366536</v>
      </c>
      <c r="M75" s="197">
        <f t="shared" si="146"/>
        <v>1210.5970359999999</v>
      </c>
      <c r="N75" s="197">
        <f t="shared" si="147"/>
        <v>277.3949640000003</v>
      </c>
      <c r="O75" s="197">
        <f t="shared" si="148"/>
        <v>453.34496400000035</v>
      </c>
      <c r="P75" s="196">
        <f t="shared" si="149"/>
        <v>929.39541299874043</v>
      </c>
      <c r="Q75" s="197">
        <f t="shared" si="150"/>
        <v>109.89785087361246</v>
      </c>
      <c r="R75" s="197">
        <f t="shared" si="151"/>
        <v>756.13533691597183</v>
      </c>
      <c r="S75" s="197">
        <f t="shared" si="152"/>
        <v>173.26007608276856</v>
      </c>
      <c r="T75" s="199">
        <f t="shared" si="153"/>
        <v>283.15792695638106</v>
      </c>
      <c r="U75" s="196">
        <f t="shared" si="154"/>
        <v>15140.148895353374</v>
      </c>
      <c r="V75" s="197">
        <f t="shared" si="154"/>
        <v>1827.2537281596867</v>
      </c>
      <c r="W75" s="197">
        <f t="shared" si="154"/>
        <v>15524.518671425365</v>
      </c>
      <c r="X75" s="197">
        <f t="shared" si="154"/>
        <v>-384.36977607199231</v>
      </c>
      <c r="Y75" s="199">
        <f t="shared" si="154"/>
        <v>1442.8839520876945</v>
      </c>
      <c r="Z75" s="197"/>
      <c r="AB75" s="204">
        <f t="shared" si="203"/>
        <v>13</v>
      </c>
      <c r="AC75" s="219" t="s">
        <v>31</v>
      </c>
      <c r="AD75" s="760">
        <f>'Arable Inputs'!$H$18</f>
        <v>8.14</v>
      </c>
      <c r="AE75" s="760">
        <f>'Arable Inputs'!$H$25</f>
        <v>182.8</v>
      </c>
      <c r="AH75" s="762">
        <f>AD75*AE75</f>
        <v>1487.9920000000002</v>
      </c>
      <c r="AI75" s="197">
        <f>'Arable NPV'!$E155</f>
        <v>175.95</v>
      </c>
      <c r="AJ75" s="197">
        <f t="shared" si="155"/>
        <v>1663.9420000000002</v>
      </c>
      <c r="AK75" s="197">
        <f>'Arable NPV'!$G155</f>
        <v>574.23049999999989</v>
      </c>
      <c r="AL75" s="197">
        <f>'Arable NPV'!$H155</f>
        <v>636.366536</v>
      </c>
      <c r="AM75" s="197">
        <f t="shared" si="156"/>
        <v>1210.5970359999999</v>
      </c>
      <c r="AN75" s="197">
        <f t="shared" si="157"/>
        <v>277.3949640000003</v>
      </c>
      <c r="AO75" s="197">
        <f t="shared" si="158"/>
        <v>453.34496400000035</v>
      </c>
      <c r="AP75" s="196">
        <f t="shared" si="159"/>
        <v>739.48643724766816</v>
      </c>
      <c r="AQ75" s="197">
        <f t="shared" si="160"/>
        <v>87.441759521373228</v>
      </c>
      <c r="AR75" s="197">
        <f t="shared" si="161"/>
        <v>601.6296385291231</v>
      </c>
      <c r="AS75" s="197">
        <f t="shared" si="162"/>
        <v>137.85679871854512</v>
      </c>
      <c r="AT75" s="199">
        <f t="shared" si="163"/>
        <v>225.29855823991838</v>
      </c>
      <c r="AU75" s="196">
        <f t="shared" si="164"/>
        <v>13705.630934792103</v>
      </c>
      <c r="AV75" s="197">
        <f t="shared" si="164"/>
        <v>1651.0873413104446</v>
      </c>
      <c r="AW75" s="197">
        <f t="shared" si="164"/>
        <v>14049.053286918534</v>
      </c>
      <c r="AX75" s="197">
        <f t="shared" si="164"/>
        <v>-343.42235212643038</v>
      </c>
      <c r="AY75" s="199">
        <f t="shared" si="165"/>
        <v>1307.6649891840141</v>
      </c>
      <c r="BB75" s="204">
        <f t="shared" si="204"/>
        <v>13</v>
      </c>
      <c r="BC75" s="219" t="s">
        <v>31</v>
      </c>
      <c r="BD75" s="760">
        <f>'Arable Inputs'!$H$18</f>
        <v>8.14</v>
      </c>
      <c r="BE75" s="760">
        <f>'Arable Inputs'!$H$25</f>
        <v>182.8</v>
      </c>
      <c r="BH75" s="762">
        <f>BD75*BE75</f>
        <v>1487.9920000000002</v>
      </c>
      <c r="BI75" s="197">
        <f>'Arable NPV'!$E155</f>
        <v>175.95</v>
      </c>
      <c r="BJ75" s="197">
        <f t="shared" si="166"/>
        <v>1663.9420000000002</v>
      </c>
      <c r="BK75" s="197">
        <f>'Arable NPV'!$G155</f>
        <v>574.23049999999989</v>
      </c>
      <c r="BL75" s="197">
        <f>'Arable NPV'!$H155</f>
        <v>636.366536</v>
      </c>
      <c r="BM75" s="197">
        <f t="shared" si="167"/>
        <v>1210.5970359999999</v>
      </c>
      <c r="BN75" s="197">
        <f t="shared" si="168"/>
        <v>277.3949640000003</v>
      </c>
      <c r="BO75" s="197">
        <f t="shared" si="169"/>
        <v>453.34496400000035</v>
      </c>
      <c r="BP75" s="196">
        <f t="shared" si="170"/>
        <v>1173.2715373201002</v>
      </c>
      <c r="BQ75" s="197">
        <f t="shared" si="171"/>
        <v>138.73537424359245</v>
      </c>
      <c r="BR75" s="197">
        <f t="shared" si="172"/>
        <v>954.54750126538067</v>
      </c>
      <c r="BS75" s="197">
        <f t="shared" si="173"/>
        <v>218.72403605471948</v>
      </c>
      <c r="BT75" s="199">
        <f t="shared" si="174"/>
        <v>357.45941029831198</v>
      </c>
      <c r="BU75" s="196">
        <f t="shared" si="175"/>
        <v>16848.933888752446</v>
      </c>
      <c r="BV75" s="197">
        <f t="shared" si="175"/>
        <v>2036.6812878203782</v>
      </c>
      <c r="BW75" s="197">
        <f t="shared" si="175"/>
        <v>17279.038747041584</v>
      </c>
      <c r="BX75" s="197">
        <f t="shared" si="176"/>
        <v>-430.10485828913659</v>
      </c>
      <c r="BY75" s="199">
        <f t="shared" si="177"/>
        <v>1606.5764295312424</v>
      </c>
      <c r="CB75" s="204">
        <f t="shared" si="205"/>
        <v>13</v>
      </c>
      <c r="CC75" s="219" t="s">
        <v>31</v>
      </c>
      <c r="CD75" s="760">
        <f>'Arable Inputs'!$H$18</f>
        <v>8.14</v>
      </c>
      <c r="CE75" s="760">
        <f>'Arable Inputs'!$H$25</f>
        <v>182.8</v>
      </c>
      <c r="CH75" s="762">
        <f>CD75*CE75</f>
        <v>1487.9920000000002</v>
      </c>
      <c r="CI75" s="197">
        <f>'Arable NPV'!$E155</f>
        <v>175.95</v>
      </c>
      <c r="CJ75" s="197">
        <f t="shared" si="178"/>
        <v>1663.9420000000002</v>
      </c>
      <c r="CK75" s="197">
        <f>'Arable NPV'!$G155</f>
        <v>574.23049999999989</v>
      </c>
      <c r="CL75" s="197">
        <f>'Arable NPV'!$H155</f>
        <v>636.366536</v>
      </c>
      <c r="CM75" s="197">
        <f t="shared" si="179"/>
        <v>1210.5970359999999</v>
      </c>
      <c r="CN75" s="197">
        <f t="shared" si="180"/>
        <v>277.3949640000003</v>
      </c>
      <c r="CO75" s="197">
        <f t="shared" si="181"/>
        <v>453.34496400000035</v>
      </c>
      <c r="CP75" s="196">
        <f t="shared" si="182"/>
        <v>590.90209595516592</v>
      </c>
      <c r="CQ75" s="197">
        <f t="shared" si="183"/>
        <v>69.872165833762153</v>
      </c>
      <c r="CR75" s="197">
        <f t="shared" si="184"/>
        <v>480.74473917165636</v>
      </c>
      <c r="CS75" s="197">
        <f t="shared" si="185"/>
        <v>110.15735678350956</v>
      </c>
      <c r="CT75" s="199">
        <f t="shared" si="186"/>
        <v>180.02952261727174</v>
      </c>
      <c r="CU75" s="196">
        <f t="shared" si="187"/>
        <v>12493.309568119394</v>
      </c>
      <c r="CV75" s="197">
        <f t="shared" si="187"/>
        <v>1501.922927077972</v>
      </c>
      <c r="CW75" s="197">
        <f t="shared" si="188"/>
        <v>12800.1360436903</v>
      </c>
      <c r="CX75" s="197">
        <f t="shared" si="189"/>
        <v>-306.82647557090593</v>
      </c>
      <c r="CY75" s="199">
        <f t="shared" si="190"/>
        <v>1195.0964515070664</v>
      </c>
      <c r="DB75" s="204">
        <f t="shared" si="191"/>
        <v>13</v>
      </c>
      <c r="DC75" s="219" t="s">
        <v>31</v>
      </c>
      <c r="DD75" s="760">
        <f>'Arable Inputs'!$H$18</f>
        <v>8.14</v>
      </c>
      <c r="DE75" s="760">
        <f>'Arable Inputs'!$H$25</f>
        <v>182.8</v>
      </c>
      <c r="DH75" s="762">
        <f>DD75*DE75</f>
        <v>1487.9920000000002</v>
      </c>
      <c r="DI75" s="197">
        <f>'Arable NPV'!$E155</f>
        <v>175.95</v>
      </c>
      <c r="DJ75" s="197">
        <f t="shared" si="192"/>
        <v>1663.9420000000002</v>
      </c>
      <c r="DK75" s="197">
        <f>'Arable NPV'!$G155</f>
        <v>574.23049999999989</v>
      </c>
      <c r="DL75" s="197">
        <f>'Arable NPV'!$H155</f>
        <v>636.366536</v>
      </c>
      <c r="DM75" s="197">
        <f t="shared" si="193"/>
        <v>1210.5970359999999</v>
      </c>
      <c r="DN75" s="197">
        <f t="shared" si="194"/>
        <v>277.3949640000003</v>
      </c>
      <c r="DO75" s="197">
        <f t="shared" si="195"/>
        <v>453.34496400000035</v>
      </c>
      <c r="DP75" s="196">
        <f t="shared" si="196"/>
        <v>1487.9920000000002</v>
      </c>
      <c r="DQ75" s="197">
        <f t="shared" si="197"/>
        <v>175.95</v>
      </c>
      <c r="DR75" s="197">
        <f t="shared" si="198"/>
        <v>1210.5970359999999</v>
      </c>
      <c r="DS75" s="197">
        <f t="shared" si="199"/>
        <v>277.3949640000003</v>
      </c>
      <c r="DT75" s="199">
        <f t="shared" si="200"/>
        <v>453.34496400000035</v>
      </c>
      <c r="DU75" s="196">
        <f t="shared" si="201"/>
        <v>18898.502</v>
      </c>
      <c r="DV75" s="197">
        <f t="shared" si="201"/>
        <v>2287.35</v>
      </c>
      <c r="DW75" s="197">
        <f t="shared" si="201"/>
        <v>19379.531209714281</v>
      </c>
      <c r="DX75" s="197">
        <f t="shared" si="201"/>
        <v>-481.02920971428239</v>
      </c>
      <c r="DY75" s="199">
        <f t="shared" si="201"/>
        <v>1806.3207902857182</v>
      </c>
    </row>
    <row r="76" spans="2:129" x14ac:dyDescent="0.3">
      <c r="B76" s="204">
        <f t="shared" si="202"/>
        <v>14</v>
      </c>
      <c r="C76" s="219" t="s">
        <v>6</v>
      </c>
      <c r="D76" s="760">
        <f>'Arable Inputs'!$F$18</f>
        <v>3.3</v>
      </c>
      <c r="E76" s="760">
        <f>'Arable Inputs'!$F$25</f>
        <v>345.1</v>
      </c>
      <c r="F76" s="760">
        <f>'Arable Inputs'!$F$19</f>
        <v>2.6</v>
      </c>
      <c r="G76" s="760">
        <f>'Arable Inputs'!$F$26</f>
        <v>42.374999999999993</v>
      </c>
      <c r="H76" s="762">
        <f>D76*E76+F76*G76</f>
        <v>1249.0049999999999</v>
      </c>
      <c r="I76" s="197">
        <f>'Arable NPV'!$E156</f>
        <v>175.95</v>
      </c>
      <c r="J76" s="197">
        <f t="shared" si="145"/>
        <v>1424.9549999999999</v>
      </c>
      <c r="K76" s="197">
        <f>'Arable NPV'!$G156</f>
        <v>619.745</v>
      </c>
      <c r="L76" s="197">
        <f>'Arable NPV'!$H156</f>
        <v>710.23622685714281</v>
      </c>
      <c r="M76" s="197">
        <f t="shared" si="146"/>
        <v>1329.9812268571427</v>
      </c>
      <c r="N76" s="197">
        <f t="shared" si="147"/>
        <v>-80.976226857142819</v>
      </c>
      <c r="O76" s="197">
        <f t="shared" si="148"/>
        <v>94.973773142857226</v>
      </c>
      <c r="P76" s="196">
        <f t="shared" si="149"/>
        <v>750.12003645264338</v>
      </c>
      <c r="Q76" s="197">
        <f t="shared" si="150"/>
        <v>105.67101045539658</v>
      </c>
      <c r="R76" s="197">
        <f t="shared" si="151"/>
        <v>798.75225989600631</v>
      </c>
      <c r="S76" s="197">
        <f t="shared" si="152"/>
        <v>-48.632223443362918</v>
      </c>
      <c r="T76" s="199">
        <f t="shared" si="153"/>
        <v>57.038787012033701</v>
      </c>
      <c r="U76" s="196">
        <f t="shared" si="154"/>
        <v>15890.268931806017</v>
      </c>
      <c r="V76" s="197">
        <f t="shared" si="154"/>
        <v>1932.9247386150832</v>
      </c>
      <c r="W76" s="197">
        <f t="shared" si="154"/>
        <v>16323.270931321371</v>
      </c>
      <c r="X76" s="197">
        <f t="shared" si="154"/>
        <v>-433.00199951535524</v>
      </c>
      <c r="Y76" s="199">
        <f t="shared" si="154"/>
        <v>1499.9227390997282</v>
      </c>
      <c r="Z76" s="197"/>
      <c r="AB76" s="204">
        <f t="shared" si="203"/>
        <v>14</v>
      </c>
      <c r="AC76" s="219" t="s">
        <v>6</v>
      </c>
      <c r="AD76" s="760">
        <f>'Arable Inputs'!$F$18</f>
        <v>3.3</v>
      </c>
      <c r="AE76" s="760">
        <f>'Arable Inputs'!$F$25</f>
        <v>345.1</v>
      </c>
      <c r="AF76" s="760">
        <f>'Arable Inputs'!$F$19</f>
        <v>2.6</v>
      </c>
      <c r="AG76" s="760">
        <f>'Arable Inputs'!$F$26</f>
        <v>42.374999999999993</v>
      </c>
      <c r="AH76" s="762">
        <f>AD76*AE76+AF76*AG76</f>
        <v>1249.0049999999999</v>
      </c>
      <c r="AI76" s="197">
        <f>'Arable NPV'!$E156</f>
        <v>175.95</v>
      </c>
      <c r="AJ76" s="197">
        <f t="shared" si="155"/>
        <v>1424.9549999999999</v>
      </c>
      <c r="AK76" s="197">
        <f>'Arable NPV'!$G156</f>
        <v>619.745</v>
      </c>
      <c r="AL76" s="197">
        <f>'Arable NPV'!$H156</f>
        <v>710.23622685714281</v>
      </c>
      <c r="AM76" s="197">
        <f t="shared" si="156"/>
        <v>1329.9812268571427</v>
      </c>
      <c r="AN76" s="197">
        <f t="shared" si="157"/>
        <v>-80.976226857142819</v>
      </c>
      <c r="AO76" s="197">
        <f t="shared" si="158"/>
        <v>94.973773142857226</v>
      </c>
      <c r="AP76" s="196">
        <f t="shared" si="159"/>
        <v>585.5822829759353</v>
      </c>
      <c r="AQ76" s="197">
        <f t="shared" si="160"/>
        <v>82.492225963559648</v>
      </c>
      <c r="AR76" s="197">
        <f t="shared" si="161"/>
        <v>623.54709800052115</v>
      </c>
      <c r="AS76" s="197">
        <f t="shared" si="162"/>
        <v>-37.964815024585924</v>
      </c>
      <c r="AT76" s="199">
        <f t="shared" si="163"/>
        <v>44.527410938973752</v>
      </c>
      <c r="AU76" s="196">
        <f t="shared" si="164"/>
        <v>14291.213217768038</v>
      </c>
      <c r="AV76" s="197">
        <f t="shared" si="164"/>
        <v>1733.5795672740041</v>
      </c>
      <c r="AW76" s="197">
        <f t="shared" si="164"/>
        <v>14672.600384919055</v>
      </c>
      <c r="AX76" s="197">
        <f t="shared" si="164"/>
        <v>-381.38716715101629</v>
      </c>
      <c r="AY76" s="199">
        <f t="shared" si="165"/>
        <v>1352.1924001229879</v>
      </c>
      <c r="BB76" s="204">
        <f t="shared" si="204"/>
        <v>14</v>
      </c>
      <c r="BC76" s="219" t="s">
        <v>6</v>
      </c>
      <c r="BD76" s="760">
        <f>'Arable Inputs'!$F$18</f>
        <v>3.3</v>
      </c>
      <c r="BE76" s="760">
        <f>'Arable Inputs'!$F$25</f>
        <v>345.1</v>
      </c>
      <c r="BF76" s="760">
        <f>'Arable Inputs'!$F$19</f>
        <v>2.6</v>
      </c>
      <c r="BG76" s="760">
        <f>'Arable Inputs'!$F$26</f>
        <v>42.374999999999993</v>
      </c>
      <c r="BH76" s="762">
        <f>BD76*BE76+BF76*BG76</f>
        <v>1249.0049999999999</v>
      </c>
      <c r="BI76" s="197">
        <f>'Arable NPV'!$E156</f>
        <v>175.95</v>
      </c>
      <c r="BJ76" s="197">
        <f t="shared" si="166"/>
        <v>1424.9549999999999</v>
      </c>
      <c r="BK76" s="197">
        <f>'Arable NPV'!$G156</f>
        <v>619.745</v>
      </c>
      <c r="BL76" s="197">
        <f>'Arable NPV'!$H156</f>
        <v>710.23622685714281</v>
      </c>
      <c r="BM76" s="197">
        <f t="shared" si="167"/>
        <v>1329.9812268571427</v>
      </c>
      <c r="BN76" s="197">
        <f t="shared" si="168"/>
        <v>-80.976226857142819</v>
      </c>
      <c r="BO76" s="197">
        <f t="shared" si="169"/>
        <v>94.973773142857226</v>
      </c>
      <c r="BP76" s="196">
        <f t="shared" si="170"/>
        <v>965.52148898761448</v>
      </c>
      <c r="BQ76" s="197">
        <f t="shared" si="171"/>
        <v>136.01507278783572</v>
      </c>
      <c r="BR76" s="197">
        <f t="shared" si="172"/>
        <v>1028.1187461064469</v>
      </c>
      <c r="BS76" s="197">
        <f t="shared" si="173"/>
        <v>-62.597257118832509</v>
      </c>
      <c r="BT76" s="199">
        <f t="shared" si="174"/>
        <v>73.417815669003261</v>
      </c>
      <c r="BU76" s="196">
        <f t="shared" si="175"/>
        <v>17814.455377740062</v>
      </c>
      <c r="BV76" s="197">
        <f t="shared" si="175"/>
        <v>2172.696360608214</v>
      </c>
      <c r="BW76" s="197">
        <f t="shared" si="175"/>
        <v>18307.157493148032</v>
      </c>
      <c r="BX76" s="197">
        <f t="shared" si="176"/>
        <v>-492.70211540796907</v>
      </c>
      <c r="BY76" s="199">
        <f t="shared" si="177"/>
        <v>1679.9942452002456</v>
      </c>
      <c r="CB76" s="204">
        <f t="shared" si="205"/>
        <v>14</v>
      </c>
      <c r="CC76" s="219" t="s">
        <v>6</v>
      </c>
      <c r="CD76" s="760">
        <f>'Arable Inputs'!$F$18</f>
        <v>3.3</v>
      </c>
      <c r="CE76" s="760">
        <f>'Arable Inputs'!$F$25</f>
        <v>345.1</v>
      </c>
      <c r="CF76" s="760">
        <f>'Arable Inputs'!$F$19</f>
        <v>2.6</v>
      </c>
      <c r="CG76" s="760">
        <f>'Arable Inputs'!$F$26</f>
        <v>42.374999999999993</v>
      </c>
      <c r="CH76" s="762">
        <f>CD76*CE76+CF76*CG76</f>
        <v>1249.0049999999999</v>
      </c>
      <c r="CI76" s="197">
        <f>'Arable NPV'!$E156</f>
        <v>175.95</v>
      </c>
      <c r="CJ76" s="197">
        <f t="shared" si="178"/>
        <v>1424.9549999999999</v>
      </c>
      <c r="CK76" s="197">
        <f>'Arable NPV'!$G156</f>
        <v>619.745</v>
      </c>
      <c r="CL76" s="197">
        <f>'Arable NPV'!$H156</f>
        <v>710.23622685714281</v>
      </c>
      <c r="CM76" s="197">
        <f t="shared" si="179"/>
        <v>1329.9812268571427</v>
      </c>
      <c r="CN76" s="197">
        <f t="shared" si="180"/>
        <v>-80.976226857142819</v>
      </c>
      <c r="CO76" s="197">
        <f t="shared" si="181"/>
        <v>94.973773142857226</v>
      </c>
      <c r="CP76" s="196">
        <f t="shared" si="182"/>
        <v>459.25654640521878</v>
      </c>
      <c r="CQ76" s="197">
        <f t="shared" si="183"/>
        <v>64.696449846076078</v>
      </c>
      <c r="CR76" s="197">
        <f t="shared" si="184"/>
        <v>489.03133696837659</v>
      </c>
      <c r="CS76" s="197">
        <f t="shared" si="185"/>
        <v>-29.774790563157826</v>
      </c>
      <c r="CT76" s="199">
        <f t="shared" si="186"/>
        <v>34.92165928291827</v>
      </c>
      <c r="CU76" s="196">
        <f t="shared" si="187"/>
        <v>12952.566114524612</v>
      </c>
      <c r="CV76" s="197">
        <f t="shared" si="187"/>
        <v>1566.6193769240481</v>
      </c>
      <c r="CW76" s="197">
        <f t="shared" si="188"/>
        <v>13289.167380658677</v>
      </c>
      <c r="CX76" s="197">
        <f t="shared" si="189"/>
        <v>-336.60126613406374</v>
      </c>
      <c r="CY76" s="199">
        <f t="shared" si="190"/>
        <v>1230.0181107899846</v>
      </c>
      <c r="DB76" s="204">
        <f t="shared" si="191"/>
        <v>14</v>
      </c>
      <c r="DC76" s="219" t="s">
        <v>6</v>
      </c>
      <c r="DD76" s="760">
        <f>'Arable Inputs'!$F$18</f>
        <v>3.3</v>
      </c>
      <c r="DE76" s="760">
        <f>'Arable Inputs'!$F$25</f>
        <v>345.1</v>
      </c>
      <c r="DF76" s="760">
        <f>'Arable Inputs'!$F$19</f>
        <v>2.6</v>
      </c>
      <c r="DG76" s="760">
        <f>'Arable Inputs'!$F$26</f>
        <v>42.374999999999993</v>
      </c>
      <c r="DH76" s="762">
        <f>DD76*DE76+DF76*DG76</f>
        <v>1249.0049999999999</v>
      </c>
      <c r="DI76" s="197">
        <f>'Arable NPV'!$E156</f>
        <v>175.95</v>
      </c>
      <c r="DJ76" s="197">
        <f t="shared" si="192"/>
        <v>1424.9549999999999</v>
      </c>
      <c r="DK76" s="197">
        <f>'Arable NPV'!$G156</f>
        <v>619.745</v>
      </c>
      <c r="DL76" s="197">
        <f>'Arable NPV'!$H156</f>
        <v>710.23622685714281</v>
      </c>
      <c r="DM76" s="197">
        <f t="shared" si="193"/>
        <v>1329.9812268571427</v>
      </c>
      <c r="DN76" s="197">
        <f t="shared" si="194"/>
        <v>-80.976226857142819</v>
      </c>
      <c r="DO76" s="197">
        <f t="shared" si="195"/>
        <v>94.973773142857226</v>
      </c>
      <c r="DP76" s="196">
        <f t="shared" si="196"/>
        <v>1249.0049999999999</v>
      </c>
      <c r="DQ76" s="197">
        <f t="shared" si="197"/>
        <v>175.95</v>
      </c>
      <c r="DR76" s="197">
        <f t="shared" si="198"/>
        <v>1329.9812268571427</v>
      </c>
      <c r="DS76" s="197">
        <f t="shared" si="199"/>
        <v>-80.976226857142819</v>
      </c>
      <c r="DT76" s="199">
        <f t="shared" si="200"/>
        <v>94.973773142857226</v>
      </c>
      <c r="DU76" s="196">
        <f t="shared" si="201"/>
        <v>20147.507000000001</v>
      </c>
      <c r="DV76" s="197">
        <f t="shared" si="201"/>
        <v>2463.2999999999997</v>
      </c>
      <c r="DW76" s="197">
        <f t="shared" si="201"/>
        <v>20709.512436571425</v>
      </c>
      <c r="DX76" s="197">
        <f t="shared" si="201"/>
        <v>-562.00543657142521</v>
      </c>
      <c r="DY76" s="199">
        <f t="shared" si="201"/>
        <v>1901.2945634285754</v>
      </c>
    </row>
    <row r="77" spans="2:129" x14ac:dyDescent="0.3">
      <c r="B77" s="204">
        <f t="shared" si="202"/>
        <v>15</v>
      </c>
      <c r="C77" s="219" t="s">
        <v>5</v>
      </c>
      <c r="D77" s="760">
        <f>'Arable Inputs'!$E$18</f>
        <v>4.1100000000000003</v>
      </c>
      <c r="E77" s="760">
        <f>'Arable Inputs'!$E$25</f>
        <v>154.80000000000001</v>
      </c>
      <c r="F77" s="760">
        <f>'Arable Inputs'!$E$19</f>
        <v>3.5</v>
      </c>
      <c r="G77" s="760">
        <f>'Arable Inputs'!$E$26</f>
        <v>79.099999999999994</v>
      </c>
      <c r="H77" s="762">
        <f>D77*E77+F77*G77</f>
        <v>913.07799999999997</v>
      </c>
      <c r="I77" s="197">
        <f>'Arable NPV'!$E157</f>
        <v>175.95</v>
      </c>
      <c r="J77" s="197">
        <f t="shared" si="145"/>
        <v>1089.028</v>
      </c>
      <c r="K77" s="197">
        <f>'Arable NPV'!$G157</f>
        <v>468.64299999999992</v>
      </c>
      <c r="L77" s="197">
        <f>'Arable NPV'!$H157</f>
        <v>888.75536799999986</v>
      </c>
      <c r="M77" s="197">
        <f t="shared" si="146"/>
        <v>1357.3983679999997</v>
      </c>
      <c r="N77" s="197">
        <f t="shared" si="147"/>
        <v>-444.32036799999969</v>
      </c>
      <c r="O77" s="197">
        <f t="shared" si="148"/>
        <v>-268.37036799999964</v>
      </c>
      <c r="P77" s="196">
        <f t="shared" si="149"/>
        <v>527.27979367276873</v>
      </c>
      <c r="Q77" s="197">
        <f t="shared" si="150"/>
        <v>101.60674082249672</v>
      </c>
      <c r="R77" s="197">
        <f t="shared" si="151"/>
        <v>783.86373498298383</v>
      </c>
      <c r="S77" s="197">
        <f t="shared" si="152"/>
        <v>-256.58394131021504</v>
      </c>
      <c r="T77" s="199">
        <f t="shared" si="153"/>
        <v>-154.97720048771828</v>
      </c>
      <c r="U77" s="196">
        <f t="shared" si="154"/>
        <v>16417.548725478784</v>
      </c>
      <c r="V77" s="197">
        <f t="shared" si="154"/>
        <v>2034.5314794375799</v>
      </c>
      <c r="W77" s="197">
        <f t="shared" si="154"/>
        <v>17107.134666304355</v>
      </c>
      <c r="X77" s="197">
        <f t="shared" si="154"/>
        <v>-689.58594082557033</v>
      </c>
      <c r="Y77" s="199">
        <f t="shared" si="154"/>
        <v>1344.9455386120098</v>
      </c>
      <c r="Z77" s="197"/>
      <c r="AB77" s="204">
        <f t="shared" si="203"/>
        <v>15</v>
      </c>
      <c r="AC77" s="219" t="s">
        <v>5</v>
      </c>
      <c r="AD77" s="760">
        <f>'Arable Inputs'!$E$18</f>
        <v>4.1100000000000003</v>
      </c>
      <c r="AE77" s="760">
        <f>'Arable Inputs'!$E$25</f>
        <v>154.80000000000001</v>
      </c>
      <c r="AF77" s="760">
        <f>'Arable Inputs'!$E$19</f>
        <v>3.5</v>
      </c>
      <c r="AG77" s="760">
        <f>'Arable Inputs'!$E$26</f>
        <v>79.099999999999994</v>
      </c>
      <c r="AH77" s="762">
        <f>AD77*AE77+AF77*AG77</f>
        <v>913.07799999999997</v>
      </c>
      <c r="AI77" s="197">
        <f>'Arable NPV'!$E157</f>
        <v>175.95</v>
      </c>
      <c r="AJ77" s="197">
        <f t="shared" si="155"/>
        <v>1089.028</v>
      </c>
      <c r="AK77" s="197">
        <f>'Arable NPV'!$G157</f>
        <v>468.64299999999992</v>
      </c>
      <c r="AL77" s="197">
        <f>'Arable NPV'!$H157</f>
        <v>888.75536799999986</v>
      </c>
      <c r="AM77" s="197">
        <f t="shared" si="156"/>
        <v>1357.3983679999997</v>
      </c>
      <c r="AN77" s="197">
        <f t="shared" si="157"/>
        <v>-444.32036799999969</v>
      </c>
      <c r="AO77" s="197">
        <f t="shared" si="158"/>
        <v>-268.37036799999964</v>
      </c>
      <c r="AP77" s="196">
        <f t="shared" si="159"/>
        <v>403.85527995386298</v>
      </c>
      <c r="AQ77" s="197">
        <f t="shared" si="160"/>
        <v>77.822854682603449</v>
      </c>
      <c r="AR77" s="197">
        <f t="shared" si="161"/>
        <v>600.378607213794</v>
      </c>
      <c r="AS77" s="197">
        <f t="shared" si="162"/>
        <v>-196.52332725993102</v>
      </c>
      <c r="AT77" s="199">
        <f t="shared" si="163"/>
        <v>-118.70047257732755</v>
      </c>
      <c r="AU77" s="196">
        <f t="shared" si="164"/>
        <v>14695.068497721901</v>
      </c>
      <c r="AV77" s="197">
        <f t="shared" si="164"/>
        <v>1811.4024219566077</v>
      </c>
      <c r="AW77" s="197">
        <f t="shared" si="164"/>
        <v>15272.978992132848</v>
      </c>
      <c r="AX77" s="197">
        <f t="shared" si="164"/>
        <v>-577.91049441094731</v>
      </c>
      <c r="AY77" s="199">
        <f t="shared" si="165"/>
        <v>1233.4919275456605</v>
      </c>
      <c r="BB77" s="204">
        <f t="shared" si="204"/>
        <v>15</v>
      </c>
      <c r="BC77" s="219" t="s">
        <v>5</v>
      </c>
      <c r="BD77" s="760">
        <f>'Arable Inputs'!$E$18</f>
        <v>4.1100000000000003</v>
      </c>
      <c r="BE77" s="760">
        <f>'Arable Inputs'!$E$25</f>
        <v>154.80000000000001</v>
      </c>
      <c r="BF77" s="760">
        <f>'Arable Inputs'!$E$19</f>
        <v>3.5</v>
      </c>
      <c r="BG77" s="760">
        <f>'Arable Inputs'!$E$26</f>
        <v>79.099999999999994</v>
      </c>
      <c r="BH77" s="762">
        <f>BD77*BE77+BF77*BG77</f>
        <v>913.07799999999997</v>
      </c>
      <c r="BI77" s="197">
        <f>'Arable NPV'!$E157</f>
        <v>175.95</v>
      </c>
      <c r="BJ77" s="197">
        <f t="shared" si="166"/>
        <v>1089.028</v>
      </c>
      <c r="BK77" s="197">
        <f>'Arable NPV'!$G157</f>
        <v>468.64299999999992</v>
      </c>
      <c r="BL77" s="197">
        <f>'Arable NPV'!$H157</f>
        <v>888.75536799999986</v>
      </c>
      <c r="BM77" s="197">
        <f t="shared" si="167"/>
        <v>1357.3983679999997</v>
      </c>
      <c r="BN77" s="197">
        <f t="shared" si="168"/>
        <v>-444.32036799999969</v>
      </c>
      <c r="BO77" s="197">
        <f t="shared" si="169"/>
        <v>-268.37036799999964</v>
      </c>
      <c r="BP77" s="196">
        <f t="shared" si="170"/>
        <v>691.99901170102612</v>
      </c>
      <c r="BQ77" s="197">
        <f t="shared" si="171"/>
        <v>133.34811057630952</v>
      </c>
      <c r="BR77" s="197">
        <f t="shared" si="172"/>
        <v>1028.7383215241036</v>
      </c>
      <c r="BS77" s="197">
        <f t="shared" si="173"/>
        <v>-336.73930982307758</v>
      </c>
      <c r="BT77" s="199">
        <f t="shared" si="174"/>
        <v>-203.39119924676802</v>
      </c>
      <c r="BU77" s="196">
        <f t="shared" si="175"/>
        <v>18506.454389441089</v>
      </c>
      <c r="BV77" s="197">
        <f t="shared" si="175"/>
        <v>2306.0444711845234</v>
      </c>
      <c r="BW77" s="197">
        <f t="shared" si="175"/>
        <v>19335.895814672134</v>
      </c>
      <c r="BX77" s="197">
        <f t="shared" si="176"/>
        <v>-829.44142523104665</v>
      </c>
      <c r="BY77" s="199">
        <f t="shared" si="177"/>
        <v>1476.6030459534775</v>
      </c>
      <c r="CB77" s="204">
        <f t="shared" si="205"/>
        <v>15</v>
      </c>
      <c r="CC77" s="219" t="s">
        <v>5</v>
      </c>
      <c r="CD77" s="760">
        <f>'Arable Inputs'!$E$18</f>
        <v>4.1100000000000003</v>
      </c>
      <c r="CE77" s="760">
        <f>'Arable Inputs'!$E$25</f>
        <v>154.80000000000001</v>
      </c>
      <c r="CF77" s="760">
        <f>'Arable Inputs'!$E$19</f>
        <v>3.5</v>
      </c>
      <c r="CG77" s="760">
        <f>'Arable Inputs'!$E$26</f>
        <v>79.099999999999994</v>
      </c>
      <c r="CH77" s="762">
        <f>CD77*CE77+CF77*CG77</f>
        <v>913.07799999999997</v>
      </c>
      <c r="CI77" s="197">
        <f>'Arable NPV'!$E157</f>
        <v>175.95</v>
      </c>
      <c r="CJ77" s="197">
        <f t="shared" si="178"/>
        <v>1089.028</v>
      </c>
      <c r="CK77" s="197">
        <f>'Arable NPV'!$G157</f>
        <v>468.64299999999992</v>
      </c>
      <c r="CL77" s="197">
        <f>'Arable NPV'!$H157</f>
        <v>888.75536799999986</v>
      </c>
      <c r="CM77" s="197">
        <f t="shared" si="179"/>
        <v>1357.3983679999997</v>
      </c>
      <c r="CN77" s="197">
        <f t="shared" si="180"/>
        <v>-444.32036799999969</v>
      </c>
      <c r="CO77" s="197">
        <f t="shared" si="181"/>
        <v>-268.37036799999964</v>
      </c>
      <c r="CP77" s="196">
        <f t="shared" si="182"/>
        <v>310.86748672579245</v>
      </c>
      <c r="CQ77" s="197">
        <f t="shared" si="183"/>
        <v>59.904120227848203</v>
      </c>
      <c r="CR77" s="197">
        <f t="shared" si="184"/>
        <v>462.14126191393535</v>
      </c>
      <c r="CS77" s="197">
        <f t="shared" si="185"/>
        <v>-151.27377518814288</v>
      </c>
      <c r="CT77" s="199">
        <f t="shared" si="186"/>
        <v>-91.369654960294667</v>
      </c>
      <c r="CU77" s="196">
        <f t="shared" si="187"/>
        <v>13263.433601250405</v>
      </c>
      <c r="CV77" s="197">
        <f t="shared" si="187"/>
        <v>1626.5234971518962</v>
      </c>
      <c r="CW77" s="197">
        <f t="shared" si="188"/>
        <v>13751.308642572612</v>
      </c>
      <c r="CX77" s="197">
        <f t="shared" si="189"/>
        <v>-487.87504132220658</v>
      </c>
      <c r="CY77" s="199">
        <f t="shared" si="190"/>
        <v>1138.64845582969</v>
      </c>
      <c r="DB77" s="204">
        <f t="shared" si="191"/>
        <v>15</v>
      </c>
      <c r="DC77" s="219" t="s">
        <v>5</v>
      </c>
      <c r="DD77" s="760">
        <f>'Arable Inputs'!$E$18</f>
        <v>4.1100000000000003</v>
      </c>
      <c r="DE77" s="760">
        <f>'Arable Inputs'!$E$25</f>
        <v>154.80000000000001</v>
      </c>
      <c r="DF77" s="760">
        <f>'Arable Inputs'!$E$19</f>
        <v>3.5</v>
      </c>
      <c r="DG77" s="760">
        <f>'Arable Inputs'!$E$26</f>
        <v>79.099999999999994</v>
      </c>
      <c r="DH77" s="762">
        <f>DD77*DE77+DF77*DG77</f>
        <v>913.07799999999997</v>
      </c>
      <c r="DI77" s="197">
        <f>'Arable NPV'!$E157</f>
        <v>175.95</v>
      </c>
      <c r="DJ77" s="197">
        <f t="shared" si="192"/>
        <v>1089.028</v>
      </c>
      <c r="DK77" s="197">
        <f>'Arable NPV'!$G157</f>
        <v>468.64299999999992</v>
      </c>
      <c r="DL77" s="197">
        <f>'Arable NPV'!$H157</f>
        <v>888.75536799999986</v>
      </c>
      <c r="DM77" s="197">
        <f t="shared" si="193"/>
        <v>1357.3983679999997</v>
      </c>
      <c r="DN77" s="197">
        <f t="shared" si="194"/>
        <v>-444.32036799999969</v>
      </c>
      <c r="DO77" s="197">
        <f t="shared" si="195"/>
        <v>-268.37036799999964</v>
      </c>
      <c r="DP77" s="196">
        <f t="shared" si="196"/>
        <v>913.07799999999997</v>
      </c>
      <c r="DQ77" s="197">
        <f t="shared" si="197"/>
        <v>175.95</v>
      </c>
      <c r="DR77" s="197">
        <f t="shared" si="198"/>
        <v>1357.3983679999997</v>
      </c>
      <c r="DS77" s="197">
        <f t="shared" si="199"/>
        <v>-444.32036799999969</v>
      </c>
      <c r="DT77" s="199">
        <f t="shared" si="200"/>
        <v>-268.37036799999964</v>
      </c>
      <c r="DU77" s="196">
        <f t="shared" si="201"/>
        <v>21060.585000000003</v>
      </c>
      <c r="DV77" s="197">
        <f t="shared" si="201"/>
        <v>2639.2499999999995</v>
      </c>
      <c r="DW77" s="197">
        <f t="shared" si="201"/>
        <v>22066.910804571424</v>
      </c>
      <c r="DX77" s="197">
        <f t="shared" si="201"/>
        <v>-1006.3258045714249</v>
      </c>
      <c r="DY77" s="199">
        <f t="shared" si="201"/>
        <v>1632.9241954285758</v>
      </c>
    </row>
    <row r="78" spans="2:129" x14ac:dyDescent="0.3">
      <c r="B78" s="206">
        <f t="shared" si="202"/>
        <v>16</v>
      </c>
      <c r="C78" s="220" t="s">
        <v>4</v>
      </c>
      <c r="D78" s="761">
        <f>'Arable Inputs'!$D$18</f>
        <v>7.45</v>
      </c>
      <c r="E78" s="761">
        <f>'Arable Inputs'!$D$25</f>
        <v>193.7</v>
      </c>
      <c r="F78" s="761">
        <f>'Arable Inputs'!$D$19</f>
        <v>3.9</v>
      </c>
      <c r="G78" s="761">
        <f>'Arable Inputs'!$D$26</f>
        <v>73.449999999999989</v>
      </c>
      <c r="H78" s="207">
        <f>D78*E78+F78*G78</f>
        <v>1729.52</v>
      </c>
      <c r="I78" s="207">
        <f>'Arable NPV'!$E158</f>
        <v>175.95</v>
      </c>
      <c r="J78" s="207">
        <f t="shared" si="145"/>
        <v>1905.47</v>
      </c>
      <c r="K78" s="207">
        <f>'Arable NPV'!$G158</f>
        <v>671.92799999999988</v>
      </c>
      <c r="L78" s="207">
        <f>'Arable NPV'!$H158</f>
        <v>969.47373599999992</v>
      </c>
      <c r="M78" s="207">
        <f t="shared" si="146"/>
        <v>1641.4017359999998</v>
      </c>
      <c r="N78" s="207">
        <f t="shared" si="147"/>
        <v>88.118264000000181</v>
      </c>
      <c r="O78" s="207">
        <f t="shared" si="148"/>
        <v>264.06826400000023</v>
      </c>
      <c r="P78" s="208">
        <f>H78/(1+$B$4)^(B78-1)</f>
        <v>960.34106273266298</v>
      </c>
      <c r="Q78" s="207">
        <f>I78/(1+$B$4)^(B78-1)</f>
        <v>97.698789252400701</v>
      </c>
      <c r="R78" s="207">
        <f>M78/(1+$B$4)^(B78-1)</f>
        <v>911.41211869274582</v>
      </c>
      <c r="S78" s="207">
        <f t="shared" si="152"/>
        <v>48.928944039917162</v>
      </c>
      <c r="T78" s="209">
        <f>O78/(1+$B$4)^(B78-1)</f>
        <v>146.62773329231788</v>
      </c>
      <c r="U78" s="208">
        <f t="shared" si="154"/>
        <v>17377.889788211447</v>
      </c>
      <c r="V78" s="207">
        <f t="shared" si="154"/>
        <v>2132.2302686899807</v>
      </c>
      <c r="W78" s="207">
        <f t="shared" si="154"/>
        <v>18018.546784997099</v>
      </c>
      <c r="X78" s="207">
        <f t="shared" si="154"/>
        <v>-640.65699678565318</v>
      </c>
      <c r="Y78" s="209">
        <f t="shared" si="154"/>
        <v>1491.5732719043276</v>
      </c>
      <c r="Z78" s="197"/>
      <c r="AB78" s="206">
        <f t="shared" si="203"/>
        <v>16</v>
      </c>
      <c r="AC78" s="220" t="s">
        <v>4</v>
      </c>
      <c r="AD78" s="761">
        <f>'Arable Inputs'!$D$18</f>
        <v>7.45</v>
      </c>
      <c r="AE78" s="761">
        <f>'Arable Inputs'!$D$25</f>
        <v>193.7</v>
      </c>
      <c r="AF78" s="761">
        <f>'Arable Inputs'!$D$19</f>
        <v>3.9</v>
      </c>
      <c r="AG78" s="761">
        <f>'Arable Inputs'!$D$26</f>
        <v>73.449999999999989</v>
      </c>
      <c r="AH78" s="207">
        <f>AD78*AE78+AF78*AG78</f>
        <v>1729.52</v>
      </c>
      <c r="AI78" s="207">
        <f>'Arable NPV'!$E158</f>
        <v>175.95</v>
      </c>
      <c r="AJ78" s="207">
        <f t="shared" si="155"/>
        <v>1905.47</v>
      </c>
      <c r="AK78" s="207">
        <f>'Arable NPV'!$G158</f>
        <v>671.92799999999988</v>
      </c>
      <c r="AL78" s="207">
        <f>'Arable NPV'!$H158</f>
        <v>969.47373599999992</v>
      </c>
      <c r="AM78" s="207">
        <f t="shared" si="156"/>
        <v>1641.4017359999998</v>
      </c>
      <c r="AN78" s="207">
        <f t="shared" si="157"/>
        <v>88.118264000000181</v>
      </c>
      <c r="AO78" s="207">
        <f t="shared" si="158"/>
        <v>264.06826400000023</v>
      </c>
      <c r="AP78" s="208">
        <f t="shared" si="159"/>
        <v>721.66826784333171</v>
      </c>
      <c r="AQ78" s="207">
        <f t="shared" si="160"/>
        <v>73.417787436418322</v>
      </c>
      <c r="AR78" s="207">
        <f t="shared" si="161"/>
        <v>684.89959506346133</v>
      </c>
      <c r="AS78" s="207">
        <f t="shared" si="162"/>
        <v>36.768672779870457</v>
      </c>
      <c r="AT78" s="209">
        <f t="shared" si="163"/>
        <v>110.18646021628879</v>
      </c>
      <c r="AU78" s="208">
        <f t="shared" si="164"/>
        <v>15416.736765565232</v>
      </c>
      <c r="AV78" s="207">
        <f t="shared" si="164"/>
        <v>1884.8202093930261</v>
      </c>
      <c r="AW78" s="207">
        <f t="shared" si="164"/>
        <v>15957.87858719631</v>
      </c>
      <c r="AX78" s="207">
        <f t="shared" si="164"/>
        <v>-541.14182163107682</v>
      </c>
      <c r="AY78" s="209">
        <f t="shared" si="165"/>
        <v>1343.6783877619494</v>
      </c>
      <c r="BB78" s="206">
        <f t="shared" si="204"/>
        <v>16</v>
      </c>
      <c r="BC78" s="220" t="s">
        <v>4</v>
      </c>
      <c r="BD78" s="761">
        <f>'Arable Inputs'!$D$18</f>
        <v>7.45</v>
      </c>
      <c r="BE78" s="761">
        <f>'Arable Inputs'!$D$25</f>
        <v>193.7</v>
      </c>
      <c r="BF78" s="761">
        <f>'Arable Inputs'!$D$19</f>
        <v>3.9</v>
      </c>
      <c r="BG78" s="761">
        <f>'Arable Inputs'!$D$26</f>
        <v>73.449999999999989</v>
      </c>
      <c r="BH78" s="207">
        <f>BD78*BE78+BF78*BG78</f>
        <v>1729.52</v>
      </c>
      <c r="BI78" s="207">
        <f>'Arable NPV'!$E158</f>
        <v>175.95</v>
      </c>
      <c r="BJ78" s="207">
        <f t="shared" si="166"/>
        <v>1905.47</v>
      </c>
      <c r="BK78" s="207">
        <f>'Arable NPV'!$G158</f>
        <v>671.92799999999988</v>
      </c>
      <c r="BL78" s="207">
        <f>'Arable NPV'!$H158</f>
        <v>969.47373599999992</v>
      </c>
      <c r="BM78" s="207">
        <f t="shared" si="167"/>
        <v>1641.4017359999998</v>
      </c>
      <c r="BN78" s="207">
        <f t="shared" si="168"/>
        <v>88.118264000000181</v>
      </c>
      <c r="BO78" s="207">
        <f t="shared" si="169"/>
        <v>264.06826400000023</v>
      </c>
      <c r="BP78" s="208">
        <f t="shared" si="170"/>
        <v>1285.0588358097439</v>
      </c>
      <c r="BQ78" s="207">
        <f t="shared" si="171"/>
        <v>130.73344174147996</v>
      </c>
      <c r="BR78" s="207">
        <f t="shared" si="172"/>
        <v>1219.5856676767266</v>
      </c>
      <c r="BS78" s="207">
        <f t="shared" si="173"/>
        <v>65.473168133017197</v>
      </c>
      <c r="BT78" s="209">
        <f t="shared" si="174"/>
        <v>196.20660987449719</v>
      </c>
      <c r="BU78" s="208">
        <f t="shared" si="175"/>
        <v>19791.513225250834</v>
      </c>
      <c r="BV78" s="207">
        <f t="shared" si="175"/>
        <v>2436.7779129260034</v>
      </c>
      <c r="BW78" s="207">
        <f t="shared" si="175"/>
        <v>20555.48148234886</v>
      </c>
      <c r="BX78" s="207">
        <f t="shared" si="176"/>
        <v>-763.96825709802943</v>
      </c>
      <c r="BY78" s="209">
        <f t="shared" si="177"/>
        <v>1672.8096558279747</v>
      </c>
      <c r="CB78" s="206">
        <f t="shared" si="205"/>
        <v>16</v>
      </c>
      <c r="CC78" s="220" t="s">
        <v>4</v>
      </c>
      <c r="CD78" s="761">
        <f>'Arable Inputs'!$D$18</f>
        <v>7.45</v>
      </c>
      <c r="CE78" s="761">
        <f>'Arable Inputs'!$D$25</f>
        <v>193.7</v>
      </c>
      <c r="CF78" s="761">
        <f>'Arable Inputs'!$D$19</f>
        <v>3.9</v>
      </c>
      <c r="CG78" s="761">
        <f>'Arable Inputs'!$D$26</f>
        <v>73.449999999999989</v>
      </c>
      <c r="CH78" s="207">
        <f>CD78*CE78+CF78*CG78</f>
        <v>1729.52</v>
      </c>
      <c r="CI78" s="207">
        <f>'Arable NPV'!$E158</f>
        <v>175.95</v>
      </c>
      <c r="CJ78" s="207">
        <f t="shared" si="178"/>
        <v>1905.47</v>
      </c>
      <c r="CK78" s="207">
        <f>'Arable NPV'!$G158</f>
        <v>671.92799999999988</v>
      </c>
      <c r="CL78" s="207">
        <f>'Arable NPV'!$H158</f>
        <v>969.47373599999992</v>
      </c>
      <c r="CM78" s="207">
        <f t="shared" si="179"/>
        <v>1641.4017359999998</v>
      </c>
      <c r="CN78" s="207">
        <f t="shared" si="180"/>
        <v>88.118264000000181</v>
      </c>
      <c r="CO78" s="207">
        <f t="shared" si="181"/>
        <v>264.06826400000023</v>
      </c>
      <c r="CP78" s="208">
        <f t="shared" si="182"/>
        <v>545.21683357260599</v>
      </c>
      <c r="CQ78" s="207">
        <f t="shared" si="183"/>
        <v>55.466777988748333</v>
      </c>
      <c r="CR78" s="207">
        <f t="shared" si="184"/>
        <v>517.43828179061154</v>
      </c>
      <c r="CS78" s="207">
        <f t="shared" si="185"/>
        <v>27.778551781994459</v>
      </c>
      <c r="CT78" s="209">
        <f t="shared" si="186"/>
        <v>83.245329770742813</v>
      </c>
      <c r="CU78" s="208">
        <f t="shared" si="187"/>
        <v>13808.65043482301</v>
      </c>
      <c r="CV78" s="207">
        <f t="shared" si="187"/>
        <v>1681.9902751406446</v>
      </c>
      <c r="CW78" s="207">
        <f t="shared" si="188"/>
        <v>14268.746924363224</v>
      </c>
      <c r="CX78" s="207">
        <f t="shared" si="189"/>
        <v>-460.09648954021213</v>
      </c>
      <c r="CY78" s="209">
        <f t="shared" si="190"/>
        <v>1221.8937856004327</v>
      </c>
      <c r="DB78" s="206">
        <f t="shared" si="191"/>
        <v>16</v>
      </c>
      <c r="DC78" s="220" t="s">
        <v>4</v>
      </c>
      <c r="DD78" s="761">
        <f>'Arable Inputs'!$D$18</f>
        <v>7.45</v>
      </c>
      <c r="DE78" s="761">
        <f>'Arable Inputs'!$D$25</f>
        <v>193.7</v>
      </c>
      <c r="DF78" s="761">
        <f>'Arable Inputs'!$D$19</f>
        <v>3.9</v>
      </c>
      <c r="DG78" s="761">
        <f>'Arable Inputs'!$D$26</f>
        <v>73.449999999999989</v>
      </c>
      <c r="DH78" s="207">
        <f>DD78*DE78+DF78*DG78</f>
        <v>1729.52</v>
      </c>
      <c r="DI78" s="207">
        <f>'Arable NPV'!$E158</f>
        <v>175.95</v>
      </c>
      <c r="DJ78" s="207">
        <f t="shared" si="192"/>
        <v>1905.47</v>
      </c>
      <c r="DK78" s="207">
        <f>'Arable NPV'!$G158</f>
        <v>671.92799999999988</v>
      </c>
      <c r="DL78" s="207">
        <f>'Arable NPV'!$H158</f>
        <v>969.47373599999992</v>
      </c>
      <c r="DM78" s="207">
        <f t="shared" si="193"/>
        <v>1641.4017359999998</v>
      </c>
      <c r="DN78" s="207">
        <f t="shared" si="194"/>
        <v>88.118264000000181</v>
      </c>
      <c r="DO78" s="207">
        <f t="shared" si="195"/>
        <v>264.06826400000023</v>
      </c>
      <c r="DP78" s="208">
        <f t="shared" si="196"/>
        <v>1729.52</v>
      </c>
      <c r="DQ78" s="207">
        <f t="shared" si="197"/>
        <v>175.95</v>
      </c>
      <c r="DR78" s="207">
        <f t="shared" si="198"/>
        <v>1641.4017359999998</v>
      </c>
      <c r="DS78" s="207">
        <f t="shared" si="199"/>
        <v>88.118264000000181</v>
      </c>
      <c r="DT78" s="209">
        <f t="shared" si="200"/>
        <v>264.06826400000023</v>
      </c>
      <c r="DU78" s="208">
        <f t="shared" si="201"/>
        <v>22790.105000000003</v>
      </c>
      <c r="DV78" s="207">
        <f t="shared" si="201"/>
        <v>2815.1999999999994</v>
      </c>
      <c r="DW78" s="207">
        <f t="shared" si="201"/>
        <v>23708.312540571424</v>
      </c>
      <c r="DX78" s="207">
        <f t="shared" si="201"/>
        <v>-918.20754057142472</v>
      </c>
      <c r="DY78" s="209">
        <f t="shared" si="201"/>
        <v>1896.992459428576</v>
      </c>
    </row>
    <row r="84" spans="2:119" x14ac:dyDescent="0.3">
      <c r="B84" s="211" t="s">
        <v>94</v>
      </c>
      <c r="C84" s="763" t="s">
        <v>420</v>
      </c>
      <c r="D84" s="269" t="s">
        <v>405</v>
      </c>
      <c r="E84" s="194"/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Z84" s="211" t="s">
        <v>94</v>
      </c>
      <c r="AA84" s="211" t="s">
        <v>428</v>
      </c>
      <c r="AB84" s="769"/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X84" s="211" t="s">
        <v>94</v>
      </c>
      <c r="AY84" s="211" t="s">
        <v>427</v>
      </c>
      <c r="AZ84" s="231"/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V84" s="211" t="s">
        <v>94</v>
      </c>
      <c r="BW84" s="211" t="s">
        <v>426</v>
      </c>
      <c r="BX84" s="231"/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T84" s="211" t="s">
        <v>94</v>
      </c>
      <c r="CU84" s="211" t="s">
        <v>425</v>
      </c>
      <c r="CV84" s="231"/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</row>
    <row r="85" spans="2:119" x14ac:dyDescent="0.3">
      <c r="B85" s="203"/>
      <c r="C85" s="148"/>
      <c r="D85" s="148"/>
      <c r="E85" s="1086"/>
      <c r="F85" s="1086"/>
      <c r="G85" s="1086"/>
      <c r="H85" s="148"/>
      <c r="I85" s="931"/>
      <c r="J85" s="1086"/>
      <c r="K85" s="1086"/>
      <c r="L85" s="148"/>
      <c r="M85" s="148"/>
      <c r="N85" s="1087" t="s">
        <v>275</v>
      </c>
      <c r="O85" s="1088"/>
      <c r="P85" s="1088"/>
      <c r="Q85" s="1088"/>
      <c r="R85" s="1089"/>
      <c r="S85" s="1087" t="s">
        <v>276</v>
      </c>
      <c r="T85" s="1088"/>
      <c r="U85" s="1088"/>
      <c r="V85" s="1088"/>
      <c r="W85" s="1089"/>
      <c r="X85" s="987"/>
      <c r="Z85" s="203"/>
      <c r="AA85" s="148"/>
      <c r="AB85" s="148"/>
      <c r="AC85" s="1086"/>
      <c r="AD85" s="1086"/>
      <c r="AE85" s="1086"/>
      <c r="AF85" s="148"/>
      <c r="AG85" s="931"/>
      <c r="AH85" s="1086"/>
      <c r="AI85" s="1086"/>
      <c r="AJ85" s="148"/>
      <c r="AK85" s="148"/>
      <c r="AL85" s="1087" t="s">
        <v>275</v>
      </c>
      <c r="AM85" s="1088"/>
      <c r="AN85" s="1088"/>
      <c r="AO85" s="1088"/>
      <c r="AP85" s="1089"/>
      <c r="AQ85" s="1087" t="s">
        <v>276</v>
      </c>
      <c r="AR85" s="1088"/>
      <c r="AS85" s="1088"/>
      <c r="AT85" s="1088"/>
      <c r="AU85" s="1089"/>
      <c r="AV85" s="987"/>
      <c r="AX85" s="203"/>
      <c r="AY85" s="148"/>
      <c r="AZ85" s="148"/>
      <c r="BA85" s="1086"/>
      <c r="BB85" s="1086"/>
      <c r="BC85" s="1086"/>
      <c r="BD85" s="148"/>
      <c r="BE85" s="931"/>
      <c r="BF85" s="1086"/>
      <c r="BG85" s="1086"/>
      <c r="BH85" s="148"/>
      <c r="BI85" s="148"/>
      <c r="BJ85" s="1087" t="s">
        <v>275</v>
      </c>
      <c r="BK85" s="1088"/>
      <c r="BL85" s="1088"/>
      <c r="BM85" s="1088"/>
      <c r="BN85" s="1089"/>
      <c r="BO85" s="1087" t="s">
        <v>276</v>
      </c>
      <c r="BP85" s="1088"/>
      <c r="BQ85" s="1088"/>
      <c r="BR85" s="1088"/>
      <c r="BS85" s="1089"/>
      <c r="BT85" s="987"/>
      <c r="BV85" s="203"/>
      <c r="BW85" s="148"/>
      <c r="BX85" s="148"/>
      <c r="BY85" s="1086"/>
      <c r="BZ85" s="1086"/>
      <c r="CA85" s="1086"/>
      <c r="CB85" s="148"/>
      <c r="CC85" s="931"/>
      <c r="CD85" s="1086"/>
      <c r="CE85" s="1086"/>
      <c r="CF85" s="148"/>
      <c r="CG85" s="148"/>
      <c r="CH85" s="1087" t="s">
        <v>275</v>
      </c>
      <c r="CI85" s="1088"/>
      <c r="CJ85" s="1088"/>
      <c r="CK85" s="1088"/>
      <c r="CL85" s="1089"/>
      <c r="CM85" s="1087" t="s">
        <v>276</v>
      </c>
      <c r="CN85" s="1088"/>
      <c r="CO85" s="1088"/>
      <c r="CP85" s="1088"/>
      <c r="CQ85" s="1089"/>
      <c r="CR85" s="987"/>
      <c r="CT85" s="203"/>
      <c r="CU85" s="148"/>
      <c r="CV85" s="148"/>
      <c r="CW85" s="1086"/>
      <c r="CX85" s="1086"/>
      <c r="CY85" s="1086"/>
      <c r="CZ85" s="148"/>
      <c r="DA85" s="931"/>
      <c r="DB85" s="1086"/>
      <c r="DC85" s="1086"/>
      <c r="DD85" s="148"/>
      <c r="DE85" s="148"/>
      <c r="DF85" s="1087" t="s">
        <v>275</v>
      </c>
      <c r="DG85" s="1088"/>
      <c r="DH85" s="1088"/>
      <c r="DI85" s="1088"/>
      <c r="DJ85" s="1089"/>
      <c r="DK85" s="1087" t="s">
        <v>276</v>
      </c>
      <c r="DL85" s="1088"/>
      <c r="DM85" s="1088"/>
      <c r="DN85" s="1088"/>
      <c r="DO85" s="1089"/>
    </row>
    <row r="86" spans="2:119" ht="51" x14ac:dyDescent="0.3">
      <c r="B86" s="204" t="s">
        <v>277</v>
      </c>
      <c r="C86" s="205" t="s">
        <v>303</v>
      </c>
      <c r="D86" s="205" t="s">
        <v>304</v>
      </c>
      <c r="E86" s="171" t="s">
        <v>675</v>
      </c>
      <c r="F86" s="171" t="s">
        <v>666</v>
      </c>
      <c r="G86" s="171" t="s">
        <v>676</v>
      </c>
      <c r="H86" s="205" t="s">
        <v>301</v>
      </c>
      <c r="I86" s="935" t="s">
        <v>302</v>
      </c>
      <c r="J86" s="205" t="s">
        <v>305</v>
      </c>
      <c r="K86" s="171" t="s">
        <v>283</v>
      </c>
      <c r="L86" s="171" t="s">
        <v>677</v>
      </c>
      <c r="M86" s="171" t="s">
        <v>678</v>
      </c>
      <c r="N86" s="195" t="s">
        <v>286</v>
      </c>
      <c r="O86" s="171" t="s">
        <v>679</v>
      </c>
      <c r="P86" s="171" t="s">
        <v>288</v>
      </c>
      <c r="Q86" s="171" t="s">
        <v>680</v>
      </c>
      <c r="R86" s="198" t="s">
        <v>290</v>
      </c>
      <c r="S86" s="195" t="s">
        <v>291</v>
      </c>
      <c r="T86" s="171" t="s">
        <v>681</v>
      </c>
      <c r="U86" s="171" t="s">
        <v>293</v>
      </c>
      <c r="V86" s="171" t="s">
        <v>682</v>
      </c>
      <c r="W86" s="198" t="s">
        <v>295</v>
      </c>
      <c r="X86" s="171"/>
      <c r="Z86" s="204" t="s">
        <v>277</v>
      </c>
      <c r="AA86" s="205" t="s">
        <v>303</v>
      </c>
      <c r="AB86" s="205" t="s">
        <v>304</v>
      </c>
      <c r="AC86" s="171" t="s">
        <v>675</v>
      </c>
      <c r="AD86" s="171" t="s">
        <v>666</v>
      </c>
      <c r="AE86" s="171" t="s">
        <v>676</v>
      </c>
      <c r="AF86" s="205" t="s">
        <v>301</v>
      </c>
      <c r="AG86" s="935" t="s">
        <v>302</v>
      </c>
      <c r="AH86" s="205" t="s">
        <v>305</v>
      </c>
      <c r="AI86" s="171" t="s">
        <v>283</v>
      </c>
      <c r="AJ86" s="171" t="s">
        <v>677</v>
      </c>
      <c r="AK86" s="171" t="s">
        <v>678</v>
      </c>
      <c r="AL86" s="195" t="s">
        <v>286</v>
      </c>
      <c r="AM86" s="171" t="s">
        <v>679</v>
      </c>
      <c r="AN86" s="171" t="s">
        <v>288</v>
      </c>
      <c r="AO86" s="171" t="s">
        <v>680</v>
      </c>
      <c r="AP86" s="198" t="s">
        <v>290</v>
      </c>
      <c r="AQ86" s="195" t="s">
        <v>291</v>
      </c>
      <c r="AR86" s="171" t="s">
        <v>681</v>
      </c>
      <c r="AS86" s="171" t="s">
        <v>293</v>
      </c>
      <c r="AT86" s="171" t="s">
        <v>682</v>
      </c>
      <c r="AU86" s="198" t="s">
        <v>295</v>
      </c>
      <c r="AV86" s="171"/>
      <c r="AX86" s="204" t="s">
        <v>277</v>
      </c>
      <c r="AY86" s="205" t="s">
        <v>303</v>
      </c>
      <c r="AZ86" s="205" t="s">
        <v>304</v>
      </c>
      <c r="BA86" s="171" t="s">
        <v>675</v>
      </c>
      <c r="BB86" s="171" t="s">
        <v>666</v>
      </c>
      <c r="BC86" s="171" t="s">
        <v>676</v>
      </c>
      <c r="BD86" s="205" t="s">
        <v>301</v>
      </c>
      <c r="BE86" s="935" t="s">
        <v>302</v>
      </c>
      <c r="BF86" s="205" t="s">
        <v>305</v>
      </c>
      <c r="BG86" s="171" t="s">
        <v>283</v>
      </c>
      <c r="BH86" s="171" t="s">
        <v>677</v>
      </c>
      <c r="BI86" s="171" t="s">
        <v>678</v>
      </c>
      <c r="BJ86" s="195" t="s">
        <v>286</v>
      </c>
      <c r="BK86" s="171" t="s">
        <v>679</v>
      </c>
      <c r="BL86" s="171" t="s">
        <v>288</v>
      </c>
      <c r="BM86" s="171" t="s">
        <v>680</v>
      </c>
      <c r="BN86" s="198" t="s">
        <v>290</v>
      </c>
      <c r="BO86" s="195" t="s">
        <v>291</v>
      </c>
      <c r="BP86" s="171" t="s">
        <v>681</v>
      </c>
      <c r="BQ86" s="171" t="s">
        <v>293</v>
      </c>
      <c r="BR86" s="171" t="s">
        <v>682</v>
      </c>
      <c r="BS86" s="198" t="s">
        <v>295</v>
      </c>
      <c r="BT86" s="171"/>
      <c r="BV86" s="204" t="s">
        <v>277</v>
      </c>
      <c r="BW86" s="205" t="s">
        <v>303</v>
      </c>
      <c r="BX86" s="205" t="s">
        <v>304</v>
      </c>
      <c r="BY86" s="171" t="s">
        <v>675</v>
      </c>
      <c r="BZ86" s="171" t="s">
        <v>666</v>
      </c>
      <c r="CA86" s="171" t="s">
        <v>676</v>
      </c>
      <c r="CB86" s="205" t="s">
        <v>301</v>
      </c>
      <c r="CC86" s="935" t="s">
        <v>302</v>
      </c>
      <c r="CD86" s="205" t="s">
        <v>305</v>
      </c>
      <c r="CE86" s="171" t="s">
        <v>283</v>
      </c>
      <c r="CF86" s="171" t="s">
        <v>677</v>
      </c>
      <c r="CG86" s="171" t="s">
        <v>678</v>
      </c>
      <c r="CH86" s="195" t="s">
        <v>286</v>
      </c>
      <c r="CI86" s="171" t="s">
        <v>679</v>
      </c>
      <c r="CJ86" s="171" t="s">
        <v>288</v>
      </c>
      <c r="CK86" s="171" t="s">
        <v>680</v>
      </c>
      <c r="CL86" s="198" t="s">
        <v>290</v>
      </c>
      <c r="CM86" s="195" t="s">
        <v>291</v>
      </c>
      <c r="CN86" s="171" t="s">
        <v>681</v>
      </c>
      <c r="CO86" s="171" t="s">
        <v>293</v>
      </c>
      <c r="CP86" s="171" t="s">
        <v>682</v>
      </c>
      <c r="CQ86" s="198" t="s">
        <v>295</v>
      </c>
      <c r="CR86" s="171"/>
      <c r="CT86" s="204" t="s">
        <v>277</v>
      </c>
      <c r="CU86" s="205" t="s">
        <v>303</v>
      </c>
      <c r="CV86" s="205" t="s">
        <v>304</v>
      </c>
      <c r="CW86" s="171" t="s">
        <v>675</v>
      </c>
      <c r="CX86" s="171" t="s">
        <v>666</v>
      </c>
      <c r="CY86" s="171" t="s">
        <v>676</v>
      </c>
      <c r="CZ86" s="205" t="s">
        <v>301</v>
      </c>
      <c r="DA86" s="935" t="s">
        <v>302</v>
      </c>
      <c r="DB86" s="205" t="s">
        <v>305</v>
      </c>
      <c r="DC86" s="171" t="s">
        <v>283</v>
      </c>
      <c r="DD86" s="171" t="s">
        <v>677</v>
      </c>
      <c r="DE86" s="171" t="s">
        <v>678</v>
      </c>
      <c r="DF86" s="195" t="s">
        <v>286</v>
      </c>
      <c r="DG86" s="171" t="s">
        <v>679</v>
      </c>
      <c r="DH86" s="171" t="s">
        <v>288</v>
      </c>
      <c r="DI86" s="171" t="s">
        <v>680</v>
      </c>
      <c r="DJ86" s="198" t="s">
        <v>290</v>
      </c>
      <c r="DK86" s="195" t="s">
        <v>291</v>
      </c>
      <c r="DL86" s="171" t="s">
        <v>681</v>
      </c>
      <c r="DM86" s="171" t="s">
        <v>293</v>
      </c>
      <c r="DN86" s="171" t="s">
        <v>682</v>
      </c>
      <c r="DO86" s="198" t="s">
        <v>295</v>
      </c>
    </row>
    <row r="87" spans="2:119" x14ac:dyDescent="0.3">
      <c r="B87" s="173"/>
      <c r="C87" s="226" t="s">
        <v>341</v>
      </c>
      <c r="D87" s="226" t="s">
        <v>601</v>
      </c>
      <c r="E87" s="201" t="s">
        <v>599</v>
      </c>
      <c r="F87" s="201" t="s">
        <v>599</v>
      </c>
      <c r="G87" s="201" t="s">
        <v>599</v>
      </c>
      <c r="H87" s="201" t="s">
        <v>599</v>
      </c>
      <c r="I87" s="969" t="s">
        <v>599</v>
      </c>
      <c r="J87" s="201" t="s">
        <v>599</v>
      </c>
      <c r="K87" s="201" t="s">
        <v>599</v>
      </c>
      <c r="L87" s="201" t="s">
        <v>599</v>
      </c>
      <c r="M87" s="202" t="s">
        <v>599</v>
      </c>
      <c r="N87" s="201" t="s">
        <v>599</v>
      </c>
      <c r="O87" s="201" t="s">
        <v>599</v>
      </c>
      <c r="P87" s="201" t="s">
        <v>599</v>
      </c>
      <c r="Q87" s="201" t="s">
        <v>599</v>
      </c>
      <c r="R87" s="202" t="s">
        <v>599</v>
      </c>
      <c r="S87" s="201" t="s">
        <v>599</v>
      </c>
      <c r="T87" s="201" t="s">
        <v>599</v>
      </c>
      <c r="U87" s="201" t="s">
        <v>599</v>
      </c>
      <c r="V87" s="201" t="s">
        <v>599</v>
      </c>
      <c r="W87" s="202" t="s">
        <v>599</v>
      </c>
      <c r="X87" s="988"/>
      <c r="Z87" s="173"/>
      <c r="AA87" s="226" t="s">
        <v>341</v>
      </c>
      <c r="AB87" s="226" t="s">
        <v>601</v>
      </c>
      <c r="AC87" s="201" t="s">
        <v>599</v>
      </c>
      <c r="AD87" s="201" t="s">
        <v>599</v>
      </c>
      <c r="AE87" s="201" t="s">
        <v>599</v>
      </c>
      <c r="AF87" s="201" t="s">
        <v>599</v>
      </c>
      <c r="AG87" s="969" t="s">
        <v>599</v>
      </c>
      <c r="AH87" s="201" t="s">
        <v>599</v>
      </c>
      <c r="AI87" s="201" t="s">
        <v>599</v>
      </c>
      <c r="AJ87" s="201" t="s">
        <v>599</v>
      </c>
      <c r="AK87" s="202" t="s">
        <v>599</v>
      </c>
      <c r="AL87" s="201" t="s">
        <v>599</v>
      </c>
      <c r="AM87" s="201" t="s">
        <v>599</v>
      </c>
      <c r="AN87" s="201" t="s">
        <v>599</v>
      </c>
      <c r="AO87" s="201" t="s">
        <v>599</v>
      </c>
      <c r="AP87" s="202" t="s">
        <v>599</v>
      </c>
      <c r="AQ87" s="201" t="s">
        <v>599</v>
      </c>
      <c r="AR87" s="201" t="s">
        <v>599</v>
      </c>
      <c r="AS87" s="201" t="s">
        <v>599</v>
      </c>
      <c r="AT87" s="201" t="s">
        <v>599</v>
      </c>
      <c r="AU87" s="202" t="s">
        <v>599</v>
      </c>
      <c r="AV87" s="988"/>
      <c r="AX87" s="173"/>
      <c r="AY87" s="226" t="s">
        <v>341</v>
      </c>
      <c r="AZ87" s="226" t="s">
        <v>601</v>
      </c>
      <c r="BA87" s="201" t="s">
        <v>599</v>
      </c>
      <c r="BB87" s="201" t="s">
        <v>599</v>
      </c>
      <c r="BC87" s="201" t="s">
        <v>599</v>
      </c>
      <c r="BD87" s="201" t="s">
        <v>599</v>
      </c>
      <c r="BE87" s="969" t="s">
        <v>599</v>
      </c>
      <c r="BF87" s="201" t="s">
        <v>599</v>
      </c>
      <c r="BG87" s="201" t="s">
        <v>599</v>
      </c>
      <c r="BH87" s="201" t="s">
        <v>599</v>
      </c>
      <c r="BI87" s="202" t="s">
        <v>599</v>
      </c>
      <c r="BJ87" s="201" t="s">
        <v>599</v>
      </c>
      <c r="BK87" s="201" t="s">
        <v>599</v>
      </c>
      <c r="BL87" s="201" t="s">
        <v>599</v>
      </c>
      <c r="BM87" s="201" t="s">
        <v>599</v>
      </c>
      <c r="BN87" s="202" t="s">
        <v>599</v>
      </c>
      <c r="BO87" s="201" t="s">
        <v>599</v>
      </c>
      <c r="BP87" s="201" t="s">
        <v>599</v>
      </c>
      <c r="BQ87" s="201" t="s">
        <v>599</v>
      </c>
      <c r="BR87" s="201" t="s">
        <v>599</v>
      </c>
      <c r="BS87" s="202" t="s">
        <v>599</v>
      </c>
      <c r="BT87" s="988"/>
      <c r="BV87" s="173"/>
      <c r="BW87" s="226" t="s">
        <v>341</v>
      </c>
      <c r="BX87" s="226" t="s">
        <v>601</v>
      </c>
      <c r="BY87" s="201" t="s">
        <v>599</v>
      </c>
      <c r="BZ87" s="201" t="s">
        <v>599</v>
      </c>
      <c r="CA87" s="201" t="s">
        <v>599</v>
      </c>
      <c r="CB87" s="201" t="s">
        <v>599</v>
      </c>
      <c r="CC87" s="969" t="s">
        <v>599</v>
      </c>
      <c r="CD87" s="201" t="s">
        <v>599</v>
      </c>
      <c r="CE87" s="201" t="s">
        <v>599</v>
      </c>
      <c r="CF87" s="201" t="s">
        <v>599</v>
      </c>
      <c r="CG87" s="202" t="s">
        <v>599</v>
      </c>
      <c r="CH87" s="201" t="s">
        <v>599</v>
      </c>
      <c r="CI87" s="201" t="s">
        <v>599</v>
      </c>
      <c r="CJ87" s="201" t="s">
        <v>599</v>
      </c>
      <c r="CK87" s="201" t="s">
        <v>599</v>
      </c>
      <c r="CL87" s="202" t="s">
        <v>599</v>
      </c>
      <c r="CM87" s="201" t="s">
        <v>599</v>
      </c>
      <c r="CN87" s="201" t="s">
        <v>599</v>
      </c>
      <c r="CO87" s="201" t="s">
        <v>599</v>
      </c>
      <c r="CP87" s="201" t="s">
        <v>599</v>
      </c>
      <c r="CQ87" s="202" t="s">
        <v>599</v>
      </c>
      <c r="CR87" s="988"/>
      <c r="CT87" s="173"/>
      <c r="CU87" s="226" t="s">
        <v>341</v>
      </c>
      <c r="CV87" s="226" t="s">
        <v>601</v>
      </c>
      <c r="CW87" s="201" t="s">
        <v>599</v>
      </c>
      <c r="CX87" s="201" t="s">
        <v>599</v>
      </c>
      <c r="CY87" s="201" t="s">
        <v>599</v>
      </c>
      <c r="CZ87" s="201" t="s">
        <v>599</v>
      </c>
      <c r="DA87" s="969" t="s">
        <v>599</v>
      </c>
      <c r="DB87" s="201" t="s">
        <v>599</v>
      </c>
      <c r="DC87" s="201" t="s">
        <v>599</v>
      </c>
      <c r="DD87" s="201" t="s">
        <v>599</v>
      </c>
      <c r="DE87" s="202" t="s">
        <v>599</v>
      </c>
      <c r="DF87" s="201" t="s">
        <v>599</v>
      </c>
      <c r="DG87" s="201" t="s">
        <v>599</v>
      </c>
      <c r="DH87" s="201" t="s">
        <v>599</v>
      </c>
      <c r="DI87" s="201" t="s">
        <v>599</v>
      </c>
      <c r="DJ87" s="202" t="s">
        <v>599</v>
      </c>
      <c r="DK87" s="201" t="s">
        <v>599</v>
      </c>
      <c r="DL87" s="201" t="s">
        <v>599</v>
      </c>
      <c r="DM87" s="201" t="s">
        <v>599</v>
      </c>
      <c r="DN87" s="201" t="s">
        <v>599</v>
      </c>
      <c r="DO87" s="202" t="s">
        <v>599</v>
      </c>
    </row>
    <row r="88" spans="2:119" x14ac:dyDescent="0.3">
      <c r="B88" s="204">
        <v>1</v>
      </c>
      <c r="C88" s="759">
        <f>'Energy NPV'!$D13</f>
        <v>0</v>
      </c>
      <c r="D88" s="197">
        <f>'Energy margins'!$E$12</f>
        <v>72</v>
      </c>
      <c r="E88" s="197">
        <f>C88*D88</f>
        <v>0</v>
      </c>
      <c r="F88" s="197">
        <f>'Margins summary'!$Q$14</f>
        <v>175.95</v>
      </c>
      <c r="G88" s="197">
        <f>E88+F88</f>
        <v>175.95</v>
      </c>
      <c r="H88" s="197">
        <f>'Margins summary'!$P$20</f>
        <v>2498.2967840000001</v>
      </c>
      <c r="I88" s="922">
        <f>'Energy NPV'!$U13</f>
        <v>0</v>
      </c>
      <c r="J88" s="197"/>
      <c r="K88" s="197">
        <f>H88+I88+J88</f>
        <v>2498.2967840000001</v>
      </c>
      <c r="L88" s="197">
        <f t="shared" ref="L88:L103" si="206">E88-K88</f>
        <v>-2498.2967840000001</v>
      </c>
      <c r="M88" s="197">
        <f t="shared" ref="M88:M103" si="207">G88-K88</f>
        <v>-2322.3467840000003</v>
      </c>
      <c r="N88" s="1018">
        <f>E88/((1+$B$4)^(B88-1))</f>
        <v>0</v>
      </c>
      <c r="O88" s="213">
        <f>F88/((1+$B$4)^(B88-1))</f>
        <v>175.95</v>
      </c>
      <c r="P88" s="213">
        <f>K88/((1+$B$4)^(B88-1))</f>
        <v>2498.2967840000001</v>
      </c>
      <c r="Q88" s="213">
        <f>L88/((1+$B$4)^(B88-1))</f>
        <v>-2498.2967840000001</v>
      </c>
      <c r="R88" s="929">
        <f>M88/((1+$B$4)^(B88-1))</f>
        <v>-2322.3467840000003</v>
      </c>
      <c r="S88" s="196">
        <f>N88</f>
        <v>0</v>
      </c>
      <c r="T88" s="197">
        <f>O88</f>
        <v>175.95</v>
      </c>
      <c r="U88" s="197">
        <f>P88</f>
        <v>2498.2967840000001</v>
      </c>
      <c r="V88" s="197">
        <f>Q88</f>
        <v>-2498.2967840000001</v>
      </c>
      <c r="W88" s="199">
        <f>R88</f>
        <v>-2322.3467840000003</v>
      </c>
      <c r="X88" s="197"/>
      <c r="Z88" s="204">
        <v>1</v>
      </c>
      <c r="AA88" s="759">
        <f>'Energy NPV'!$D13</f>
        <v>0</v>
      </c>
      <c r="AB88" s="197">
        <f>'Energy margins'!$E$12</f>
        <v>72</v>
      </c>
      <c r="AC88" s="197">
        <f>AA88*AB88</f>
        <v>0</v>
      </c>
      <c r="AD88" s="197">
        <f>'Margins summary'!$Q$14</f>
        <v>175.95</v>
      </c>
      <c r="AE88" s="197">
        <f>AC88+AD88</f>
        <v>175.95</v>
      </c>
      <c r="AF88" s="197">
        <f>'Margins summary'!$P$20</f>
        <v>2498.2967840000001</v>
      </c>
      <c r="AG88" s="918">
        <f>'Energy NPV'!$U13</f>
        <v>0</v>
      </c>
      <c r="AH88" s="197"/>
      <c r="AI88" s="197">
        <f>AF88+AG88+AH88</f>
        <v>2498.2967840000001</v>
      </c>
      <c r="AJ88" s="197">
        <f t="shared" ref="AJ88:AJ103" si="208">AC88-AI88</f>
        <v>-2498.2967840000001</v>
      </c>
      <c r="AK88" s="197">
        <f t="shared" ref="AK88:AK103" si="209">AE88-AI88</f>
        <v>-2322.3467840000003</v>
      </c>
      <c r="AL88" s="1018">
        <f>AC88/((1+$C$4)^(Z88-1))</f>
        <v>0</v>
      </c>
      <c r="AM88" s="213">
        <f>AD88/((1+$C$4)^(Z88-1))</f>
        <v>175.95</v>
      </c>
      <c r="AN88" s="213">
        <f>AI88/((1+$C$4)^(Z88-1))</f>
        <v>2498.2967840000001</v>
      </c>
      <c r="AO88" s="213">
        <f>AJ88/((1+$C$4)^(Z88-1))</f>
        <v>-2498.2967840000001</v>
      </c>
      <c r="AP88" s="929">
        <f>AK88/((1+$C$4)^(Z88-1))</f>
        <v>-2322.3467840000003</v>
      </c>
      <c r="AQ88" s="196">
        <f>AL88</f>
        <v>0</v>
      </c>
      <c r="AR88" s="197">
        <f>AM88</f>
        <v>175.95</v>
      </c>
      <c r="AS88" s="197">
        <f>AN88</f>
        <v>2498.2967840000001</v>
      </c>
      <c r="AT88" s="197">
        <f>AO88</f>
        <v>-2498.2967840000001</v>
      </c>
      <c r="AU88" s="199">
        <f>AP88</f>
        <v>-2322.3467840000003</v>
      </c>
      <c r="AV88" s="197"/>
      <c r="AX88" s="204">
        <v>1</v>
      </c>
      <c r="AY88" s="759">
        <f>'Energy NPV'!$D13</f>
        <v>0</v>
      </c>
      <c r="AZ88" s="197">
        <f>'Energy margins'!$E$12</f>
        <v>72</v>
      </c>
      <c r="BA88" s="197">
        <f>AY88*AZ88</f>
        <v>0</v>
      </c>
      <c r="BB88" s="197">
        <f>'Margins summary'!$Q$14</f>
        <v>175.95</v>
      </c>
      <c r="BC88" s="197">
        <f>BA88+BB88</f>
        <v>175.95</v>
      </c>
      <c r="BD88" s="197">
        <f>'Margins summary'!$P$20</f>
        <v>2498.2967840000001</v>
      </c>
      <c r="BE88" s="918">
        <f>'Energy NPV'!$U13</f>
        <v>0</v>
      </c>
      <c r="BF88" s="197"/>
      <c r="BG88" s="197">
        <f>BD88+BE88+BF88</f>
        <v>2498.2967840000001</v>
      </c>
      <c r="BH88" s="197">
        <f t="shared" ref="BH88:BH103" si="210">BA88-BG88</f>
        <v>-2498.2967840000001</v>
      </c>
      <c r="BI88" s="197">
        <f t="shared" ref="BI88:BI103" si="211">BC88-BG88</f>
        <v>-2322.3467840000003</v>
      </c>
      <c r="BJ88" s="1018">
        <f>BA88/((1+$D$4)^(AX88-1))</f>
        <v>0</v>
      </c>
      <c r="BK88" s="213">
        <f>BB88/((1+$D$4)^(AX88-1))</f>
        <v>175.95</v>
      </c>
      <c r="BL88" s="213">
        <f>BG88/((1+$D$4)^(AX88-1))</f>
        <v>2498.2967840000001</v>
      </c>
      <c r="BM88" s="213">
        <f>BH88/((1+$D$4)^(AX88-1))</f>
        <v>-2498.2967840000001</v>
      </c>
      <c r="BN88" s="929">
        <f>BI88/((1+$D$4)^(AX88-1))</f>
        <v>-2322.3467840000003</v>
      </c>
      <c r="BO88" s="196">
        <f>BJ88</f>
        <v>0</v>
      </c>
      <c r="BP88" s="197">
        <f>BK88</f>
        <v>175.95</v>
      </c>
      <c r="BQ88" s="197">
        <f>BL88</f>
        <v>2498.2967840000001</v>
      </c>
      <c r="BR88" s="197">
        <f>BM88</f>
        <v>-2498.2967840000001</v>
      </c>
      <c r="BS88" s="199">
        <f>BN88</f>
        <v>-2322.3467840000003</v>
      </c>
      <c r="BT88" s="197"/>
      <c r="BV88" s="204">
        <v>1</v>
      </c>
      <c r="BW88" s="759">
        <f>'Energy NPV'!$D13</f>
        <v>0</v>
      </c>
      <c r="BX88" s="197">
        <f>'Energy margins'!$E$12</f>
        <v>72</v>
      </c>
      <c r="BY88" s="197">
        <f>BW88*BX88</f>
        <v>0</v>
      </c>
      <c r="BZ88" s="197">
        <f>'Margins summary'!$Q$14</f>
        <v>175.95</v>
      </c>
      <c r="CA88" s="197">
        <f>BY88+BZ88</f>
        <v>175.95</v>
      </c>
      <c r="CB88" s="197">
        <f>'Margins summary'!$P$20</f>
        <v>2498.2967840000001</v>
      </c>
      <c r="CC88" s="918">
        <f>'Energy NPV'!$U13</f>
        <v>0</v>
      </c>
      <c r="CD88" s="197"/>
      <c r="CE88" s="197">
        <f>CB88+CC88+CD88</f>
        <v>2498.2967840000001</v>
      </c>
      <c r="CF88" s="197">
        <f t="shared" ref="CF88:CF103" si="212">BY88-CE88</f>
        <v>-2498.2967840000001</v>
      </c>
      <c r="CG88" s="197">
        <f t="shared" ref="CG88:CG103" si="213">CA88-CE88</f>
        <v>-2322.3467840000003</v>
      </c>
      <c r="CH88" s="1018">
        <f>BY88/((1+$E$4)^(BV88-1))</f>
        <v>0</v>
      </c>
      <c r="CI88" s="213">
        <f>BZ88/((1+$E$4)^(BV88-1))</f>
        <v>175.95</v>
      </c>
      <c r="CJ88" s="213">
        <f>CE88/((1+$E$4)^(BV88-1))</f>
        <v>2498.2967840000001</v>
      </c>
      <c r="CK88" s="213">
        <f>CF88/((1+$E$4)^(BV88-1))</f>
        <v>-2498.2967840000001</v>
      </c>
      <c r="CL88" s="929">
        <f>CG88/((1+$E$4)^(BV88-1))</f>
        <v>-2322.3467840000003</v>
      </c>
      <c r="CM88" s="196">
        <f>CH88</f>
        <v>0</v>
      </c>
      <c r="CN88" s="197">
        <f>CI88</f>
        <v>175.95</v>
      </c>
      <c r="CO88" s="197">
        <f>CJ88</f>
        <v>2498.2967840000001</v>
      </c>
      <c r="CP88" s="197">
        <f>CK88</f>
        <v>-2498.2967840000001</v>
      </c>
      <c r="CQ88" s="199">
        <f>CL88</f>
        <v>-2322.3467840000003</v>
      </c>
      <c r="CR88" s="197"/>
      <c r="CT88" s="204">
        <v>1</v>
      </c>
      <c r="CU88" s="759">
        <f>'Energy NPV'!$D13</f>
        <v>0</v>
      </c>
      <c r="CV88" s="197">
        <f>'Energy margins'!$E$12</f>
        <v>72</v>
      </c>
      <c r="CW88" s="197">
        <f>CU88*CV88</f>
        <v>0</v>
      </c>
      <c r="CX88" s="197">
        <f>'Margins summary'!$Q$14</f>
        <v>175.95</v>
      </c>
      <c r="CY88" s="197">
        <f>CW88+CX88</f>
        <v>175.95</v>
      </c>
      <c r="CZ88" s="197">
        <f>'Margins summary'!$P$20</f>
        <v>2498.2967840000001</v>
      </c>
      <c r="DA88" s="918">
        <f>'Energy NPV'!$U13</f>
        <v>0</v>
      </c>
      <c r="DB88" s="197"/>
      <c r="DC88" s="197">
        <f>CZ88+DA88+DB88</f>
        <v>2498.2967840000001</v>
      </c>
      <c r="DD88" s="197">
        <f t="shared" ref="DD88:DD103" si="214">CW88-DC88</f>
        <v>-2498.2967840000001</v>
      </c>
      <c r="DE88" s="197">
        <f t="shared" ref="DE88:DE103" si="215">CY88-DC88</f>
        <v>-2322.3467840000003</v>
      </c>
      <c r="DF88" s="1018">
        <f>CW88/((1+$F$4)^(CT88-1))</f>
        <v>0</v>
      </c>
      <c r="DG88" s="213">
        <f>CX88/((1+$F$4)^(CT88-1))</f>
        <v>175.95</v>
      </c>
      <c r="DH88" s="213">
        <f>DC88/((1+$F$4)^(CT88-1))</f>
        <v>2498.2967840000001</v>
      </c>
      <c r="DI88" s="213">
        <f>DD88/((1+$F$4)^(CT88-1))</f>
        <v>-2498.2967840000001</v>
      </c>
      <c r="DJ88" s="929">
        <f>DE88/((1+$F$4)^(CT88-1))</f>
        <v>-2322.3467840000003</v>
      </c>
      <c r="DK88" s="196">
        <f>DF88</f>
        <v>0</v>
      </c>
      <c r="DL88" s="197">
        <f>DG88</f>
        <v>175.95</v>
      </c>
      <c r="DM88" s="197">
        <f>DH88</f>
        <v>2498.2967840000001</v>
      </c>
      <c r="DN88" s="197">
        <f>DI88</f>
        <v>-2498.2967840000001</v>
      </c>
      <c r="DO88" s="199">
        <f>DJ88</f>
        <v>-2322.3467840000003</v>
      </c>
    </row>
    <row r="89" spans="2:119" x14ac:dyDescent="0.3">
      <c r="B89" s="204">
        <v>2</v>
      </c>
      <c r="C89" s="759">
        <f>'Energy NPV'!$D14</f>
        <v>0</v>
      </c>
      <c r="D89" s="197">
        <f>'Energy margins'!$E$12</f>
        <v>72</v>
      </c>
      <c r="E89" s="197">
        <f>C89*D89</f>
        <v>0</v>
      </c>
      <c r="F89" s="197">
        <f>'Margins summary'!$Q$14</f>
        <v>175.95</v>
      </c>
      <c r="G89" s="197">
        <f t="shared" ref="G89:G103" si="216">E89+F89</f>
        <v>175.95</v>
      </c>
      <c r="H89" s="197"/>
      <c r="I89" s="922">
        <f>'Energy NPV'!$U14</f>
        <v>158.5616</v>
      </c>
      <c r="J89" s="197"/>
      <c r="K89" s="197">
        <f t="shared" ref="K89:K103" si="217">H89+I89+J89</f>
        <v>158.5616</v>
      </c>
      <c r="L89" s="197">
        <f t="shared" si="206"/>
        <v>-158.5616</v>
      </c>
      <c r="M89" s="197">
        <f t="shared" si="207"/>
        <v>17.38839999999999</v>
      </c>
      <c r="N89" s="196">
        <f t="shared" ref="N89:N103" si="218">E89/((1+$B$4)^(B89-1))</f>
        <v>0</v>
      </c>
      <c r="O89" s="197">
        <f t="shared" ref="O89:O103" si="219">F89/((1+$B$4)^(B89-1))</f>
        <v>169.18269230769229</v>
      </c>
      <c r="P89" s="197">
        <f t="shared" ref="P89:P103" si="220">K89/((1+$B$4)^(B89-1))</f>
        <v>152.46307692307693</v>
      </c>
      <c r="Q89" s="197">
        <f t="shared" ref="Q89:Q103" si="221">L89/((1+$B$4)^(B89-1))</f>
        <v>-152.46307692307693</v>
      </c>
      <c r="R89" s="199">
        <f t="shared" ref="R89:R102" si="222">M89/((1+$B$4)^(B89-1))</f>
        <v>16.719615384615373</v>
      </c>
      <c r="S89" s="196">
        <f>S88+N89</f>
        <v>0</v>
      </c>
      <c r="T89" s="197">
        <f t="shared" ref="T89:W103" si="223">T88+O89</f>
        <v>345.13269230769231</v>
      </c>
      <c r="U89" s="197">
        <f t="shared" si="223"/>
        <v>2650.7598609230772</v>
      </c>
      <c r="V89" s="197">
        <f t="shared" si="223"/>
        <v>-2650.7598609230772</v>
      </c>
      <c r="W89" s="199">
        <f t="shared" si="223"/>
        <v>-2305.627168615385</v>
      </c>
      <c r="X89" s="197"/>
      <c r="Z89" s="204">
        <v>2</v>
      </c>
      <c r="AA89" s="759">
        <f>'Energy NPV'!$D14</f>
        <v>0</v>
      </c>
      <c r="AB89" s="197">
        <f>'Energy margins'!$E$12</f>
        <v>72</v>
      </c>
      <c r="AC89" s="197">
        <f>AA89*AB89</f>
        <v>0</v>
      </c>
      <c r="AD89" s="197">
        <f>'Margins summary'!$Q$14</f>
        <v>175.95</v>
      </c>
      <c r="AE89" s="197">
        <f t="shared" ref="AE89:AE103" si="224">AC89+AD89</f>
        <v>175.95</v>
      </c>
      <c r="AF89" s="197"/>
      <c r="AG89" s="918">
        <f>'Energy NPV'!$U14</f>
        <v>158.5616</v>
      </c>
      <c r="AH89" s="197"/>
      <c r="AI89" s="197">
        <f t="shared" ref="AI89:AI103" si="225">AF89+AG89+AH89</f>
        <v>158.5616</v>
      </c>
      <c r="AJ89" s="197">
        <f t="shared" si="208"/>
        <v>-158.5616</v>
      </c>
      <c r="AK89" s="197">
        <f t="shared" si="209"/>
        <v>17.38839999999999</v>
      </c>
      <c r="AL89" s="196">
        <f t="shared" ref="AL89:AL103" si="226">AC89/((1+$C$4)^(Z89-1))</f>
        <v>0</v>
      </c>
      <c r="AM89" s="197">
        <f t="shared" ref="AM89:AM103" si="227">AD89/((1+$C$4)^(Z89-1))</f>
        <v>165.99056603773582</v>
      </c>
      <c r="AN89" s="197">
        <f t="shared" ref="AN89:AN103" si="228">AI89/((1+$C$4)^(Z89-1))</f>
        <v>149.5864150943396</v>
      </c>
      <c r="AO89" s="197">
        <f t="shared" ref="AO89:AO103" si="229">AJ89/((1+$C$4)^(Z89-1))</f>
        <v>-149.5864150943396</v>
      </c>
      <c r="AP89" s="199">
        <f t="shared" ref="AP89:AP102" si="230">AK89/((1+$C$4)^(Z89-1))</f>
        <v>16.404150943396218</v>
      </c>
      <c r="AQ89" s="196">
        <f>AQ88+AL89</f>
        <v>0</v>
      </c>
      <c r="AR89" s="197">
        <f t="shared" ref="AR89:AU103" si="231">AR88+AM89</f>
        <v>341.94056603773583</v>
      </c>
      <c r="AS89" s="197">
        <f t="shared" si="231"/>
        <v>2647.8831990943399</v>
      </c>
      <c r="AT89" s="197">
        <f t="shared" si="231"/>
        <v>-2647.8831990943399</v>
      </c>
      <c r="AU89" s="199">
        <f t="shared" si="231"/>
        <v>-2305.9426330566039</v>
      </c>
      <c r="AV89" s="197"/>
      <c r="AX89" s="204">
        <v>2</v>
      </c>
      <c r="AY89" s="759">
        <f>'Energy NPV'!$D14</f>
        <v>0</v>
      </c>
      <c r="AZ89" s="197">
        <f>'Energy margins'!$E$12</f>
        <v>72</v>
      </c>
      <c r="BA89" s="197">
        <f>AY89*AZ89</f>
        <v>0</v>
      </c>
      <c r="BB89" s="197">
        <f>'Margins summary'!$Q$14</f>
        <v>175.95</v>
      </c>
      <c r="BC89" s="197">
        <f t="shared" ref="BC89:BC103" si="232">BA89+BB89</f>
        <v>175.95</v>
      </c>
      <c r="BD89" s="197"/>
      <c r="BE89" s="918">
        <f>'Energy NPV'!$U14</f>
        <v>158.5616</v>
      </c>
      <c r="BF89" s="197"/>
      <c r="BG89" s="197">
        <f t="shared" ref="BG89:BG103" si="233">BD89+BE89+BF89</f>
        <v>158.5616</v>
      </c>
      <c r="BH89" s="197">
        <f t="shared" si="210"/>
        <v>-158.5616</v>
      </c>
      <c r="BI89" s="197">
        <f t="shared" si="211"/>
        <v>17.38839999999999</v>
      </c>
      <c r="BJ89" s="196">
        <f t="shared" ref="BJ89:BJ103" si="234">BA89/((1+$D$4)^(AX89-1))</f>
        <v>0</v>
      </c>
      <c r="BK89" s="197">
        <f t="shared" ref="BK89:BK103" si="235">BB89/((1+$D$4)^(AX89-1))</f>
        <v>172.5</v>
      </c>
      <c r="BL89" s="197">
        <f t="shared" ref="BL89:BL103" si="236">BG89/((1+$D$4)^(AX89-1))</f>
        <v>155.45254901960783</v>
      </c>
      <c r="BM89" s="197">
        <f t="shared" ref="BM89:BM103" si="237">BH89/((1+$D$4)^(AX89-1))</f>
        <v>-155.45254901960783</v>
      </c>
      <c r="BN89" s="199">
        <f t="shared" ref="BN89:BN103" si="238">BI89/((1+$D$4)^(AX89-1))</f>
        <v>17.047450980392146</v>
      </c>
      <c r="BO89" s="196">
        <f>BO88+BJ89</f>
        <v>0</v>
      </c>
      <c r="BP89" s="197">
        <f t="shared" ref="BP89:BS103" si="239">BP88+BK89</f>
        <v>348.45</v>
      </c>
      <c r="BQ89" s="197">
        <f t="shared" si="239"/>
        <v>2653.749333019608</v>
      </c>
      <c r="BR89" s="197">
        <f t="shared" si="239"/>
        <v>-2653.749333019608</v>
      </c>
      <c r="BS89" s="199">
        <f t="shared" si="239"/>
        <v>-2305.2993330196082</v>
      </c>
      <c r="BT89" s="197"/>
      <c r="BV89" s="204">
        <v>2</v>
      </c>
      <c r="BW89" s="759">
        <f>'Energy NPV'!$D14</f>
        <v>0</v>
      </c>
      <c r="BX89" s="197">
        <f>'Energy margins'!$E$12</f>
        <v>72</v>
      </c>
      <c r="BY89" s="197">
        <f>BW89*BX89</f>
        <v>0</v>
      </c>
      <c r="BZ89" s="197">
        <f>'Margins summary'!$Q$14</f>
        <v>175.95</v>
      </c>
      <c r="CA89" s="197">
        <f t="shared" ref="CA89:CA103" si="240">BY89+BZ89</f>
        <v>175.95</v>
      </c>
      <c r="CB89" s="197"/>
      <c r="CC89" s="918">
        <f>'Energy NPV'!$U14</f>
        <v>158.5616</v>
      </c>
      <c r="CD89" s="197"/>
      <c r="CE89" s="197">
        <f t="shared" ref="CE89:CE103" si="241">CB89+CC89+CD89</f>
        <v>158.5616</v>
      </c>
      <c r="CF89" s="197">
        <f t="shared" si="212"/>
        <v>-158.5616</v>
      </c>
      <c r="CG89" s="197">
        <f t="shared" si="213"/>
        <v>17.38839999999999</v>
      </c>
      <c r="CH89" s="196">
        <f t="shared" ref="CH89:CH103" si="242">BY89/((1+$E$4)^(BV89-1))</f>
        <v>0</v>
      </c>
      <c r="CI89" s="197">
        <f t="shared" ref="CI89:CI103" si="243">BZ89/((1+$E$4)^(BV89-1))</f>
        <v>162.91666666666666</v>
      </c>
      <c r="CJ89" s="197">
        <f t="shared" ref="CJ89:CJ103" si="244">CE89/((1+$E$4)^(BV89-1))</f>
        <v>146.81629629629629</v>
      </c>
      <c r="CK89" s="197">
        <f t="shared" ref="CK89:CK103" si="245">CF89/((1+$E$4)^(BV89-1))</f>
        <v>-146.81629629629629</v>
      </c>
      <c r="CL89" s="199">
        <f t="shared" ref="CL89:CL103" si="246">CG89/((1+$E$4)^(BV89-1))</f>
        <v>16.10037037037036</v>
      </c>
      <c r="CM89" s="196">
        <f>CM88+CH89</f>
        <v>0</v>
      </c>
      <c r="CN89" s="197">
        <f t="shared" ref="CN89:CQ103" si="247">CN88+CI89</f>
        <v>338.86666666666667</v>
      </c>
      <c r="CO89" s="197">
        <f t="shared" si="247"/>
        <v>2645.1130802962962</v>
      </c>
      <c r="CP89" s="197">
        <f t="shared" si="247"/>
        <v>-2645.1130802962962</v>
      </c>
      <c r="CQ89" s="199">
        <f t="shared" si="247"/>
        <v>-2306.2464136296298</v>
      </c>
      <c r="CR89" s="197"/>
      <c r="CT89" s="204">
        <f>CT88+1</f>
        <v>2</v>
      </c>
      <c r="CU89" s="759">
        <f>'Energy NPV'!$D14</f>
        <v>0</v>
      </c>
      <c r="CV89" s="197">
        <f>'Energy margins'!$E$12</f>
        <v>72</v>
      </c>
      <c r="CW89" s="197">
        <f>CU89*CV89</f>
        <v>0</v>
      </c>
      <c r="CX89" s="197">
        <f>'Margins summary'!$Q$14</f>
        <v>175.95</v>
      </c>
      <c r="CY89" s="197">
        <f t="shared" ref="CY89:CY103" si="248">CW89+CX89</f>
        <v>175.95</v>
      </c>
      <c r="CZ89" s="197"/>
      <c r="DA89" s="918">
        <f>'Energy NPV'!$U14</f>
        <v>158.5616</v>
      </c>
      <c r="DB89" s="197"/>
      <c r="DC89" s="197">
        <f t="shared" ref="DC89:DC103" si="249">CZ89+DA89+DB89</f>
        <v>158.5616</v>
      </c>
      <c r="DD89" s="197">
        <f t="shared" si="214"/>
        <v>-158.5616</v>
      </c>
      <c r="DE89" s="197">
        <f t="shared" si="215"/>
        <v>17.38839999999999</v>
      </c>
      <c r="DF89" s="196">
        <f t="shared" ref="DF89:DF103" si="250">CW89/((1+$F$4)^(CT89-1))</f>
        <v>0</v>
      </c>
      <c r="DG89" s="197">
        <f t="shared" ref="DG89:DG103" si="251">CX89/((1+$F$4)^(CT89-1))</f>
        <v>175.95</v>
      </c>
      <c r="DH89" s="197">
        <f t="shared" ref="DH89:DH103" si="252">DC89/((1+$F$4)^(CT89-1))</f>
        <v>158.5616</v>
      </c>
      <c r="DI89" s="197">
        <f t="shared" ref="DI89:DI103" si="253">DD89/((1+$F$4)^(CT89-1))</f>
        <v>-158.5616</v>
      </c>
      <c r="DJ89" s="199">
        <f t="shared" ref="DJ89:DJ103" si="254">DE89/((1+$F$4)^(CT89-1))</f>
        <v>17.38839999999999</v>
      </c>
      <c r="DK89" s="196">
        <f>DK88+DF89</f>
        <v>0</v>
      </c>
      <c r="DL89" s="197">
        <f t="shared" ref="DL89:DO103" si="255">DL88+DG89</f>
        <v>351.9</v>
      </c>
      <c r="DM89" s="197">
        <f t="shared" si="255"/>
        <v>2656.8583840000001</v>
      </c>
      <c r="DN89" s="197">
        <f t="shared" si="255"/>
        <v>-2656.8583840000001</v>
      </c>
      <c r="DO89" s="199">
        <f t="shared" si="255"/>
        <v>-2304.9583840000005</v>
      </c>
    </row>
    <row r="90" spans="2:119" x14ac:dyDescent="0.3">
      <c r="B90" s="204">
        <f t="shared" ref="B90:B103" si="256">B89+1</f>
        <v>3</v>
      </c>
      <c r="C90" s="759">
        <f>'Energy NPV'!$D15</f>
        <v>0</v>
      </c>
      <c r="D90" s="197">
        <f>'Energy margins'!$E$12</f>
        <v>72</v>
      </c>
      <c r="E90" s="197">
        <f t="shared" ref="E90:E103" si="257">C90*D90</f>
        <v>0</v>
      </c>
      <c r="F90" s="197">
        <f>'Margins summary'!$Q$14</f>
        <v>175.95</v>
      </c>
      <c r="G90" s="197">
        <f t="shared" si="216"/>
        <v>175.95</v>
      </c>
      <c r="H90" s="197"/>
      <c r="I90" s="922">
        <f>'Energy NPV'!$U15</f>
        <v>158.5616</v>
      </c>
      <c r="J90" s="197"/>
      <c r="K90" s="197">
        <f t="shared" si="217"/>
        <v>158.5616</v>
      </c>
      <c r="L90" s="197">
        <f t="shared" si="206"/>
        <v>-158.5616</v>
      </c>
      <c r="M90" s="197">
        <f t="shared" si="207"/>
        <v>17.38839999999999</v>
      </c>
      <c r="N90" s="196">
        <f t="shared" si="218"/>
        <v>0</v>
      </c>
      <c r="O90" s="197">
        <f t="shared" si="219"/>
        <v>162.67566568047334</v>
      </c>
      <c r="P90" s="197">
        <f t="shared" si="220"/>
        <v>146.59911242603548</v>
      </c>
      <c r="Q90" s="197">
        <f t="shared" si="221"/>
        <v>-146.59911242603548</v>
      </c>
      <c r="R90" s="199">
        <f t="shared" si="222"/>
        <v>16.076553254437858</v>
      </c>
      <c r="S90" s="196">
        <f t="shared" ref="S90:S103" si="258">S89+N90</f>
        <v>0</v>
      </c>
      <c r="T90" s="197">
        <f t="shared" si="223"/>
        <v>507.80835798816565</v>
      </c>
      <c r="U90" s="197">
        <f t="shared" si="223"/>
        <v>2797.3589733491126</v>
      </c>
      <c r="V90" s="197">
        <f t="shared" si="223"/>
        <v>-2797.3589733491126</v>
      </c>
      <c r="W90" s="199">
        <f t="shared" si="223"/>
        <v>-2289.5506153609472</v>
      </c>
      <c r="X90" s="197"/>
      <c r="Z90" s="204">
        <f t="shared" ref="Z90:Z103" si="259">Z89+1</f>
        <v>3</v>
      </c>
      <c r="AA90" s="759">
        <f>'Energy NPV'!$D15</f>
        <v>0</v>
      </c>
      <c r="AB90" s="197">
        <f>'Energy margins'!$E$12</f>
        <v>72</v>
      </c>
      <c r="AC90" s="197">
        <f t="shared" ref="AC90:AC103" si="260">AA90*AB90</f>
        <v>0</v>
      </c>
      <c r="AD90" s="197">
        <f>'Margins summary'!$Q$14</f>
        <v>175.95</v>
      </c>
      <c r="AE90" s="197">
        <f t="shared" si="224"/>
        <v>175.95</v>
      </c>
      <c r="AF90" s="197"/>
      <c r="AG90" s="918">
        <f>'Energy NPV'!$U15</f>
        <v>158.5616</v>
      </c>
      <c r="AH90" s="197"/>
      <c r="AI90" s="197">
        <f t="shared" si="225"/>
        <v>158.5616</v>
      </c>
      <c r="AJ90" s="197">
        <f t="shared" si="208"/>
        <v>-158.5616</v>
      </c>
      <c r="AK90" s="197">
        <f t="shared" si="209"/>
        <v>17.38839999999999</v>
      </c>
      <c r="AL90" s="196">
        <f t="shared" si="226"/>
        <v>0</v>
      </c>
      <c r="AM90" s="197">
        <f t="shared" si="227"/>
        <v>156.5948736205055</v>
      </c>
      <c r="AN90" s="197">
        <f t="shared" si="228"/>
        <v>141.1192595229619</v>
      </c>
      <c r="AO90" s="197">
        <f t="shared" si="229"/>
        <v>-141.1192595229619</v>
      </c>
      <c r="AP90" s="199">
        <f t="shared" si="230"/>
        <v>15.475614097543598</v>
      </c>
      <c r="AQ90" s="196">
        <f t="shared" ref="AQ90:AQ102" si="261">AQ89+AL90</f>
        <v>0</v>
      </c>
      <c r="AR90" s="197">
        <f t="shared" si="231"/>
        <v>498.53543965824133</v>
      </c>
      <c r="AS90" s="197">
        <f t="shared" si="231"/>
        <v>2789.0024586173017</v>
      </c>
      <c r="AT90" s="197">
        <f t="shared" si="231"/>
        <v>-2789.0024586173017</v>
      </c>
      <c r="AU90" s="199">
        <f t="shared" si="231"/>
        <v>-2290.4670189590602</v>
      </c>
      <c r="AV90" s="197"/>
      <c r="AX90" s="204">
        <f t="shared" ref="AX90:AX103" si="262">AX89+1</f>
        <v>3</v>
      </c>
      <c r="AY90" s="759">
        <f>'Energy NPV'!$D15</f>
        <v>0</v>
      </c>
      <c r="AZ90" s="197">
        <f>'Energy margins'!$E$12</f>
        <v>72</v>
      </c>
      <c r="BA90" s="197">
        <f t="shared" ref="BA90:BA103" si="263">AY90*AZ90</f>
        <v>0</v>
      </c>
      <c r="BB90" s="197">
        <f>'Margins summary'!$Q$14</f>
        <v>175.95</v>
      </c>
      <c r="BC90" s="197">
        <f t="shared" si="232"/>
        <v>175.95</v>
      </c>
      <c r="BD90" s="197"/>
      <c r="BE90" s="918">
        <f>'Energy NPV'!$U15</f>
        <v>158.5616</v>
      </c>
      <c r="BF90" s="197"/>
      <c r="BG90" s="197">
        <f t="shared" si="233"/>
        <v>158.5616</v>
      </c>
      <c r="BH90" s="197">
        <f t="shared" si="210"/>
        <v>-158.5616</v>
      </c>
      <c r="BI90" s="197">
        <f t="shared" si="211"/>
        <v>17.38839999999999</v>
      </c>
      <c r="BJ90" s="196">
        <f t="shared" si="234"/>
        <v>0</v>
      </c>
      <c r="BK90" s="197">
        <f t="shared" si="235"/>
        <v>169.11764705882351</v>
      </c>
      <c r="BL90" s="197">
        <f t="shared" si="236"/>
        <v>152.40445982314495</v>
      </c>
      <c r="BM90" s="197">
        <f t="shared" si="237"/>
        <v>-152.40445982314495</v>
      </c>
      <c r="BN90" s="199">
        <f t="shared" si="238"/>
        <v>16.713187235678575</v>
      </c>
      <c r="BO90" s="196">
        <f t="shared" ref="BO90:BO103" si="264">BO89+BJ90</f>
        <v>0</v>
      </c>
      <c r="BP90" s="197">
        <f t="shared" si="239"/>
        <v>517.56764705882347</v>
      </c>
      <c r="BQ90" s="197">
        <f t="shared" si="239"/>
        <v>2806.1537928427529</v>
      </c>
      <c r="BR90" s="197">
        <f t="shared" si="239"/>
        <v>-2806.1537928427529</v>
      </c>
      <c r="BS90" s="199">
        <f t="shared" si="239"/>
        <v>-2288.5861457839296</v>
      </c>
      <c r="BT90" s="197"/>
      <c r="BV90" s="204">
        <f t="shared" ref="BV90:BV103" si="265">BV89+1</f>
        <v>3</v>
      </c>
      <c r="BW90" s="759">
        <f>'Energy NPV'!$D15</f>
        <v>0</v>
      </c>
      <c r="BX90" s="197">
        <f>'Energy margins'!$E$12</f>
        <v>72</v>
      </c>
      <c r="BY90" s="197">
        <f t="shared" ref="BY90:BY103" si="266">BW90*BX90</f>
        <v>0</v>
      </c>
      <c r="BZ90" s="197">
        <f>'Margins summary'!$Q$14</f>
        <v>175.95</v>
      </c>
      <c r="CA90" s="197">
        <f t="shared" si="240"/>
        <v>175.95</v>
      </c>
      <c r="CB90" s="197"/>
      <c r="CC90" s="918">
        <f>'Energy NPV'!$U15</f>
        <v>158.5616</v>
      </c>
      <c r="CD90" s="197"/>
      <c r="CE90" s="197">
        <f t="shared" si="241"/>
        <v>158.5616</v>
      </c>
      <c r="CF90" s="197">
        <f t="shared" si="212"/>
        <v>-158.5616</v>
      </c>
      <c r="CG90" s="197">
        <f t="shared" si="213"/>
        <v>17.38839999999999</v>
      </c>
      <c r="CH90" s="196">
        <f t="shared" si="242"/>
        <v>0</v>
      </c>
      <c r="CI90" s="197">
        <f t="shared" si="243"/>
        <v>150.84876543209873</v>
      </c>
      <c r="CJ90" s="197">
        <f t="shared" si="244"/>
        <v>135.94101508916322</v>
      </c>
      <c r="CK90" s="197">
        <f t="shared" si="245"/>
        <v>-135.94101508916322</v>
      </c>
      <c r="CL90" s="199">
        <f t="shared" si="246"/>
        <v>14.907750342935518</v>
      </c>
      <c r="CM90" s="196">
        <f t="shared" ref="CM90:CM103" si="267">CM89+CH90</f>
        <v>0</v>
      </c>
      <c r="CN90" s="197">
        <f t="shared" si="247"/>
        <v>489.7154320987654</v>
      </c>
      <c r="CO90" s="197">
        <f t="shared" si="247"/>
        <v>2781.0540953854593</v>
      </c>
      <c r="CP90" s="197">
        <f t="shared" si="247"/>
        <v>-2781.0540953854593</v>
      </c>
      <c r="CQ90" s="199">
        <f t="shared" si="247"/>
        <v>-2291.3386632866941</v>
      </c>
      <c r="CR90" s="197"/>
      <c r="CT90" s="204">
        <f t="shared" ref="CT90:CT103" si="268">CT89+1</f>
        <v>3</v>
      </c>
      <c r="CU90" s="759">
        <f>'Energy NPV'!$D15</f>
        <v>0</v>
      </c>
      <c r="CV90" s="197">
        <f>'Energy margins'!$E$12</f>
        <v>72</v>
      </c>
      <c r="CW90" s="197">
        <f t="shared" ref="CW90:CW103" si="269">CU90*CV90</f>
        <v>0</v>
      </c>
      <c r="CX90" s="197">
        <f>'Margins summary'!$Q$14</f>
        <v>175.95</v>
      </c>
      <c r="CY90" s="197">
        <f t="shared" si="248"/>
        <v>175.95</v>
      </c>
      <c r="CZ90" s="197"/>
      <c r="DA90" s="918">
        <f>'Energy NPV'!$U15</f>
        <v>158.5616</v>
      </c>
      <c r="DB90" s="197"/>
      <c r="DC90" s="197">
        <f t="shared" si="249"/>
        <v>158.5616</v>
      </c>
      <c r="DD90" s="197">
        <f t="shared" si="214"/>
        <v>-158.5616</v>
      </c>
      <c r="DE90" s="197">
        <f t="shared" si="215"/>
        <v>17.38839999999999</v>
      </c>
      <c r="DF90" s="196">
        <f t="shared" si="250"/>
        <v>0</v>
      </c>
      <c r="DG90" s="197">
        <f t="shared" si="251"/>
        <v>175.95</v>
      </c>
      <c r="DH90" s="197">
        <f t="shared" si="252"/>
        <v>158.5616</v>
      </c>
      <c r="DI90" s="197">
        <f t="shared" si="253"/>
        <v>-158.5616</v>
      </c>
      <c r="DJ90" s="199">
        <f t="shared" si="254"/>
        <v>17.38839999999999</v>
      </c>
      <c r="DK90" s="196">
        <f t="shared" ref="DK90:DK103" si="270">DK89+DF90</f>
        <v>0</v>
      </c>
      <c r="DL90" s="197">
        <f t="shared" si="255"/>
        <v>527.84999999999991</v>
      </c>
      <c r="DM90" s="197">
        <f t="shared" si="255"/>
        <v>2815.4199840000001</v>
      </c>
      <c r="DN90" s="197">
        <f t="shared" si="255"/>
        <v>-2815.4199840000001</v>
      </c>
      <c r="DO90" s="199">
        <f t="shared" si="255"/>
        <v>-2287.5699840000007</v>
      </c>
    </row>
    <row r="91" spans="2:119" x14ac:dyDescent="0.3">
      <c r="B91" s="204">
        <f t="shared" si="256"/>
        <v>4</v>
      </c>
      <c r="C91" s="759">
        <f>'Energy NPV'!$D16</f>
        <v>30</v>
      </c>
      <c r="D91" s="197">
        <f>'Energy margins'!$E$12</f>
        <v>72</v>
      </c>
      <c r="E91" s="197">
        <f t="shared" si="257"/>
        <v>2160</v>
      </c>
      <c r="F91" s="197">
        <f>'Margins summary'!$Q$14</f>
        <v>175.95</v>
      </c>
      <c r="G91" s="197">
        <f t="shared" si="216"/>
        <v>2335.9499999999998</v>
      </c>
      <c r="H91" s="197"/>
      <c r="I91" s="922">
        <f>'Energy NPV'!$U16</f>
        <v>704.85838399999989</v>
      </c>
      <c r="J91" s="197"/>
      <c r="K91" s="197">
        <f t="shared" si="217"/>
        <v>704.85838399999989</v>
      </c>
      <c r="L91" s="197">
        <f t="shared" si="206"/>
        <v>1455.1416160000001</v>
      </c>
      <c r="M91" s="197">
        <f t="shared" si="207"/>
        <v>1631.0916159999999</v>
      </c>
      <c r="N91" s="196">
        <f t="shared" si="218"/>
        <v>1920.2321347291761</v>
      </c>
      <c r="O91" s="197">
        <f t="shared" si="219"/>
        <v>156.41890930814745</v>
      </c>
      <c r="P91" s="197">
        <f t="shared" si="220"/>
        <v>626.61653675466528</v>
      </c>
      <c r="Q91" s="197">
        <f t="shared" si="221"/>
        <v>1293.6155979745106</v>
      </c>
      <c r="R91" s="199">
        <f t="shared" si="222"/>
        <v>1450.0345072826581</v>
      </c>
      <c r="S91" s="196">
        <f t="shared" si="258"/>
        <v>1920.2321347291761</v>
      </c>
      <c r="T91" s="197">
        <f t="shared" si="223"/>
        <v>664.22726729631313</v>
      </c>
      <c r="U91" s="197">
        <f t="shared" si="223"/>
        <v>3423.9755101037781</v>
      </c>
      <c r="V91" s="197">
        <f t="shared" si="223"/>
        <v>-1503.743375374602</v>
      </c>
      <c r="W91" s="199">
        <f t="shared" si="223"/>
        <v>-839.51610807828911</v>
      </c>
      <c r="X91" s="197"/>
      <c r="Z91" s="204">
        <f t="shared" si="259"/>
        <v>4</v>
      </c>
      <c r="AA91" s="759">
        <f>'Energy NPV'!$D16</f>
        <v>30</v>
      </c>
      <c r="AB91" s="197">
        <f>'Energy margins'!$E$12</f>
        <v>72</v>
      </c>
      <c r="AC91" s="197">
        <f t="shared" si="260"/>
        <v>2160</v>
      </c>
      <c r="AD91" s="197">
        <f>'Margins summary'!$Q$14</f>
        <v>175.95</v>
      </c>
      <c r="AE91" s="197">
        <f t="shared" si="224"/>
        <v>2335.9499999999998</v>
      </c>
      <c r="AF91" s="197"/>
      <c r="AG91" s="918">
        <f>'Energy NPV'!$U16</f>
        <v>704.85838399999989</v>
      </c>
      <c r="AH91" s="197"/>
      <c r="AI91" s="197">
        <f t="shared" si="225"/>
        <v>704.85838399999989</v>
      </c>
      <c r="AJ91" s="197">
        <f t="shared" si="208"/>
        <v>1455.1416160000001</v>
      </c>
      <c r="AK91" s="197">
        <f t="shared" si="209"/>
        <v>1631.0916159999999</v>
      </c>
      <c r="AL91" s="196">
        <f t="shared" si="226"/>
        <v>1813.5776513497715</v>
      </c>
      <c r="AM91" s="197">
        <f t="shared" si="227"/>
        <v>147.73101284953347</v>
      </c>
      <c r="AN91" s="197">
        <f t="shared" si="228"/>
        <v>591.8126910133866</v>
      </c>
      <c r="AO91" s="197">
        <f t="shared" si="229"/>
        <v>1221.7649603363848</v>
      </c>
      <c r="AP91" s="199">
        <f t="shared" si="230"/>
        <v>1369.4959731859183</v>
      </c>
      <c r="AQ91" s="196">
        <f t="shared" si="261"/>
        <v>1813.5776513497715</v>
      </c>
      <c r="AR91" s="197">
        <f t="shared" si="231"/>
        <v>646.26645250777483</v>
      </c>
      <c r="AS91" s="197">
        <f t="shared" si="231"/>
        <v>3380.8151496306882</v>
      </c>
      <c r="AT91" s="197">
        <f t="shared" si="231"/>
        <v>-1567.237498280917</v>
      </c>
      <c r="AU91" s="199">
        <f t="shared" si="231"/>
        <v>-920.9710457731419</v>
      </c>
      <c r="AV91" s="197"/>
      <c r="AX91" s="204">
        <f t="shared" si="262"/>
        <v>4</v>
      </c>
      <c r="AY91" s="759">
        <f>'Energy NPV'!$D16</f>
        <v>30</v>
      </c>
      <c r="AZ91" s="197">
        <f>'Energy margins'!$E$12</f>
        <v>72</v>
      </c>
      <c r="BA91" s="197">
        <f t="shared" si="263"/>
        <v>2160</v>
      </c>
      <c r="BB91" s="197">
        <f>'Margins summary'!$Q$14</f>
        <v>175.95</v>
      </c>
      <c r="BC91" s="197">
        <f t="shared" si="232"/>
        <v>2335.9499999999998</v>
      </c>
      <c r="BD91" s="197"/>
      <c r="BE91" s="918">
        <f>'Energy NPV'!$U16</f>
        <v>704.85838399999989</v>
      </c>
      <c r="BF91" s="197"/>
      <c r="BG91" s="197">
        <f t="shared" si="233"/>
        <v>704.85838399999989</v>
      </c>
      <c r="BH91" s="197">
        <f t="shared" si="210"/>
        <v>1455.1416160000001</v>
      </c>
      <c r="BI91" s="197">
        <f t="shared" si="211"/>
        <v>1631.0916159999999</v>
      </c>
      <c r="BJ91" s="196">
        <f t="shared" si="234"/>
        <v>2035.4162426216162</v>
      </c>
      <c r="BK91" s="197">
        <f t="shared" si="235"/>
        <v>165.80161476355249</v>
      </c>
      <c r="BL91" s="197">
        <f t="shared" si="236"/>
        <v>664.20379793593713</v>
      </c>
      <c r="BM91" s="197">
        <f t="shared" si="237"/>
        <v>1371.2124446856792</v>
      </c>
      <c r="BN91" s="199">
        <f t="shared" si="238"/>
        <v>1537.0140594492316</v>
      </c>
      <c r="BO91" s="196">
        <f t="shared" si="264"/>
        <v>2035.4162426216162</v>
      </c>
      <c r="BP91" s="197">
        <f t="shared" si="239"/>
        <v>683.36926182237596</v>
      </c>
      <c r="BQ91" s="197">
        <f t="shared" si="239"/>
        <v>3470.3575907786899</v>
      </c>
      <c r="BR91" s="197">
        <f t="shared" si="239"/>
        <v>-1434.9413481570737</v>
      </c>
      <c r="BS91" s="199">
        <f t="shared" si="239"/>
        <v>-751.57208633469804</v>
      </c>
      <c r="BT91" s="197"/>
      <c r="BV91" s="204">
        <f t="shared" si="265"/>
        <v>4</v>
      </c>
      <c r="BW91" s="759">
        <f>'Energy NPV'!$D16</f>
        <v>30</v>
      </c>
      <c r="BX91" s="197">
        <f>'Energy margins'!$E$12</f>
        <v>72</v>
      </c>
      <c r="BY91" s="197">
        <f t="shared" si="266"/>
        <v>2160</v>
      </c>
      <c r="BZ91" s="197">
        <f>'Margins summary'!$Q$14</f>
        <v>175.95</v>
      </c>
      <c r="CA91" s="197">
        <f t="shared" si="240"/>
        <v>2335.9499999999998</v>
      </c>
      <c r="CB91" s="197"/>
      <c r="CC91" s="918">
        <f>'Energy NPV'!$U16</f>
        <v>704.85838399999989</v>
      </c>
      <c r="CD91" s="197"/>
      <c r="CE91" s="197">
        <f t="shared" si="241"/>
        <v>704.85838399999989</v>
      </c>
      <c r="CF91" s="197">
        <f t="shared" si="212"/>
        <v>1455.1416160000001</v>
      </c>
      <c r="CG91" s="197">
        <f t="shared" si="213"/>
        <v>1631.0916159999999</v>
      </c>
      <c r="CH91" s="196">
        <f t="shared" si="242"/>
        <v>1714.6776406035663</v>
      </c>
      <c r="CI91" s="197">
        <f t="shared" si="243"/>
        <v>139.67478280749884</v>
      </c>
      <c r="CJ91" s="197">
        <f t="shared" si="244"/>
        <v>559.53931057257512</v>
      </c>
      <c r="CK91" s="197">
        <f t="shared" si="245"/>
        <v>1155.1383300309913</v>
      </c>
      <c r="CL91" s="199">
        <f t="shared" si="246"/>
        <v>1294.8131128384898</v>
      </c>
      <c r="CM91" s="196">
        <f t="shared" si="267"/>
        <v>1714.6776406035663</v>
      </c>
      <c r="CN91" s="197">
        <f t="shared" si="247"/>
        <v>629.39021490626419</v>
      </c>
      <c r="CO91" s="197">
        <f t="shared" si="247"/>
        <v>3340.5934059580345</v>
      </c>
      <c r="CP91" s="197">
        <f t="shared" si="247"/>
        <v>-1625.915765354468</v>
      </c>
      <c r="CQ91" s="199">
        <f t="shared" si="247"/>
        <v>-996.52555044820429</v>
      </c>
      <c r="CR91" s="197"/>
      <c r="CT91" s="204">
        <f t="shared" si="268"/>
        <v>4</v>
      </c>
      <c r="CU91" s="759">
        <f>'Energy NPV'!$D16</f>
        <v>30</v>
      </c>
      <c r="CV91" s="197">
        <f>'Energy margins'!$E$12</f>
        <v>72</v>
      </c>
      <c r="CW91" s="197">
        <f t="shared" si="269"/>
        <v>2160</v>
      </c>
      <c r="CX91" s="197">
        <f>'Margins summary'!$Q$14</f>
        <v>175.95</v>
      </c>
      <c r="CY91" s="197">
        <f t="shared" si="248"/>
        <v>2335.9499999999998</v>
      </c>
      <c r="CZ91" s="197"/>
      <c r="DA91" s="918">
        <f>'Energy NPV'!$U16</f>
        <v>704.85838399999989</v>
      </c>
      <c r="DB91" s="197"/>
      <c r="DC91" s="197">
        <f t="shared" si="249"/>
        <v>704.85838399999989</v>
      </c>
      <c r="DD91" s="197">
        <f t="shared" si="214"/>
        <v>1455.1416160000001</v>
      </c>
      <c r="DE91" s="197">
        <f t="shared" si="215"/>
        <v>1631.0916159999999</v>
      </c>
      <c r="DF91" s="196">
        <f t="shared" si="250"/>
        <v>2160</v>
      </c>
      <c r="DG91" s="197">
        <f t="shared" si="251"/>
        <v>175.95</v>
      </c>
      <c r="DH91" s="197">
        <f t="shared" si="252"/>
        <v>704.85838399999989</v>
      </c>
      <c r="DI91" s="197">
        <f t="shared" si="253"/>
        <v>1455.1416160000001</v>
      </c>
      <c r="DJ91" s="199">
        <f t="shared" si="254"/>
        <v>1631.0916159999999</v>
      </c>
      <c r="DK91" s="196">
        <f t="shared" si="270"/>
        <v>2160</v>
      </c>
      <c r="DL91" s="197">
        <f t="shared" si="255"/>
        <v>703.8</v>
      </c>
      <c r="DM91" s="197">
        <f t="shared" si="255"/>
        <v>3520.2783680000002</v>
      </c>
      <c r="DN91" s="197">
        <f t="shared" si="255"/>
        <v>-1360.278368</v>
      </c>
      <c r="DO91" s="199">
        <f t="shared" si="255"/>
        <v>-656.47836800000073</v>
      </c>
    </row>
    <row r="92" spans="2:119" x14ac:dyDescent="0.3">
      <c r="B92" s="204">
        <f t="shared" si="256"/>
        <v>5</v>
      </c>
      <c r="C92" s="759">
        <f>'Energy NPV'!$D17</f>
        <v>0</v>
      </c>
      <c r="D92" s="197">
        <f>'Energy margins'!$E$12</f>
        <v>72</v>
      </c>
      <c r="E92" s="197">
        <f t="shared" si="257"/>
        <v>0</v>
      </c>
      <c r="F92" s="197">
        <f>'Margins summary'!$Q$14</f>
        <v>175.95</v>
      </c>
      <c r="G92" s="197">
        <f t="shared" si="216"/>
        <v>175.95</v>
      </c>
      <c r="H92" s="197"/>
      <c r="I92" s="922">
        <f>'Energy NPV'!$U17</f>
        <v>45.561599999999999</v>
      </c>
      <c r="J92" s="197"/>
      <c r="K92" s="197">
        <f t="shared" si="217"/>
        <v>45.561599999999999</v>
      </c>
      <c r="L92" s="197">
        <f t="shared" si="206"/>
        <v>-45.561599999999999</v>
      </c>
      <c r="M92" s="197">
        <f t="shared" si="207"/>
        <v>130.38839999999999</v>
      </c>
      <c r="N92" s="196">
        <f t="shared" si="218"/>
        <v>0</v>
      </c>
      <c r="O92" s="197">
        <f t="shared" si="219"/>
        <v>150.40279741168024</v>
      </c>
      <c r="P92" s="197">
        <f t="shared" si="220"/>
        <v>38.946246630019949</v>
      </c>
      <c r="Q92" s="197">
        <f t="shared" si="221"/>
        <v>-38.946246630019949</v>
      </c>
      <c r="R92" s="199">
        <f t="shared" si="222"/>
        <v>111.45655078166028</v>
      </c>
      <c r="S92" s="196">
        <f t="shared" si="258"/>
        <v>1920.2321347291761</v>
      </c>
      <c r="T92" s="197">
        <f t="shared" si="223"/>
        <v>814.63006470799337</v>
      </c>
      <c r="U92" s="197">
        <f t="shared" si="223"/>
        <v>3462.9217567337982</v>
      </c>
      <c r="V92" s="197">
        <f t="shared" si="223"/>
        <v>-1542.6896220046219</v>
      </c>
      <c r="W92" s="199">
        <f t="shared" si="223"/>
        <v>-728.05955729662878</v>
      </c>
      <c r="X92" s="197"/>
      <c r="Z92" s="204">
        <f t="shared" si="259"/>
        <v>5</v>
      </c>
      <c r="AA92" s="759">
        <f>'Energy NPV'!$D17</f>
        <v>0</v>
      </c>
      <c r="AB92" s="197">
        <f>'Energy margins'!$E$12</f>
        <v>72</v>
      </c>
      <c r="AC92" s="197">
        <f t="shared" si="260"/>
        <v>0</v>
      </c>
      <c r="AD92" s="197">
        <f>'Margins summary'!$Q$14</f>
        <v>175.95</v>
      </c>
      <c r="AE92" s="197">
        <f t="shared" si="224"/>
        <v>175.95</v>
      </c>
      <c r="AF92" s="197"/>
      <c r="AG92" s="918">
        <f>'Energy NPV'!$U17</f>
        <v>45.561599999999999</v>
      </c>
      <c r="AH92" s="197"/>
      <c r="AI92" s="197">
        <f t="shared" si="225"/>
        <v>45.561599999999999</v>
      </c>
      <c r="AJ92" s="197">
        <f t="shared" si="208"/>
        <v>-45.561599999999999</v>
      </c>
      <c r="AK92" s="197">
        <f t="shared" si="209"/>
        <v>130.38839999999999</v>
      </c>
      <c r="AL92" s="196">
        <f t="shared" si="226"/>
        <v>0</v>
      </c>
      <c r="AM92" s="197">
        <f t="shared" si="227"/>
        <v>139.36888004672969</v>
      </c>
      <c r="AN92" s="197">
        <f t="shared" si="228"/>
        <v>36.089054646985389</v>
      </c>
      <c r="AO92" s="197">
        <f t="shared" si="229"/>
        <v>-36.089054646985389</v>
      </c>
      <c r="AP92" s="199">
        <f t="shared" si="230"/>
        <v>103.2798253997443</v>
      </c>
      <c r="AQ92" s="196">
        <f t="shared" si="261"/>
        <v>1813.5776513497715</v>
      </c>
      <c r="AR92" s="197">
        <f t="shared" si="231"/>
        <v>785.63533255450454</v>
      </c>
      <c r="AS92" s="197">
        <f t="shared" si="231"/>
        <v>3416.9042042776737</v>
      </c>
      <c r="AT92" s="197">
        <f t="shared" si="231"/>
        <v>-1603.3265529279024</v>
      </c>
      <c r="AU92" s="199">
        <f t="shared" si="231"/>
        <v>-817.69122037339764</v>
      </c>
      <c r="AV92" s="197"/>
      <c r="AX92" s="204">
        <f t="shared" si="262"/>
        <v>5</v>
      </c>
      <c r="AY92" s="759">
        <f>'Energy NPV'!$D17</f>
        <v>0</v>
      </c>
      <c r="AZ92" s="197">
        <f>'Energy margins'!$E$12</f>
        <v>72</v>
      </c>
      <c r="BA92" s="197">
        <f t="shared" si="263"/>
        <v>0</v>
      </c>
      <c r="BB92" s="197">
        <f>'Margins summary'!$Q$14</f>
        <v>175.95</v>
      </c>
      <c r="BC92" s="197">
        <f t="shared" si="232"/>
        <v>175.95</v>
      </c>
      <c r="BD92" s="197"/>
      <c r="BE92" s="918">
        <f>'Energy NPV'!$U17</f>
        <v>45.561599999999999</v>
      </c>
      <c r="BF92" s="197"/>
      <c r="BG92" s="197">
        <f t="shared" si="233"/>
        <v>45.561599999999999</v>
      </c>
      <c r="BH92" s="197">
        <f t="shared" si="210"/>
        <v>-45.561599999999999</v>
      </c>
      <c r="BI92" s="197">
        <f t="shared" si="211"/>
        <v>130.38839999999999</v>
      </c>
      <c r="BJ92" s="196">
        <f t="shared" si="234"/>
        <v>0</v>
      </c>
      <c r="BK92" s="197">
        <f t="shared" si="235"/>
        <v>162.55060270936517</v>
      </c>
      <c r="BL92" s="197">
        <f t="shared" si="236"/>
        <v>42.091875762449632</v>
      </c>
      <c r="BM92" s="197">
        <f t="shared" si="237"/>
        <v>-42.091875762449632</v>
      </c>
      <c r="BN92" s="199">
        <f t="shared" si="238"/>
        <v>120.45872694691553</v>
      </c>
      <c r="BO92" s="196">
        <f t="shared" si="264"/>
        <v>2035.4162426216162</v>
      </c>
      <c r="BP92" s="197">
        <f t="shared" si="239"/>
        <v>845.91986453174115</v>
      </c>
      <c r="BQ92" s="197">
        <f t="shared" si="239"/>
        <v>3512.4494665411394</v>
      </c>
      <c r="BR92" s="197">
        <f t="shared" si="239"/>
        <v>-1477.0332239195234</v>
      </c>
      <c r="BS92" s="199">
        <f t="shared" si="239"/>
        <v>-631.11335938778257</v>
      </c>
      <c r="BT92" s="197"/>
      <c r="BV92" s="204">
        <f t="shared" si="265"/>
        <v>5</v>
      </c>
      <c r="BW92" s="759">
        <f>'Energy NPV'!$D17</f>
        <v>0</v>
      </c>
      <c r="BX92" s="197">
        <f>'Energy margins'!$E$12</f>
        <v>72</v>
      </c>
      <c r="BY92" s="197">
        <f t="shared" si="266"/>
        <v>0</v>
      </c>
      <c r="BZ92" s="197">
        <f>'Margins summary'!$Q$14</f>
        <v>175.95</v>
      </c>
      <c r="CA92" s="197">
        <f t="shared" si="240"/>
        <v>175.95</v>
      </c>
      <c r="CB92" s="197"/>
      <c r="CC92" s="918">
        <f>'Energy NPV'!$U17</f>
        <v>45.561599999999999</v>
      </c>
      <c r="CD92" s="197"/>
      <c r="CE92" s="197">
        <f t="shared" si="241"/>
        <v>45.561599999999999</v>
      </c>
      <c r="CF92" s="197">
        <f t="shared" si="212"/>
        <v>-45.561599999999999</v>
      </c>
      <c r="CG92" s="197">
        <f t="shared" si="213"/>
        <v>130.38839999999999</v>
      </c>
      <c r="CH92" s="196">
        <f t="shared" si="242"/>
        <v>0</v>
      </c>
      <c r="CI92" s="197">
        <f t="shared" si="243"/>
        <v>129.32850259953594</v>
      </c>
      <c r="CJ92" s="197">
        <f t="shared" si="244"/>
        <v>33.489136141170881</v>
      </c>
      <c r="CK92" s="197">
        <f t="shared" si="245"/>
        <v>-33.489136141170881</v>
      </c>
      <c r="CL92" s="199">
        <f t="shared" si="246"/>
        <v>95.839366458365063</v>
      </c>
      <c r="CM92" s="196">
        <f t="shared" si="267"/>
        <v>1714.6776406035663</v>
      </c>
      <c r="CN92" s="197">
        <f t="shared" si="247"/>
        <v>758.7187175058001</v>
      </c>
      <c r="CO92" s="197">
        <f t="shared" si="247"/>
        <v>3374.0825420992055</v>
      </c>
      <c r="CP92" s="197">
        <f t="shared" si="247"/>
        <v>-1659.4049014956388</v>
      </c>
      <c r="CQ92" s="199">
        <f t="shared" si="247"/>
        <v>-900.68618398983926</v>
      </c>
      <c r="CR92" s="197"/>
      <c r="CT92" s="204">
        <f t="shared" si="268"/>
        <v>5</v>
      </c>
      <c r="CU92" s="759">
        <f>'Energy NPV'!$D17</f>
        <v>0</v>
      </c>
      <c r="CV92" s="197">
        <f>'Energy margins'!$E$12</f>
        <v>72</v>
      </c>
      <c r="CW92" s="197">
        <f t="shared" si="269"/>
        <v>0</v>
      </c>
      <c r="CX92" s="197">
        <f>'Margins summary'!$Q$14</f>
        <v>175.95</v>
      </c>
      <c r="CY92" s="197">
        <f t="shared" si="248"/>
        <v>175.95</v>
      </c>
      <c r="CZ92" s="197"/>
      <c r="DA92" s="918">
        <f>'Energy NPV'!$U17</f>
        <v>45.561599999999999</v>
      </c>
      <c r="DB92" s="197"/>
      <c r="DC92" s="197">
        <f t="shared" si="249"/>
        <v>45.561599999999999</v>
      </c>
      <c r="DD92" s="197">
        <f t="shared" si="214"/>
        <v>-45.561599999999999</v>
      </c>
      <c r="DE92" s="197">
        <f t="shared" si="215"/>
        <v>130.38839999999999</v>
      </c>
      <c r="DF92" s="196">
        <f t="shared" si="250"/>
        <v>0</v>
      </c>
      <c r="DG92" s="197">
        <f t="shared" si="251"/>
        <v>175.95</v>
      </c>
      <c r="DH92" s="197">
        <f t="shared" si="252"/>
        <v>45.561599999999999</v>
      </c>
      <c r="DI92" s="197">
        <f t="shared" si="253"/>
        <v>-45.561599999999999</v>
      </c>
      <c r="DJ92" s="199">
        <f t="shared" si="254"/>
        <v>130.38839999999999</v>
      </c>
      <c r="DK92" s="196">
        <f t="shared" si="270"/>
        <v>2160</v>
      </c>
      <c r="DL92" s="197">
        <f t="shared" si="255"/>
        <v>879.75</v>
      </c>
      <c r="DM92" s="197">
        <f t="shared" si="255"/>
        <v>3565.8399680000002</v>
      </c>
      <c r="DN92" s="197">
        <f t="shared" si="255"/>
        <v>-1405.839968</v>
      </c>
      <c r="DO92" s="199">
        <f t="shared" si="255"/>
        <v>-526.08996800000068</v>
      </c>
    </row>
    <row r="93" spans="2:119" x14ac:dyDescent="0.3">
      <c r="B93" s="204">
        <f t="shared" si="256"/>
        <v>6</v>
      </c>
      <c r="C93" s="759">
        <f>'Energy NPV'!$D18</f>
        <v>0</v>
      </c>
      <c r="D93" s="197">
        <f>'Energy margins'!$E$12</f>
        <v>72</v>
      </c>
      <c r="E93" s="197">
        <f t="shared" si="257"/>
        <v>0</v>
      </c>
      <c r="F93" s="197">
        <f>'Margins summary'!$Q$14</f>
        <v>175.95</v>
      </c>
      <c r="G93" s="197">
        <f t="shared" si="216"/>
        <v>175.95</v>
      </c>
      <c r="H93" s="197"/>
      <c r="I93" s="922">
        <f>'Energy NPV'!$U18</f>
        <v>45.561599999999999</v>
      </c>
      <c r="J93" s="197"/>
      <c r="K93" s="197">
        <f t="shared" si="217"/>
        <v>45.561599999999999</v>
      </c>
      <c r="L93" s="197">
        <f t="shared" si="206"/>
        <v>-45.561599999999999</v>
      </c>
      <c r="M93" s="197">
        <f t="shared" si="207"/>
        <v>130.38839999999999</v>
      </c>
      <c r="N93" s="196">
        <f t="shared" si="218"/>
        <v>0</v>
      </c>
      <c r="O93" s="197">
        <f t="shared" si="219"/>
        <v>144.61807443430789</v>
      </c>
      <c r="P93" s="197">
        <f t="shared" si="220"/>
        <v>37.448314067326869</v>
      </c>
      <c r="Q93" s="197">
        <f t="shared" si="221"/>
        <v>-37.448314067326869</v>
      </c>
      <c r="R93" s="199">
        <f t="shared" si="222"/>
        <v>107.16976036698102</v>
      </c>
      <c r="S93" s="196">
        <f t="shared" si="258"/>
        <v>1920.2321347291761</v>
      </c>
      <c r="T93" s="197">
        <f t="shared" si="223"/>
        <v>959.24813914230128</v>
      </c>
      <c r="U93" s="197">
        <f t="shared" si="223"/>
        <v>3500.3700708011252</v>
      </c>
      <c r="V93" s="197">
        <f t="shared" si="223"/>
        <v>-1580.1379360719488</v>
      </c>
      <c r="W93" s="199">
        <f t="shared" si="223"/>
        <v>-620.88979692964779</v>
      </c>
      <c r="X93" s="197"/>
      <c r="Z93" s="204">
        <f t="shared" si="259"/>
        <v>6</v>
      </c>
      <c r="AA93" s="759">
        <f>'Energy NPV'!$D18</f>
        <v>0</v>
      </c>
      <c r="AB93" s="197">
        <f>'Energy margins'!$E$12</f>
        <v>72</v>
      </c>
      <c r="AC93" s="197">
        <f t="shared" si="260"/>
        <v>0</v>
      </c>
      <c r="AD93" s="197">
        <f>'Margins summary'!$Q$14</f>
        <v>175.95</v>
      </c>
      <c r="AE93" s="197">
        <f t="shared" si="224"/>
        <v>175.95</v>
      </c>
      <c r="AF93" s="197"/>
      <c r="AG93" s="918">
        <f>'Energy NPV'!$U18</f>
        <v>45.561599999999999</v>
      </c>
      <c r="AH93" s="197"/>
      <c r="AI93" s="197">
        <f t="shared" si="225"/>
        <v>45.561599999999999</v>
      </c>
      <c r="AJ93" s="197">
        <f t="shared" si="208"/>
        <v>-45.561599999999999</v>
      </c>
      <c r="AK93" s="197">
        <f t="shared" si="209"/>
        <v>130.38839999999999</v>
      </c>
      <c r="AL93" s="196">
        <f t="shared" si="226"/>
        <v>0</v>
      </c>
      <c r="AM93" s="197">
        <f t="shared" si="227"/>
        <v>131.48007551578272</v>
      </c>
      <c r="AN93" s="197">
        <f t="shared" si="228"/>
        <v>34.046277968854135</v>
      </c>
      <c r="AO93" s="197">
        <f t="shared" si="229"/>
        <v>-34.046277968854135</v>
      </c>
      <c r="AP93" s="199">
        <f t="shared" si="230"/>
        <v>97.43379754692856</v>
      </c>
      <c r="AQ93" s="196">
        <f t="shared" si="261"/>
        <v>1813.5776513497715</v>
      </c>
      <c r="AR93" s="197">
        <f t="shared" si="231"/>
        <v>917.11540807028723</v>
      </c>
      <c r="AS93" s="197">
        <f t="shared" si="231"/>
        <v>3450.9504822465278</v>
      </c>
      <c r="AT93" s="197">
        <f t="shared" si="231"/>
        <v>-1637.3728308967566</v>
      </c>
      <c r="AU93" s="199">
        <f t="shared" si="231"/>
        <v>-720.25742282646911</v>
      </c>
      <c r="AV93" s="197"/>
      <c r="AX93" s="204">
        <f t="shared" si="262"/>
        <v>6</v>
      </c>
      <c r="AY93" s="759">
        <f>'Energy NPV'!$D18</f>
        <v>0</v>
      </c>
      <c r="AZ93" s="197">
        <f>'Energy margins'!$E$12</f>
        <v>72</v>
      </c>
      <c r="BA93" s="197">
        <f t="shared" si="263"/>
        <v>0</v>
      </c>
      <c r="BB93" s="197">
        <f>'Margins summary'!$Q$14</f>
        <v>175.95</v>
      </c>
      <c r="BC93" s="197">
        <f t="shared" si="232"/>
        <v>175.95</v>
      </c>
      <c r="BD93" s="197"/>
      <c r="BE93" s="918">
        <f>'Energy NPV'!$U18</f>
        <v>45.561599999999999</v>
      </c>
      <c r="BF93" s="197"/>
      <c r="BG93" s="197">
        <f t="shared" si="233"/>
        <v>45.561599999999999</v>
      </c>
      <c r="BH93" s="197">
        <f t="shared" si="210"/>
        <v>-45.561599999999999</v>
      </c>
      <c r="BI93" s="197">
        <f t="shared" si="211"/>
        <v>130.38839999999999</v>
      </c>
      <c r="BJ93" s="196">
        <f t="shared" si="234"/>
        <v>0</v>
      </c>
      <c r="BK93" s="197">
        <f t="shared" si="235"/>
        <v>159.3633359895737</v>
      </c>
      <c r="BL93" s="197">
        <f t="shared" si="236"/>
        <v>41.266544865146692</v>
      </c>
      <c r="BM93" s="197">
        <f t="shared" si="237"/>
        <v>-41.266544865146692</v>
      </c>
      <c r="BN93" s="199">
        <f t="shared" si="238"/>
        <v>118.096791124427</v>
      </c>
      <c r="BO93" s="196">
        <f t="shared" si="264"/>
        <v>2035.4162426216162</v>
      </c>
      <c r="BP93" s="197">
        <f t="shared" si="239"/>
        <v>1005.2832005213148</v>
      </c>
      <c r="BQ93" s="197">
        <f t="shared" si="239"/>
        <v>3553.7160114062863</v>
      </c>
      <c r="BR93" s="197">
        <f t="shared" si="239"/>
        <v>-1518.2997687846701</v>
      </c>
      <c r="BS93" s="199">
        <f t="shared" si="239"/>
        <v>-513.01656826335557</v>
      </c>
      <c r="BT93" s="197"/>
      <c r="BV93" s="204">
        <f t="shared" si="265"/>
        <v>6</v>
      </c>
      <c r="BW93" s="759">
        <f>'Energy NPV'!$D18</f>
        <v>0</v>
      </c>
      <c r="BX93" s="197">
        <f>'Energy margins'!$E$12</f>
        <v>72</v>
      </c>
      <c r="BY93" s="197">
        <f t="shared" si="266"/>
        <v>0</v>
      </c>
      <c r="BZ93" s="197">
        <f>'Margins summary'!$Q$14</f>
        <v>175.95</v>
      </c>
      <c r="CA93" s="197">
        <f t="shared" si="240"/>
        <v>175.95</v>
      </c>
      <c r="CB93" s="197"/>
      <c r="CC93" s="918">
        <f>'Energy NPV'!$U18</f>
        <v>45.561599999999999</v>
      </c>
      <c r="CD93" s="197"/>
      <c r="CE93" s="197">
        <f t="shared" si="241"/>
        <v>45.561599999999999</v>
      </c>
      <c r="CF93" s="197">
        <f t="shared" si="212"/>
        <v>-45.561599999999999</v>
      </c>
      <c r="CG93" s="197">
        <f t="shared" si="213"/>
        <v>130.38839999999999</v>
      </c>
      <c r="CH93" s="196">
        <f t="shared" si="242"/>
        <v>0</v>
      </c>
      <c r="CI93" s="197">
        <f t="shared" si="243"/>
        <v>119.74861351808883</v>
      </c>
      <c r="CJ93" s="197">
        <f t="shared" si="244"/>
        <v>31.008459389973041</v>
      </c>
      <c r="CK93" s="197">
        <f t="shared" si="245"/>
        <v>-31.008459389973041</v>
      </c>
      <c r="CL93" s="199">
        <f t="shared" si="246"/>
        <v>88.74015412811579</v>
      </c>
      <c r="CM93" s="196">
        <f t="shared" si="267"/>
        <v>1714.6776406035663</v>
      </c>
      <c r="CN93" s="197">
        <f t="shared" si="247"/>
        <v>878.46733102388896</v>
      </c>
      <c r="CO93" s="197">
        <f t="shared" si="247"/>
        <v>3405.0910014891788</v>
      </c>
      <c r="CP93" s="197">
        <f t="shared" si="247"/>
        <v>-1690.4133608856118</v>
      </c>
      <c r="CQ93" s="199">
        <f t="shared" si="247"/>
        <v>-811.94602986172345</v>
      </c>
      <c r="CR93" s="197"/>
      <c r="CT93" s="204">
        <f t="shared" si="268"/>
        <v>6</v>
      </c>
      <c r="CU93" s="759">
        <f>'Energy NPV'!$D18</f>
        <v>0</v>
      </c>
      <c r="CV93" s="197">
        <f>'Energy margins'!$E$12</f>
        <v>72</v>
      </c>
      <c r="CW93" s="197">
        <f t="shared" si="269"/>
        <v>0</v>
      </c>
      <c r="CX93" s="197">
        <f>'Margins summary'!$Q$14</f>
        <v>175.95</v>
      </c>
      <c r="CY93" s="197">
        <f t="shared" si="248"/>
        <v>175.95</v>
      </c>
      <c r="CZ93" s="197"/>
      <c r="DA93" s="918">
        <f>'Energy NPV'!$U18</f>
        <v>45.561599999999999</v>
      </c>
      <c r="DB93" s="197"/>
      <c r="DC93" s="197">
        <f t="shared" si="249"/>
        <v>45.561599999999999</v>
      </c>
      <c r="DD93" s="197">
        <f t="shared" si="214"/>
        <v>-45.561599999999999</v>
      </c>
      <c r="DE93" s="197">
        <f t="shared" si="215"/>
        <v>130.38839999999999</v>
      </c>
      <c r="DF93" s="196">
        <f t="shared" si="250"/>
        <v>0</v>
      </c>
      <c r="DG93" s="197">
        <f t="shared" si="251"/>
        <v>175.95</v>
      </c>
      <c r="DH93" s="197">
        <f t="shared" si="252"/>
        <v>45.561599999999999</v>
      </c>
      <c r="DI93" s="197">
        <f t="shared" si="253"/>
        <v>-45.561599999999999</v>
      </c>
      <c r="DJ93" s="199">
        <f t="shared" si="254"/>
        <v>130.38839999999999</v>
      </c>
      <c r="DK93" s="196">
        <f t="shared" si="270"/>
        <v>2160</v>
      </c>
      <c r="DL93" s="197">
        <f t="shared" si="255"/>
        <v>1055.7</v>
      </c>
      <c r="DM93" s="197">
        <f t="shared" si="255"/>
        <v>3611.4015680000002</v>
      </c>
      <c r="DN93" s="197">
        <f t="shared" si="255"/>
        <v>-1451.401568</v>
      </c>
      <c r="DO93" s="199">
        <f t="shared" si="255"/>
        <v>-395.70156800000069</v>
      </c>
    </row>
    <row r="94" spans="2:119" x14ac:dyDescent="0.3">
      <c r="B94" s="204">
        <f t="shared" si="256"/>
        <v>7</v>
      </c>
      <c r="C94" s="759">
        <f>'Energy NPV'!$D19</f>
        <v>30</v>
      </c>
      <c r="D94" s="197">
        <f>'Energy margins'!$E$12</f>
        <v>72</v>
      </c>
      <c r="E94" s="197">
        <f t="shared" si="257"/>
        <v>2160</v>
      </c>
      <c r="F94" s="197">
        <f>'Margins summary'!$Q$14</f>
        <v>175.95</v>
      </c>
      <c r="G94" s="197">
        <f t="shared" si="216"/>
        <v>2335.9499999999998</v>
      </c>
      <c r="H94" s="197"/>
      <c r="I94" s="922">
        <f>'Energy NPV'!$U19</f>
        <v>704.85838399999989</v>
      </c>
      <c r="J94" s="197"/>
      <c r="K94" s="197">
        <f t="shared" si="217"/>
        <v>704.85838399999989</v>
      </c>
      <c r="L94" s="197">
        <f t="shared" si="206"/>
        <v>1455.1416160000001</v>
      </c>
      <c r="M94" s="197">
        <f t="shared" si="207"/>
        <v>1631.0916159999999</v>
      </c>
      <c r="N94" s="196">
        <f t="shared" si="218"/>
        <v>1707.0793755771147</v>
      </c>
      <c r="O94" s="197">
        <f t="shared" si="219"/>
        <v>139.05584080221914</v>
      </c>
      <c r="P94" s="197">
        <f t="shared" si="220"/>
        <v>557.05981945787687</v>
      </c>
      <c r="Q94" s="197">
        <f t="shared" si="221"/>
        <v>1150.0195561192379</v>
      </c>
      <c r="R94" s="199">
        <f t="shared" si="222"/>
        <v>1289.0753969214568</v>
      </c>
      <c r="S94" s="196">
        <f t="shared" si="258"/>
        <v>3627.311510306291</v>
      </c>
      <c r="T94" s="197">
        <f t="shared" si="223"/>
        <v>1098.3039799445205</v>
      </c>
      <c r="U94" s="197">
        <f t="shared" si="223"/>
        <v>4057.4298902590021</v>
      </c>
      <c r="V94" s="197">
        <f t="shared" si="223"/>
        <v>-430.11837995271094</v>
      </c>
      <c r="W94" s="199">
        <f t="shared" si="223"/>
        <v>668.185599991809</v>
      </c>
      <c r="X94" s="197"/>
      <c r="Z94" s="204">
        <f t="shared" si="259"/>
        <v>7</v>
      </c>
      <c r="AA94" s="759">
        <f>'Energy NPV'!$D19</f>
        <v>30</v>
      </c>
      <c r="AB94" s="197">
        <f>'Energy margins'!$E$12</f>
        <v>72</v>
      </c>
      <c r="AC94" s="197">
        <f t="shared" si="260"/>
        <v>2160</v>
      </c>
      <c r="AD94" s="197">
        <f>'Margins summary'!$Q$14</f>
        <v>175.95</v>
      </c>
      <c r="AE94" s="197">
        <f t="shared" si="224"/>
        <v>2335.9499999999998</v>
      </c>
      <c r="AF94" s="197"/>
      <c r="AG94" s="918">
        <f>'Energy NPV'!$U19</f>
        <v>704.85838399999989</v>
      </c>
      <c r="AH94" s="197"/>
      <c r="AI94" s="197">
        <f t="shared" si="225"/>
        <v>704.85838399999989</v>
      </c>
      <c r="AJ94" s="197">
        <f t="shared" si="208"/>
        <v>1455.1416160000001</v>
      </c>
      <c r="AK94" s="197">
        <f t="shared" si="209"/>
        <v>1631.0916159999999</v>
      </c>
      <c r="AL94" s="196">
        <f t="shared" si="226"/>
        <v>1522.7147673497009</v>
      </c>
      <c r="AM94" s="197">
        <f t="shared" si="227"/>
        <v>124.03780709036103</v>
      </c>
      <c r="AN94" s="197">
        <f t="shared" si="228"/>
        <v>496.89734731807681</v>
      </c>
      <c r="AO94" s="197">
        <f t="shared" si="229"/>
        <v>1025.8174200316239</v>
      </c>
      <c r="AP94" s="199">
        <f t="shared" si="230"/>
        <v>1149.8552271219849</v>
      </c>
      <c r="AQ94" s="196">
        <f t="shared" si="261"/>
        <v>3336.2924186994724</v>
      </c>
      <c r="AR94" s="197">
        <f t="shared" si="231"/>
        <v>1041.1532151606482</v>
      </c>
      <c r="AS94" s="197">
        <f t="shared" si="231"/>
        <v>3947.8478295646046</v>
      </c>
      <c r="AT94" s="197">
        <f t="shared" si="231"/>
        <v>-611.55541086513267</v>
      </c>
      <c r="AU94" s="199">
        <f t="shared" si="231"/>
        <v>429.59780429551574</v>
      </c>
      <c r="AV94" s="197"/>
      <c r="AX94" s="204">
        <f t="shared" si="262"/>
        <v>7</v>
      </c>
      <c r="AY94" s="759">
        <f>'Energy NPV'!$D19</f>
        <v>30</v>
      </c>
      <c r="AZ94" s="197">
        <f>'Energy margins'!$E$12</f>
        <v>72</v>
      </c>
      <c r="BA94" s="197">
        <f t="shared" si="263"/>
        <v>2160</v>
      </c>
      <c r="BB94" s="197">
        <f>'Margins summary'!$Q$14</f>
        <v>175.95</v>
      </c>
      <c r="BC94" s="197">
        <f t="shared" si="232"/>
        <v>2335.9499999999998</v>
      </c>
      <c r="BD94" s="197"/>
      <c r="BE94" s="918">
        <f>'Energy NPV'!$U19</f>
        <v>704.85838399999989</v>
      </c>
      <c r="BF94" s="197"/>
      <c r="BG94" s="197">
        <f t="shared" si="233"/>
        <v>704.85838399999989</v>
      </c>
      <c r="BH94" s="197">
        <f t="shared" si="210"/>
        <v>1455.1416160000001</v>
      </c>
      <c r="BI94" s="197">
        <f t="shared" si="211"/>
        <v>1631.0916159999999</v>
      </c>
      <c r="BJ94" s="196">
        <f t="shared" si="234"/>
        <v>1918.0181855221747</v>
      </c>
      <c r="BK94" s="197">
        <f t="shared" si="235"/>
        <v>156.23856469566047</v>
      </c>
      <c r="BL94" s="197">
        <f t="shared" si="236"/>
        <v>625.8940734860056</v>
      </c>
      <c r="BM94" s="197">
        <f t="shared" si="237"/>
        <v>1292.1241120361692</v>
      </c>
      <c r="BN94" s="199">
        <f t="shared" si="238"/>
        <v>1448.3626767318294</v>
      </c>
      <c r="BO94" s="196">
        <f t="shared" si="264"/>
        <v>3953.4344281437907</v>
      </c>
      <c r="BP94" s="197">
        <f t="shared" si="239"/>
        <v>1161.5217652169754</v>
      </c>
      <c r="BQ94" s="197">
        <f t="shared" si="239"/>
        <v>4179.6100848922915</v>
      </c>
      <c r="BR94" s="197">
        <f t="shared" si="239"/>
        <v>-226.17565674850084</v>
      </c>
      <c r="BS94" s="199">
        <f t="shared" si="239"/>
        <v>935.34610846847386</v>
      </c>
      <c r="BT94" s="197"/>
      <c r="BV94" s="204">
        <f t="shared" si="265"/>
        <v>7</v>
      </c>
      <c r="BW94" s="759">
        <f>'Energy NPV'!$D19</f>
        <v>30</v>
      </c>
      <c r="BX94" s="197">
        <f>'Energy margins'!$E$12</f>
        <v>72</v>
      </c>
      <c r="BY94" s="197">
        <f t="shared" si="266"/>
        <v>2160</v>
      </c>
      <c r="BZ94" s="197">
        <f>'Margins summary'!$Q$14</f>
        <v>175.95</v>
      </c>
      <c r="CA94" s="197">
        <f t="shared" si="240"/>
        <v>2335.9499999999998</v>
      </c>
      <c r="CB94" s="197"/>
      <c r="CC94" s="918">
        <f>'Energy NPV'!$U19</f>
        <v>704.85838399999989</v>
      </c>
      <c r="CD94" s="197"/>
      <c r="CE94" s="197">
        <f t="shared" si="241"/>
        <v>704.85838399999989</v>
      </c>
      <c r="CF94" s="197">
        <f t="shared" si="212"/>
        <v>1455.1416160000001</v>
      </c>
      <c r="CG94" s="197">
        <f t="shared" si="213"/>
        <v>1631.0916159999999</v>
      </c>
      <c r="CH94" s="196">
        <f t="shared" si="242"/>
        <v>1361.166394067506</v>
      </c>
      <c r="CI94" s="197">
        <f t="shared" si="243"/>
        <v>110.87834585008224</v>
      </c>
      <c r="CJ94" s="197">
        <f t="shared" si="244"/>
        <v>444.18034485070797</v>
      </c>
      <c r="CK94" s="197">
        <f t="shared" si="245"/>
        <v>916.98604921679794</v>
      </c>
      <c r="CL94" s="199">
        <f t="shared" si="246"/>
        <v>1027.86439506688</v>
      </c>
      <c r="CM94" s="196">
        <f t="shared" si="267"/>
        <v>3075.8440346710722</v>
      </c>
      <c r="CN94" s="197">
        <f t="shared" si="247"/>
        <v>989.34567687397123</v>
      </c>
      <c r="CO94" s="197">
        <f t="shared" si="247"/>
        <v>3849.2713463398868</v>
      </c>
      <c r="CP94" s="197">
        <f t="shared" si="247"/>
        <v>-773.4273116688139</v>
      </c>
      <c r="CQ94" s="199">
        <f t="shared" si="247"/>
        <v>215.91836520515653</v>
      </c>
      <c r="CR94" s="197"/>
      <c r="CT94" s="204">
        <f t="shared" si="268"/>
        <v>7</v>
      </c>
      <c r="CU94" s="759">
        <f>'Energy NPV'!$D19</f>
        <v>30</v>
      </c>
      <c r="CV94" s="197">
        <f>'Energy margins'!$E$12</f>
        <v>72</v>
      </c>
      <c r="CW94" s="197">
        <f t="shared" si="269"/>
        <v>2160</v>
      </c>
      <c r="CX94" s="197">
        <f>'Margins summary'!$Q$14</f>
        <v>175.95</v>
      </c>
      <c r="CY94" s="197">
        <f t="shared" si="248"/>
        <v>2335.9499999999998</v>
      </c>
      <c r="CZ94" s="197"/>
      <c r="DA94" s="918">
        <f>'Energy NPV'!$U19</f>
        <v>704.85838399999989</v>
      </c>
      <c r="DB94" s="197"/>
      <c r="DC94" s="197">
        <f t="shared" si="249"/>
        <v>704.85838399999989</v>
      </c>
      <c r="DD94" s="197">
        <f t="shared" si="214"/>
        <v>1455.1416160000001</v>
      </c>
      <c r="DE94" s="197">
        <f t="shared" si="215"/>
        <v>1631.0916159999999</v>
      </c>
      <c r="DF94" s="196">
        <f t="shared" si="250"/>
        <v>2160</v>
      </c>
      <c r="DG94" s="197">
        <f t="shared" si="251"/>
        <v>175.95</v>
      </c>
      <c r="DH94" s="197">
        <f t="shared" si="252"/>
        <v>704.85838399999989</v>
      </c>
      <c r="DI94" s="197">
        <f t="shared" si="253"/>
        <v>1455.1416160000001</v>
      </c>
      <c r="DJ94" s="199">
        <f t="shared" si="254"/>
        <v>1631.0916159999999</v>
      </c>
      <c r="DK94" s="196">
        <f t="shared" si="270"/>
        <v>4320</v>
      </c>
      <c r="DL94" s="197">
        <f t="shared" si="255"/>
        <v>1231.6500000000001</v>
      </c>
      <c r="DM94" s="197">
        <f t="shared" si="255"/>
        <v>4316.2599520000003</v>
      </c>
      <c r="DN94" s="197">
        <f t="shared" si="255"/>
        <v>3.7400480000001153</v>
      </c>
      <c r="DO94" s="199">
        <f t="shared" si="255"/>
        <v>1235.3900479999993</v>
      </c>
    </row>
    <row r="95" spans="2:119" x14ac:dyDescent="0.3">
      <c r="B95" s="204">
        <f t="shared" si="256"/>
        <v>8</v>
      </c>
      <c r="C95" s="759">
        <f>'Energy NPV'!$D20</f>
        <v>0</v>
      </c>
      <c r="D95" s="197">
        <f>'Energy margins'!$E$12</f>
        <v>72</v>
      </c>
      <c r="E95" s="197">
        <f t="shared" si="257"/>
        <v>0</v>
      </c>
      <c r="F95" s="197">
        <f>'Margins summary'!$Q$14</f>
        <v>175.95</v>
      </c>
      <c r="G95" s="197">
        <f t="shared" si="216"/>
        <v>175.95</v>
      </c>
      <c r="H95" s="197"/>
      <c r="I95" s="922">
        <f>'Energy NPV'!$U20</f>
        <v>45.561599999999999</v>
      </c>
      <c r="J95" s="197"/>
      <c r="K95" s="197">
        <f t="shared" si="217"/>
        <v>45.561599999999999</v>
      </c>
      <c r="L95" s="197">
        <f t="shared" si="206"/>
        <v>-45.561599999999999</v>
      </c>
      <c r="M95" s="197">
        <f t="shared" si="207"/>
        <v>130.38839999999999</v>
      </c>
      <c r="N95" s="196">
        <f t="shared" si="218"/>
        <v>0</v>
      </c>
      <c r="O95" s="197">
        <f t="shared" si="219"/>
        <v>133.70753923290303</v>
      </c>
      <c r="P95" s="197">
        <f t="shared" si="220"/>
        <v>34.623071437987122</v>
      </c>
      <c r="Q95" s="197">
        <f t="shared" si="221"/>
        <v>-34.623071437987122</v>
      </c>
      <c r="R95" s="199">
        <f t="shared" si="222"/>
        <v>99.084467794915895</v>
      </c>
      <c r="S95" s="196">
        <f t="shared" si="258"/>
        <v>3627.311510306291</v>
      </c>
      <c r="T95" s="197">
        <f t="shared" si="223"/>
        <v>1232.0115191774235</v>
      </c>
      <c r="U95" s="197">
        <f t="shared" si="223"/>
        <v>4092.0529616969893</v>
      </c>
      <c r="V95" s="197">
        <f t="shared" si="223"/>
        <v>-464.74145139069805</v>
      </c>
      <c r="W95" s="199">
        <f t="shared" si="223"/>
        <v>767.27006778672489</v>
      </c>
      <c r="X95" s="197"/>
      <c r="Z95" s="204">
        <f t="shared" si="259"/>
        <v>8</v>
      </c>
      <c r="AA95" s="759">
        <f>'Energy NPV'!$D20</f>
        <v>0</v>
      </c>
      <c r="AB95" s="197">
        <f>'Energy margins'!$E$12</f>
        <v>72</v>
      </c>
      <c r="AC95" s="197">
        <f t="shared" si="260"/>
        <v>0</v>
      </c>
      <c r="AD95" s="197">
        <f>'Margins summary'!$Q$14</f>
        <v>175.95</v>
      </c>
      <c r="AE95" s="197">
        <f t="shared" si="224"/>
        <v>175.95</v>
      </c>
      <c r="AF95" s="197"/>
      <c r="AG95" s="918">
        <f>'Energy NPV'!$U20</f>
        <v>45.561599999999999</v>
      </c>
      <c r="AH95" s="197"/>
      <c r="AI95" s="197">
        <f t="shared" si="225"/>
        <v>45.561599999999999</v>
      </c>
      <c r="AJ95" s="197">
        <f t="shared" si="208"/>
        <v>-45.561599999999999</v>
      </c>
      <c r="AK95" s="197">
        <f t="shared" si="209"/>
        <v>130.38839999999999</v>
      </c>
      <c r="AL95" s="196">
        <f t="shared" si="226"/>
        <v>0</v>
      </c>
      <c r="AM95" s="197">
        <f t="shared" si="227"/>
        <v>117.01679914185002</v>
      </c>
      <c r="AN95" s="197">
        <f t="shared" si="228"/>
        <v>30.301066188015422</v>
      </c>
      <c r="AO95" s="197">
        <f t="shared" si="229"/>
        <v>-30.301066188015422</v>
      </c>
      <c r="AP95" s="199">
        <f t="shared" si="230"/>
        <v>86.715732953834589</v>
      </c>
      <c r="AQ95" s="196">
        <f t="shared" si="261"/>
        <v>3336.2924186994724</v>
      </c>
      <c r="AR95" s="197">
        <f t="shared" si="231"/>
        <v>1158.1700143024982</v>
      </c>
      <c r="AS95" s="197">
        <f t="shared" si="231"/>
        <v>3978.1488957526199</v>
      </c>
      <c r="AT95" s="197">
        <f t="shared" si="231"/>
        <v>-641.85647705314807</v>
      </c>
      <c r="AU95" s="199">
        <f t="shared" si="231"/>
        <v>516.31353724935036</v>
      </c>
      <c r="AV95" s="197"/>
      <c r="AX95" s="204">
        <f t="shared" si="262"/>
        <v>8</v>
      </c>
      <c r="AY95" s="759">
        <f>'Energy NPV'!$D20</f>
        <v>0</v>
      </c>
      <c r="AZ95" s="197">
        <f>'Energy margins'!$E$12</f>
        <v>72</v>
      </c>
      <c r="BA95" s="197">
        <f t="shared" si="263"/>
        <v>0</v>
      </c>
      <c r="BB95" s="197">
        <f>'Margins summary'!$Q$14</f>
        <v>175.95</v>
      </c>
      <c r="BC95" s="197">
        <f t="shared" si="232"/>
        <v>175.95</v>
      </c>
      <c r="BD95" s="197"/>
      <c r="BE95" s="918">
        <f>'Energy NPV'!$U20</f>
        <v>45.561599999999999</v>
      </c>
      <c r="BF95" s="197"/>
      <c r="BG95" s="197">
        <f t="shared" si="233"/>
        <v>45.561599999999999</v>
      </c>
      <c r="BH95" s="197">
        <f t="shared" si="210"/>
        <v>-45.561599999999999</v>
      </c>
      <c r="BI95" s="197">
        <f t="shared" si="211"/>
        <v>130.38839999999999</v>
      </c>
      <c r="BJ95" s="196">
        <f t="shared" si="234"/>
        <v>0</v>
      </c>
      <c r="BK95" s="197">
        <f t="shared" si="235"/>
        <v>153.17506342711815</v>
      </c>
      <c r="BL95" s="197">
        <f t="shared" si="236"/>
        <v>39.664114633935696</v>
      </c>
      <c r="BM95" s="197">
        <f t="shared" si="237"/>
        <v>-39.664114633935696</v>
      </c>
      <c r="BN95" s="199">
        <f t="shared" si="238"/>
        <v>113.51094879318245</v>
      </c>
      <c r="BO95" s="196">
        <f t="shared" si="264"/>
        <v>3953.4344281437907</v>
      </c>
      <c r="BP95" s="197">
        <f t="shared" si="239"/>
        <v>1314.6968286440936</v>
      </c>
      <c r="BQ95" s="197">
        <f t="shared" si="239"/>
        <v>4219.2741995262277</v>
      </c>
      <c r="BR95" s="197">
        <f t="shared" si="239"/>
        <v>-265.83977138243654</v>
      </c>
      <c r="BS95" s="199">
        <f t="shared" si="239"/>
        <v>1048.8570572616563</v>
      </c>
      <c r="BT95" s="197"/>
      <c r="BV95" s="204">
        <f t="shared" si="265"/>
        <v>8</v>
      </c>
      <c r="BW95" s="759">
        <f>'Energy NPV'!$D20</f>
        <v>0</v>
      </c>
      <c r="BX95" s="197">
        <f>'Energy margins'!$E$12</f>
        <v>72</v>
      </c>
      <c r="BY95" s="197">
        <f t="shared" si="266"/>
        <v>0</v>
      </c>
      <c r="BZ95" s="197">
        <f>'Margins summary'!$Q$14</f>
        <v>175.95</v>
      </c>
      <c r="CA95" s="197">
        <f t="shared" si="240"/>
        <v>175.95</v>
      </c>
      <c r="CB95" s="197"/>
      <c r="CC95" s="918">
        <f>'Energy NPV'!$U20</f>
        <v>45.561599999999999</v>
      </c>
      <c r="CD95" s="197"/>
      <c r="CE95" s="197">
        <f t="shared" si="241"/>
        <v>45.561599999999999</v>
      </c>
      <c r="CF95" s="197">
        <f t="shared" si="212"/>
        <v>-45.561599999999999</v>
      </c>
      <c r="CG95" s="197">
        <f t="shared" si="213"/>
        <v>130.38839999999999</v>
      </c>
      <c r="CH95" s="196">
        <f t="shared" si="242"/>
        <v>0</v>
      </c>
      <c r="CI95" s="197">
        <f t="shared" si="243"/>
        <v>102.66513504637244</v>
      </c>
      <c r="CJ95" s="197">
        <f t="shared" si="244"/>
        <v>26.584755992775236</v>
      </c>
      <c r="CK95" s="197">
        <f t="shared" si="245"/>
        <v>-26.584755992775236</v>
      </c>
      <c r="CL95" s="199">
        <f t="shared" si="246"/>
        <v>76.080379053597198</v>
      </c>
      <c r="CM95" s="196">
        <f t="shared" si="267"/>
        <v>3075.8440346710722</v>
      </c>
      <c r="CN95" s="197">
        <f t="shared" si="247"/>
        <v>1092.0108119203437</v>
      </c>
      <c r="CO95" s="197">
        <f t="shared" si="247"/>
        <v>3875.856102332662</v>
      </c>
      <c r="CP95" s="197">
        <f t="shared" si="247"/>
        <v>-800.01206766158919</v>
      </c>
      <c r="CQ95" s="199">
        <f t="shared" si="247"/>
        <v>291.99874425875373</v>
      </c>
      <c r="CR95" s="197"/>
      <c r="CT95" s="204">
        <f t="shared" si="268"/>
        <v>8</v>
      </c>
      <c r="CU95" s="759">
        <f>'Energy NPV'!$D20</f>
        <v>0</v>
      </c>
      <c r="CV95" s="197">
        <f>'Energy margins'!$E$12</f>
        <v>72</v>
      </c>
      <c r="CW95" s="197">
        <f t="shared" si="269"/>
        <v>0</v>
      </c>
      <c r="CX95" s="197">
        <f>'Margins summary'!$Q$14</f>
        <v>175.95</v>
      </c>
      <c r="CY95" s="197">
        <f t="shared" si="248"/>
        <v>175.95</v>
      </c>
      <c r="CZ95" s="197"/>
      <c r="DA95" s="918">
        <f>'Energy NPV'!$U20</f>
        <v>45.561599999999999</v>
      </c>
      <c r="DB95" s="197"/>
      <c r="DC95" s="197">
        <f t="shared" si="249"/>
        <v>45.561599999999999</v>
      </c>
      <c r="DD95" s="197">
        <f t="shared" si="214"/>
        <v>-45.561599999999999</v>
      </c>
      <c r="DE95" s="197">
        <f t="shared" si="215"/>
        <v>130.38839999999999</v>
      </c>
      <c r="DF95" s="196">
        <f t="shared" si="250"/>
        <v>0</v>
      </c>
      <c r="DG95" s="197">
        <f t="shared" si="251"/>
        <v>175.95</v>
      </c>
      <c r="DH95" s="197">
        <f t="shared" si="252"/>
        <v>45.561599999999999</v>
      </c>
      <c r="DI95" s="197">
        <f t="shared" si="253"/>
        <v>-45.561599999999999</v>
      </c>
      <c r="DJ95" s="199">
        <f t="shared" si="254"/>
        <v>130.38839999999999</v>
      </c>
      <c r="DK95" s="196">
        <f t="shared" si="270"/>
        <v>4320</v>
      </c>
      <c r="DL95" s="197">
        <f t="shared" si="255"/>
        <v>1407.6000000000001</v>
      </c>
      <c r="DM95" s="197">
        <f t="shared" si="255"/>
        <v>4361.8215520000003</v>
      </c>
      <c r="DN95" s="197">
        <f t="shared" si="255"/>
        <v>-41.821551999999883</v>
      </c>
      <c r="DO95" s="199">
        <f t="shared" si="255"/>
        <v>1365.7784479999993</v>
      </c>
    </row>
    <row r="96" spans="2:119" x14ac:dyDescent="0.3">
      <c r="B96" s="204">
        <f t="shared" si="256"/>
        <v>9</v>
      </c>
      <c r="C96" s="759">
        <f>'Energy NPV'!$D21</f>
        <v>0</v>
      </c>
      <c r="D96" s="197">
        <f>'Energy margins'!$E$12</f>
        <v>72</v>
      </c>
      <c r="E96" s="197">
        <f t="shared" si="257"/>
        <v>0</v>
      </c>
      <c r="F96" s="197">
        <f>'Margins summary'!$Q$14</f>
        <v>175.95</v>
      </c>
      <c r="G96" s="197">
        <f t="shared" si="216"/>
        <v>175.95</v>
      </c>
      <c r="H96" s="197"/>
      <c r="I96" s="922">
        <f>'Energy NPV'!$U21</f>
        <v>45.561599999999999</v>
      </c>
      <c r="J96" s="197"/>
      <c r="K96" s="197">
        <f t="shared" si="217"/>
        <v>45.561599999999999</v>
      </c>
      <c r="L96" s="197">
        <f t="shared" si="206"/>
        <v>-45.561599999999999</v>
      </c>
      <c r="M96" s="197">
        <f t="shared" si="207"/>
        <v>130.38839999999999</v>
      </c>
      <c r="N96" s="196">
        <f t="shared" si="218"/>
        <v>0</v>
      </c>
      <c r="O96" s="197">
        <f t="shared" si="219"/>
        <v>128.56494157009902</v>
      </c>
      <c r="P96" s="197">
        <f t="shared" si="220"/>
        <v>33.29141484421838</v>
      </c>
      <c r="Q96" s="197">
        <f t="shared" si="221"/>
        <v>-33.29141484421838</v>
      </c>
      <c r="R96" s="199">
        <f t="shared" si="222"/>
        <v>95.273526725880657</v>
      </c>
      <c r="S96" s="196">
        <f t="shared" si="258"/>
        <v>3627.311510306291</v>
      </c>
      <c r="T96" s="197">
        <f t="shared" si="223"/>
        <v>1360.5764607475226</v>
      </c>
      <c r="U96" s="197">
        <f t="shared" si="223"/>
        <v>4125.3443765412076</v>
      </c>
      <c r="V96" s="197">
        <f t="shared" si="223"/>
        <v>-498.03286623491641</v>
      </c>
      <c r="W96" s="199">
        <f t="shared" si="223"/>
        <v>862.54359451260552</v>
      </c>
      <c r="X96" s="197"/>
      <c r="Z96" s="204">
        <f t="shared" si="259"/>
        <v>9</v>
      </c>
      <c r="AA96" s="759">
        <f>'Energy NPV'!$D21</f>
        <v>0</v>
      </c>
      <c r="AB96" s="197">
        <f>'Energy margins'!$E$12</f>
        <v>72</v>
      </c>
      <c r="AC96" s="197">
        <f t="shared" si="260"/>
        <v>0</v>
      </c>
      <c r="AD96" s="197">
        <f>'Margins summary'!$Q$14</f>
        <v>175.95</v>
      </c>
      <c r="AE96" s="197">
        <f t="shared" si="224"/>
        <v>175.95</v>
      </c>
      <c r="AF96" s="197"/>
      <c r="AG96" s="918">
        <f>'Energy NPV'!$U21</f>
        <v>45.561599999999999</v>
      </c>
      <c r="AH96" s="197"/>
      <c r="AI96" s="197">
        <f t="shared" si="225"/>
        <v>45.561599999999999</v>
      </c>
      <c r="AJ96" s="197">
        <f t="shared" si="208"/>
        <v>-45.561599999999999</v>
      </c>
      <c r="AK96" s="197">
        <f t="shared" si="209"/>
        <v>130.38839999999999</v>
      </c>
      <c r="AL96" s="196">
        <f t="shared" si="226"/>
        <v>0</v>
      </c>
      <c r="AM96" s="197">
        <f t="shared" si="227"/>
        <v>110.39320673759437</v>
      </c>
      <c r="AN96" s="197">
        <f t="shared" si="228"/>
        <v>28.585911498127761</v>
      </c>
      <c r="AO96" s="197">
        <f t="shared" si="229"/>
        <v>-28.585911498127761</v>
      </c>
      <c r="AP96" s="199">
        <f t="shared" si="230"/>
        <v>81.807295239466598</v>
      </c>
      <c r="AQ96" s="196">
        <f t="shared" si="261"/>
        <v>3336.2924186994724</v>
      </c>
      <c r="AR96" s="197">
        <f t="shared" si="231"/>
        <v>1268.5632210400927</v>
      </c>
      <c r="AS96" s="197">
        <f t="shared" si="231"/>
        <v>4006.7348072507475</v>
      </c>
      <c r="AT96" s="197">
        <f t="shared" si="231"/>
        <v>-670.44238855127583</v>
      </c>
      <c r="AU96" s="199">
        <f t="shared" si="231"/>
        <v>598.12083248881697</v>
      </c>
      <c r="AV96" s="197"/>
      <c r="AX96" s="204">
        <f t="shared" si="262"/>
        <v>9</v>
      </c>
      <c r="AY96" s="759">
        <f>'Energy NPV'!$D21</f>
        <v>0</v>
      </c>
      <c r="AZ96" s="197">
        <f>'Energy margins'!$E$12</f>
        <v>72</v>
      </c>
      <c r="BA96" s="197">
        <f t="shared" si="263"/>
        <v>0</v>
      </c>
      <c r="BB96" s="197">
        <f>'Margins summary'!$Q$14</f>
        <v>175.95</v>
      </c>
      <c r="BC96" s="197">
        <f t="shared" si="232"/>
        <v>175.95</v>
      </c>
      <c r="BD96" s="197"/>
      <c r="BE96" s="918">
        <f>'Energy NPV'!$U21</f>
        <v>45.561599999999999</v>
      </c>
      <c r="BF96" s="197"/>
      <c r="BG96" s="197">
        <f t="shared" si="233"/>
        <v>45.561599999999999</v>
      </c>
      <c r="BH96" s="197">
        <f t="shared" si="210"/>
        <v>-45.561599999999999</v>
      </c>
      <c r="BI96" s="197">
        <f t="shared" si="211"/>
        <v>130.38839999999999</v>
      </c>
      <c r="BJ96" s="196">
        <f t="shared" si="234"/>
        <v>0</v>
      </c>
      <c r="BK96" s="197">
        <f t="shared" si="235"/>
        <v>150.17163081090013</v>
      </c>
      <c r="BL96" s="197">
        <f t="shared" si="236"/>
        <v>38.886386896015388</v>
      </c>
      <c r="BM96" s="197">
        <f t="shared" si="237"/>
        <v>-38.886386896015388</v>
      </c>
      <c r="BN96" s="199">
        <f t="shared" si="238"/>
        <v>111.28524391488475</v>
      </c>
      <c r="BO96" s="196">
        <f t="shared" si="264"/>
        <v>3953.4344281437907</v>
      </c>
      <c r="BP96" s="197">
        <f t="shared" si="239"/>
        <v>1464.8684594549936</v>
      </c>
      <c r="BQ96" s="197">
        <f t="shared" si="239"/>
        <v>4258.1605864222429</v>
      </c>
      <c r="BR96" s="197">
        <f t="shared" si="239"/>
        <v>-304.72615827845192</v>
      </c>
      <c r="BS96" s="199">
        <f t="shared" si="239"/>
        <v>1160.142301176541</v>
      </c>
      <c r="BT96" s="197"/>
      <c r="BV96" s="204">
        <f t="shared" si="265"/>
        <v>9</v>
      </c>
      <c r="BW96" s="759">
        <f>'Energy NPV'!$D21</f>
        <v>0</v>
      </c>
      <c r="BX96" s="197">
        <f>'Energy margins'!$E$12</f>
        <v>72</v>
      </c>
      <c r="BY96" s="197">
        <f t="shared" si="266"/>
        <v>0</v>
      </c>
      <c r="BZ96" s="197">
        <f>'Margins summary'!$Q$14</f>
        <v>175.95</v>
      </c>
      <c r="CA96" s="197">
        <f t="shared" si="240"/>
        <v>175.95</v>
      </c>
      <c r="CB96" s="197"/>
      <c r="CC96" s="918">
        <f>'Energy NPV'!$U21</f>
        <v>45.561599999999999</v>
      </c>
      <c r="CD96" s="197"/>
      <c r="CE96" s="197">
        <f t="shared" si="241"/>
        <v>45.561599999999999</v>
      </c>
      <c r="CF96" s="197">
        <f t="shared" si="212"/>
        <v>-45.561599999999999</v>
      </c>
      <c r="CG96" s="197">
        <f t="shared" si="213"/>
        <v>130.38839999999999</v>
      </c>
      <c r="CH96" s="196">
        <f t="shared" si="242"/>
        <v>0</v>
      </c>
      <c r="CI96" s="197">
        <f t="shared" si="243"/>
        <v>95.060310228122631</v>
      </c>
      <c r="CJ96" s="197">
        <f t="shared" si="244"/>
        <v>24.615514808125219</v>
      </c>
      <c r="CK96" s="197">
        <f t="shared" si="245"/>
        <v>-24.615514808125219</v>
      </c>
      <c r="CL96" s="199">
        <f t="shared" si="246"/>
        <v>70.444795419997419</v>
      </c>
      <c r="CM96" s="196">
        <f t="shared" si="267"/>
        <v>3075.8440346710722</v>
      </c>
      <c r="CN96" s="197">
        <f t="shared" si="247"/>
        <v>1187.0711221484664</v>
      </c>
      <c r="CO96" s="197">
        <f t="shared" si="247"/>
        <v>3900.4716171407872</v>
      </c>
      <c r="CP96" s="197">
        <f t="shared" si="247"/>
        <v>-824.62758246971441</v>
      </c>
      <c r="CQ96" s="199">
        <f t="shared" si="247"/>
        <v>362.44353967875116</v>
      </c>
      <c r="CR96" s="197"/>
      <c r="CT96" s="204">
        <f t="shared" si="268"/>
        <v>9</v>
      </c>
      <c r="CU96" s="759">
        <f>'Energy NPV'!$D21</f>
        <v>0</v>
      </c>
      <c r="CV96" s="197">
        <f>'Energy margins'!$E$12</f>
        <v>72</v>
      </c>
      <c r="CW96" s="197">
        <f t="shared" si="269"/>
        <v>0</v>
      </c>
      <c r="CX96" s="197">
        <f>'Margins summary'!$Q$14</f>
        <v>175.95</v>
      </c>
      <c r="CY96" s="197">
        <f t="shared" si="248"/>
        <v>175.95</v>
      </c>
      <c r="CZ96" s="197"/>
      <c r="DA96" s="918">
        <f>'Energy NPV'!$U21</f>
        <v>45.561599999999999</v>
      </c>
      <c r="DB96" s="197"/>
      <c r="DC96" s="197">
        <f t="shared" si="249"/>
        <v>45.561599999999999</v>
      </c>
      <c r="DD96" s="197">
        <f t="shared" si="214"/>
        <v>-45.561599999999999</v>
      </c>
      <c r="DE96" s="197">
        <f t="shared" si="215"/>
        <v>130.38839999999999</v>
      </c>
      <c r="DF96" s="196">
        <f t="shared" si="250"/>
        <v>0</v>
      </c>
      <c r="DG96" s="197">
        <f t="shared" si="251"/>
        <v>175.95</v>
      </c>
      <c r="DH96" s="197">
        <f t="shared" si="252"/>
        <v>45.561599999999999</v>
      </c>
      <c r="DI96" s="197">
        <f t="shared" si="253"/>
        <v>-45.561599999999999</v>
      </c>
      <c r="DJ96" s="199">
        <f t="shared" si="254"/>
        <v>130.38839999999999</v>
      </c>
      <c r="DK96" s="196">
        <f t="shared" si="270"/>
        <v>4320</v>
      </c>
      <c r="DL96" s="197">
        <f t="shared" si="255"/>
        <v>1583.5500000000002</v>
      </c>
      <c r="DM96" s="197">
        <f t="shared" si="255"/>
        <v>4407.3831520000003</v>
      </c>
      <c r="DN96" s="197">
        <f t="shared" si="255"/>
        <v>-87.383151999999882</v>
      </c>
      <c r="DO96" s="199">
        <f t="shared" si="255"/>
        <v>1496.1668479999994</v>
      </c>
    </row>
    <row r="97" spans="2:119" x14ac:dyDescent="0.3">
      <c r="B97" s="204">
        <f t="shared" si="256"/>
        <v>10</v>
      </c>
      <c r="C97" s="759">
        <f>'Energy NPV'!$D22</f>
        <v>30</v>
      </c>
      <c r="D97" s="197">
        <f>'Energy margins'!$E$12</f>
        <v>72</v>
      </c>
      <c r="E97" s="197">
        <f t="shared" si="257"/>
        <v>2160</v>
      </c>
      <c r="F97" s="197">
        <f>'Margins summary'!$Q$14</f>
        <v>175.95</v>
      </c>
      <c r="G97" s="197">
        <f t="shared" si="216"/>
        <v>2335.9499999999998</v>
      </c>
      <c r="H97" s="197"/>
      <c r="I97" s="922">
        <f>'Energy NPV'!$U22</f>
        <v>704.85838399999989</v>
      </c>
      <c r="J97" s="197"/>
      <c r="K97" s="197">
        <f t="shared" si="217"/>
        <v>704.85838399999989</v>
      </c>
      <c r="L97" s="197">
        <f t="shared" si="206"/>
        <v>1455.1416160000001</v>
      </c>
      <c r="M97" s="197">
        <f t="shared" si="207"/>
        <v>1631.0916159999999</v>
      </c>
      <c r="N97" s="196">
        <f t="shared" si="218"/>
        <v>1517.5873488502739</v>
      </c>
      <c r="O97" s="197">
        <f t="shared" si="219"/>
        <v>123.62013612509521</v>
      </c>
      <c r="P97" s="197">
        <f t="shared" si="220"/>
        <v>495.22415105992968</v>
      </c>
      <c r="Q97" s="197">
        <f t="shared" si="221"/>
        <v>1022.3631977903442</v>
      </c>
      <c r="R97" s="199">
        <f t="shared" si="222"/>
        <v>1145.9833339154393</v>
      </c>
      <c r="S97" s="196">
        <f t="shared" si="258"/>
        <v>5144.8988591565649</v>
      </c>
      <c r="T97" s="197">
        <f t="shared" si="223"/>
        <v>1484.1965968726179</v>
      </c>
      <c r="U97" s="197">
        <f t="shared" si="223"/>
        <v>4620.5685276011372</v>
      </c>
      <c r="V97" s="197">
        <f t="shared" si="223"/>
        <v>524.33033155542785</v>
      </c>
      <c r="W97" s="199">
        <f t="shared" si="223"/>
        <v>2008.5269284280448</v>
      </c>
      <c r="X97" s="197"/>
      <c r="Z97" s="204">
        <f t="shared" si="259"/>
        <v>10</v>
      </c>
      <c r="AA97" s="759">
        <f>'Energy NPV'!$D22</f>
        <v>30</v>
      </c>
      <c r="AB97" s="197">
        <f>'Energy margins'!$E$12</f>
        <v>72</v>
      </c>
      <c r="AC97" s="197">
        <f t="shared" si="260"/>
        <v>2160</v>
      </c>
      <c r="AD97" s="197">
        <f>'Margins summary'!$Q$14</f>
        <v>175.95</v>
      </c>
      <c r="AE97" s="197">
        <f t="shared" si="224"/>
        <v>2335.9499999999998</v>
      </c>
      <c r="AF97" s="197"/>
      <c r="AG97" s="918">
        <f>'Energy NPV'!$U22</f>
        <v>704.85838399999989</v>
      </c>
      <c r="AH97" s="197"/>
      <c r="AI97" s="197">
        <f t="shared" si="225"/>
        <v>704.85838399999989</v>
      </c>
      <c r="AJ97" s="197">
        <f t="shared" si="208"/>
        <v>1455.1416160000001</v>
      </c>
      <c r="AK97" s="197">
        <f t="shared" si="209"/>
        <v>1631.0916159999999</v>
      </c>
      <c r="AL97" s="196">
        <f t="shared" si="226"/>
        <v>1278.5006812248539</v>
      </c>
      <c r="AM97" s="197">
        <f t="shared" si="227"/>
        <v>104.14453465810789</v>
      </c>
      <c r="AN97" s="197">
        <f t="shared" si="228"/>
        <v>417.20459449585627</v>
      </c>
      <c r="AO97" s="197">
        <f t="shared" si="229"/>
        <v>861.29608672899769</v>
      </c>
      <c r="AP97" s="199">
        <f t="shared" si="230"/>
        <v>965.44062138710547</v>
      </c>
      <c r="AQ97" s="196">
        <f t="shared" si="261"/>
        <v>4614.7930999243263</v>
      </c>
      <c r="AR97" s="197">
        <f t="shared" si="231"/>
        <v>1372.7077556982006</v>
      </c>
      <c r="AS97" s="197">
        <f t="shared" si="231"/>
        <v>4423.9394017466038</v>
      </c>
      <c r="AT97" s="197">
        <f t="shared" si="231"/>
        <v>190.85369817772187</v>
      </c>
      <c r="AU97" s="199">
        <f t="shared" si="231"/>
        <v>1563.5614538759223</v>
      </c>
      <c r="AV97" s="197"/>
      <c r="AX97" s="204">
        <f t="shared" si="262"/>
        <v>10</v>
      </c>
      <c r="AY97" s="759">
        <f>'Energy NPV'!$D22</f>
        <v>30</v>
      </c>
      <c r="AZ97" s="197">
        <f>'Energy margins'!$E$12</f>
        <v>72</v>
      </c>
      <c r="BA97" s="197">
        <f t="shared" si="263"/>
        <v>2160</v>
      </c>
      <c r="BB97" s="197">
        <f>'Margins summary'!$Q$14</f>
        <v>175.95</v>
      </c>
      <c r="BC97" s="197">
        <f t="shared" si="232"/>
        <v>2335.9499999999998</v>
      </c>
      <c r="BD97" s="197"/>
      <c r="BE97" s="918">
        <f>'Energy NPV'!$U22</f>
        <v>704.85838399999989</v>
      </c>
      <c r="BF97" s="197"/>
      <c r="BG97" s="197">
        <f t="shared" si="233"/>
        <v>704.85838399999989</v>
      </c>
      <c r="BH97" s="197">
        <f t="shared" si="210"/>
        <v>1455.1416160000001</v>
      </c>
      <c r="BI97" s="197">
        <f t="shared" si="211"/>
        <v>1631.0916159999999</v>
      </c>
      <c r="BJ97" s="196">
        <f t="shared" si="234"/>
        <v>1807.3913742849422</v>
      </c>
      <c r="BK97" s="197">
        <f t="shared" si="235"/>
        <v>147.22708903029425</v>
      </c>
      <c r="BL97" s="197">
        <f t="shared" si="236"/>
        <v>589.79396450649233</v>
      </c>
      <c r="BM97" s="197">
        <f t="shared" si="237"/>
        <v>1217.5974097784499</v>
      </c>
      <c r="BN97" s="199">
        <f t="shared" si="238"/>
        <v>1364.824498808744</v>
      </c>
      <c r="BO97" s="196">
        <f t="shared" si="264"/>
        <v>5760.8258024287334</v>
      </c>
      <c r="BP97" s="197">
        <f t="shared" si="239"/>
        <v>1612.095548485288</v>
      </c>
      <c r="BQ97" s="197">
        <f t="shared" si="239"/>
        <v>4847.9545509287354</v>
      </c>
      <c r="BR97" s="197">
        <f t="shared" si="239"/>
        <v>912.87125149999792</v>
      </c>
      <c r="BS97" s="199">
        <f t="shared" si="239"/>
        <v>2524.966799985285</v>
      </c>
      <c r="BT97" s="197"/>
      <c r="BV97" s="204">
        <f t="shared" si="265"/>
        <v>10</v>
      </c>
      <c r="BW97" s="759">
        <f>'Energy NPV'!$D22</f>
        <v>30</v>
      </c>
      <c r="BX97" s="197">
        <f>'Energy margins'!$E$12</f>
        <v>72</v>
      </c>
      <c r="BY97" s="197">
        <f t="shared" si="266"/>
        <v>2160</v>
      </c>
      <c r="BZ97" s="197">
        <f>'Margins summary'!$Q$14</f>
        <v>175.95</v>
      </c>
      <c r="CA97" s="197">
        <f t="shared" si="240"/>
        <v>2335.9499999999998</v>
      </c>
      <c r="CB97" s="197"/>
      <c r="CC97" s="918">
        <f>'Energy NPV'!$U22</f>
        <v>704.85838399999989</v>
      </c>
      <c r="CD97" s="197"/>
      <c r="CE97" s="197">
        <f t="shared" si="241"/>
        <v>704.85838399999989</v>
      </c>
      <c r="CF97" s="197">
        <f t="shared" si="212"/>
        <v>1455.1416160000001</v>
      </c>
      <c r="CG97" s="197">
        <f t="shared" si="213"/>
        <v>1631.0916159999999</v>
      </c>
      <c r="CH97" s="196">
        <f t="shared" si="242"/>
        <v>1080.5377690039516</v>
      </c>
      <c r="CI97" s="197">
        <f t="shared" si="243"/>
        <v>88.018805766780204</v>
      </c>
      <c r="CJ97" s="197">
        <f t="shared" si="244"/>
        <v>352.60467856994927</v>
      </c>
      <c r="CK97" s="197">
        <f t="shared" si="245"/>
        <v>727.93309043400222</v>
      </c>
      <c r="CL97" s="199">
        <f t="shared" si="246"/>
        <v>815.95189620078236</v>
      </c>
      <c r="CM97" s="196">
        <f t="shared" si="267"/>
        <v>4156.3818036750235</v>
      </c>
      <c r="CN97" s="197">
        <f t="shared" si="247"/>
        <v>1275.0899279152466</v>
      </c>
      <c r="CO97" s="197">
        <f t="shared" si="247"/>
        <v>4253.0762957107363</v>
      </c>
      <c r="CP97" s="197">
        <f t="shared" si="247"/>
        <v>-96.694492035712187</v>
      </c>
      <c r="CQ97" s="199">
        <f t="shared" si="247"/>
        <v>1178.3954358795336</v>
      </c>
      <c r="CR97" s="197"/>
      <c r="CT97" s="204">
        <f t="shared" si="268"/>
        <v>10</v>
      </c>
      <c r="CU97" s="759">
        <f>'Energy NPV'!$D22</f>
        <v>30</v>
      </c>
      <c r="CV97" s="197">
        <f>'Energy margins'!$E$12</f>
        <v>72</v>
      </c>
      <c r="CW97" s="197">
        <f t="shared" si="269"/>
        <v>2160</v>
      </c>
      <c r="CX97" s="197">
        <f>'Margins summary'!$Q$14</f>
        <v>175.95</v>
      </c>
      <c r="CY97" s="197">
        <f t="shared" si="248"/>
        <v>2335.9499999999998</v>
      </c>
      <c r="CZ97" s="197"/>
      <c r="DA97" s="918">
        <f>'Energy NPV'!$U22</f>
        <v>704.85838399999989</v>
      </c>
      <c r="DB97" s="197"/>
      <c r="DC97" s="197">
        <f t="shared" si="249"/>
        <v>704.85838399999989</v>
      </c>
      <c r="DD97" s="197">
        <f t="shared" si="214"/>
        <v>1455.1416160000001</v>
      </c>
      <c r="DE97" s="197">
        <f t="shared" si="215"/>
        <v>1631.0916159999999</v>
      </c>
      <c r="DF97" s="196">
        <f t="shared" si="250"/>
        <v>2160</v>
      </c>
      <c r="DG97" s="197">
        <f t="shared" si="251"/>
        <v>175.95</v>
      </c>
      <c r="DH97" s="197">
        <f t="shared" si="252"/>
        <v>704.85838399999989</v>
      </c>
      <c r="DI97" s="197">
        <f t="shared" si="253"/>
        <v>1455.1416160000001</v>
      </c>
      <c r="DJ97" s="199">
        <f t="shared" si="254"/>
        <v>1631.0916159999999</v>
      </c>
      <c r="DK97" s="196">
        <f t="shared" si="270"/>
        <v>6480</v>
      </c>
      <c r="DL97" s="197">
        <f t="shared" si="255"/>
        <v>1759.5000000000002</v>
      </c>
      <c r="DM97" s="197">
        <f t="shared" si="255"/>
        <v>5112.2415360000005</v>
      </c>
      <c r="DN97" s="197">
        <f t="shared" si="255"/>
        <v>1367.7584640000002</v>
      </c>
      <c r="DO97" s="199">
        <f t="shared" si="255"/>
        <v>3127.2584639999995</v>
      </c>
    </row>
    <row r="98" spans="2:119" x14ac:dyDescent="0.3">
      <c r="B98" s="204">
        <f t="shared" si="256"/>
        <v>11</v>
      </c>
      <c r="C98" s="759">
        <f>'Energy NPV'!$D23</f>
        <v>0</v>
      </c>
      <c r="D98" s="197">
        <f>'Energy margins'!$E$12</f>
        <v>72</v>
      </c>
      <c r="E98" s="197">
        <f t="shared" si="257"/>
        <v>0</v>
      </c>
      <c r="F98" s="197">
        <f>'Margins summary'!$Q$14</f>
        <v>175.95</v>
      </c>
      <c r="G98" s="197">
        <f t="shared" si="216"/>
        <v>175.95</v>
      </c>
      <c r="H98" s="197"/>
      <c r="I98" s="922">
        <f>'Energy NPV'!$U23</f>
        <v>0</v>
      </c>
      <c r="J98" s="197"/>
      <c r="K98" s="197">
        <f t="shared" si="217"/>
        <v>0</v>
      </c>
      <c r="L98" s="197">
        <f t="shared" si="206"/>
        <v>0</v>
      </c>
      <c r="M98" s="197">
        <f t="shared" si="207"/>
        <v>175.95</v>
      </c>
      <c r="N98" s="196">
        <f t="shared" si="218"/>
        <v>0</v>
      </c>
      <c r="O98" s="197">
        <f t="shared" si="219"/>
        <v>118.86551550489925</v>
      </c>
      <c r="P98" s="197">
        <f t="shared" si="220"/>
        <v>0</v>
      </c>
      <c r="Q98" s="197">
        <f t="shared" si="221"/>
        <v>0</v>
      </c>
      <c r="R98" s="199">
        <f t="shared" si="222"/>
        <v>118.86551550489925</v>
      </c>
      <c r="S98" s="196">
        <f t="shared" si="258"/>
        <v>5144.8988591565649</v>
      </c>
      <c r="T98" s="197">
        <f t="shared" si="223"/>
        <v>1603.0621123775172</v>
      </c>
      <c r="U98" s="197">
        <f t="shared" si="223"/>
        <v>4620.5685276011372</v>
      </c>
      <c r="V98" s="197">
        <f t="shared" si="223"/>
        <v>524.33033155542785</v>
      </c>
      <c r="W98" s="199">
        <f t="shared" si="223"/>
        <v>2127.3924439329439</v>
      </c>
      <c r="X98" s="197"/>
      <c r="Z98" s="204">
        <f t="shared" si="259"/>
        <v>11</v>
      </c>
      <c r="AA98" s="759">
        <f>'Energy NPV'!$D23</f>
        <v>0</v>
      </c>
      <c r="AB98" s="197">
        <f>'Energy margins'!$E$12</f>
        <v>72</v>
      </c>
      <c r="AC98" s="197">
        <f t="shared" si="260"/>
        <v>0</v>
      </c>
      <c r="AD98" s="197">
        <f>'Margins summary'!$Q$14</f>
        <v>175.95</v>
      </c>
      <c r="AE98" s="197">
        <f t="shared" si="224"/>
        <v>175.95</v>
      </c>
      <c r="AF98" s="197"/>
      <c r="AG98" s="918">
        <f>'Energy NPV'!$U23</f>
        <v>0</v>
      </c>
      <c r="AH98" s="197"/>
      <c r="AI98" s="197">
        <f t="shared" si="225"/>
        <v>0</v>
      </c>
      <c r="AJ98" s="197">
        <f t="shared" si="208"/>
        <v>0</v>
      </c>
      <c r="AK98" s="197">
        <f t="shared" si="209"/>
        <v>175.95</v>
      </c>
      <c r="AL98" s="196">
        <f t="shared" si="226"/>
        <v>0</v>
      </c>
      <c r="AM98" s="197">
        <f t="shared" si="227"/>
        <v>98.249560998214989</v>
      </c>
      <c r="AN98" s="197">
        <f t="shared" si="228"/>
        <v>0</v>
      </c>
      <c r="AO98" s="197">
        <f t="shared" si="229"/>
        <v>0</v>
      </c>
      <c r="AP98" s="199">
        <f t="shared" si="230"/>
        <v>98.249560998214989</v>
      </c>
      <c r="AQ98" s="196">
        <f t="shared" si="261"/>
        <v>4614.7930999243263</v>
      </c>
      <c r="AR98" s="197">
        <f t="shared" si="231"/>
        <v>1470.9573166964155</v>
      </c>
      <c r="AS98" s="197">
        <f t="shared" si="231"/>
        <v>4423.9394017466038</v>
      </c>
      <c r="AT98" s="197">
        <f t="shared" si="231"/>
        <v>190.85369817772187</v>
      </c>
      <c r="AU98" s="199">
        <f t="shared" si="231"/>
        <v>1661.8110148741373</v>
      </c>
      <c r="AV98" s="197"/>
      <c r="AX98" s="204">
        <f t="shared" si="262"/>
        <v>11</v>
      </c>
      <c r="AY98" s="759">
        <f>'Energy NPV'!$D23</f>
        <v>0</v>
      </c>
      <c r="AZ98" s="197">
        <f>'Energy margins'!$E$12</f>
        <v>72</v>
      </c>
      <c r="BA98" s="197">
        <f t="shared" si="263"/>
        <v>0</v>
      </c>
      <c r="BB98" s="197">
        <f>'Margins summary'!$Q$14</f>
        <v>175.95</v>
      </c>
      <c r="BC98" s="197">
        <f t="shared" si="232"/>
        <v>175.95</v>
      </c>
      <c r="BD98" s="197"/>
      <c r="BE98" s="918">
        <f>'Energy NPV'!$U23</f>
        <v>0</v>
      </c>
      <c r="BF98" s="197"/>
      <c r="BG98" s="197">
        <f t="shared" si="233"/>
        <v>0</v>
      </c>
      <c r="BH98" s="197">
        <f t="shared" si="210"/>
        <v>0</v>
      </c>
      <c r="BI98" s="197">
        <f t="shared" si="211"/>
        <v>175.95</v>
      </c>
      <c r="BJ98" s="196">
        <f t="shared" si="234"/>
        <v>0</v>
      </c>
      <c r="BK98" s="197">
        <f t="shared" si="235"/>
        <v>144.34028336303356</v>
      </c>
      <c r="BL98" s="197">
        <f t="shared" si="236"/>
        <v>0</v>
      </c>
      <c r="BM98" s="197">
        <f t="shared" si="237"/>
        <v>0</v>
      </c>
      <c r="BN98" s="199">
        <f t="shared" si="238"/>
        <v>144.34028336303356</v>
      </c>
      <c r="BO98" s="196">
        <f t="shared" si="264"/>
        <v>5760.8258024287334</v>
      </c>
      <c r="BP98" s="197">
        <f t="shared" si="239"/>
        <v>1756.4358318483214</v>
      </c>
      <c r="BQ98" s="197">
        <f t="shared" si="239"/>
        <v>4847.9545509287354</v>
      </c>
      <c r="BR98" s="197">
        <f t="shared" si="239"/>
        <v>912.87125149999792</v>
      </c>
      <c r="BS98" s="199">
        <f t="shared" si="239"/>
        <v>2669.3070833483184</v>
      </c>
      <c r="BT98" s="197"/>
      <c r="BV98" s="204">
        <f t="shared" si="265"/>
        <v>11</v>
      </c>
      <c r="BW98" s="759">
        <f>'Energy NPV'!$D23</f>
        <v>0</v>
      </c>
      <c r="BX98" s="197">
        <f>'Energy margins'!$E$12</f>
        <v>72</v>
      </c>
      <c r="BY98" s="197">
        <f t="shared" si="266"/>
        <v>0</v>
      </c>
      <c r="BZ98" s="197">
        <f>'Margins summary'!$Q$14</f>
        <v>175.95</v>
      </c>
      <c r="CA98" s="197">
        <f t="shared" si="240"/>
        <v>175.95</v>
      </c>
      <c r="CB98" s="197"/>
      <c r="CC98" s="918">
        <f>'Energy NPV'!$U23</f>
        <v>0</v>
      </c>
      <c r="CD98" s="197"/>
      <c r="CE98" s="197">
        <f t="shared" si="241"/>
        <v>0</v>
      </c>
      <c r="CF98" s="197">
        <f t="shared" si="212"/>
        <v>0</v>
      </c>
      <c r="CG98" s="197">
        <f t="shared" si="213"/>
        <v>175.95</v>
      </c>
      <c r="CH98" s="196">
        <f t="shared" si="242"/>
        <v>0</v>
      </c>
      <c r="CI98" s="197">
        <f t="shared" si="243"/>
        <v>81.498894228500191</v>
      </c>
      <c r="CJ98" s="197">
        <f t="shared" si="244"/>
        <v>0</v>
      </c>
      <c r="CK98" s="197">
        <f t="shared" si="245"/>
        <v>0</v>
      </c>
      <c r="CL98" s="199">
        <f t="shared" si="246"/>
        <v>81.498894228500191</v>
      </c>
      <c r="CM98" s="196">
        <f t="shared" si="267"/>
        <v>4156.3818036750235</v>
      </c>
      <c r="CN98" s="197">
        <f t="shared" si="247"/>
        <v>1356.5888221437467</v>
      </c>
      <c r="CO98" s="197">
        <f t="shared" si="247"/>
        <v>4253.0762957107363</v>
      </c>
      <c r="CP98" s="197">
        <f t="shared" si="247"/>
        <v>-96.694492035712187</v>
      </c>
      <c r="CQ98" s="199">
        <f t="shared" si="247"/>
        <v>1259.8943301080337</v>
      </c>
      <c r="CR98" s="197"/>
      <c r="CT98" s="204">
        <f t="shared" si="268"/>
        <v>11</v>
      </c>
      <c r="CU98" s="759">
        <f>'Energy NPV'!$D23</f>
        <v>0</v>
      </c>
      <c r="CV98" s="197">
        <f>'Energy margins'!$E$12</f>
        <v>72</v>
      </c>
      <c r="CW98" s="197">
        <f t="shared" si="269"/>
        <v>0</v>
      </c>
      <c r="CX98" s="197">
        <f>'Margins summary'!$Q$14</f>
        <v>175.95</v>
      </c>
      <c r="CY98" s="197">
        <f t="shared" si="248"/>
        <v>175.95</v>
      </c>
      <c r="CZ98" s="197"/>
      <c r="DA98" s="918">
        <f>'Energy NPV'!$U23</f>
        <v>0</v>
      </c>
      <c r="DB98" s="197"/>
      <c r="DC98" s="197">
        <f t="shared" si="249"/>
        <v>0</v>
      </c>
      <c r="DD98" s="197">
        <f t="shared" si="214"/>
        <v>0</v>
      </c>
      <c r="DE98" s="197">
        <f t="shared" si="215"/>
        <v>175.95</v>
      </c>
      <c r="DF98" s="196">
        <f t="shared" si="250"/>
        <v>0</v>
      </c>
      <c r="DG98" s="197">
        <f t="shared" si="251"/>
        <v>175.95</v>
      </c>
      <c r="DH98" s="197">
        <f t="shared" si="252"/>
        <v>0</v>
      </c>
      <c r="DI98" s="197">
        <f t="shared" si="253"/>
        <v>0</v>
      </c>
      <c r="DJ98" s="199">
        <f t="shared" si="254"/>
        <v>175.95</v>
      </c>
      <c r="DK98" s="196">
        <f t="shared" si="270"/>
        <v>6480</v>
      </c>
      <c r="DL98" s="197">
        <f t="shared" si="255"/>
        <v>1935.4500000000003</v>
      </c>
      <c r="DM98" s="197">
        <f t="shared" si="255"/>
        <v>5112.2415360000005</v>
      </c>
      <c r="DN98" s="197">
        <f t="shared" si="255"/>
        <v>1367.7584640000002</v>
      </c>
      <c r="DO98" s="199">
        <f t="shared" si="255"/>
        <v>3303.2084639999994</v>
      </c>
    </row>
    <row r="99" spans="2:119" x14ac:dyDescent="0.3">
      <c r="B99" s="204">
        <f t="shared" si="256"/>
        <v>12</v>
      </c>
      <c r="C99" s="759">
        <f>'Energy NPV'!$D24</f>
        <v>0</v>
      </c>
      <c r="D99" s="197">
        <f>'Energy margins'!$E$12</f>
        <v>72</v>
      </c>
      <c r="E99" s="197">
        <f t="shared" si="257"/>
        <v>0</v>
      </c>
      <c r="F99" s="197">
        <f>'Margins summary'!$Q$14</f>
        <v>175.95</v>
      </c>
      <c r="G99" s="197">
        <f t="shared" si="216"/>
        <v>175.95</v>
      </c>
      <c r="H99" s="197"/>
      <c r="I99" s="922">
        <f>'Energy NPV'!$U24</f>
        <v>0</v>
      </c>
      <c r="J99" s="197"/>
      <c r="K99" s="197">
        <f t="shared" si="217"/>
        <v>0</v>
      </c>
      <c r="L99" s="197">
        <f t="shared" si="206"/>
        <v>0</v>
      </c>
      <c r="M99" s="197">
        <f t="shared" si="207"/>
        <v>175.95</v>
      </c>
      <c r="N99" s="196">
        <f t="shared" si="218"/>
        <v>0</v>
      </c>
      <c r="O99" s="197">
        <f t="shared" si="219"/>
        <v>114.29376490855698</v>
      </c>
      <c r="P99" s="197">
        <f t="shared" si="220"/>
        <v>0</v>
      </c>
      <c r="Q99" s="197">
        <f t="shared" si="221"/>
        <v>0</v>
      </c>
      <c r="R99" s="199">
        <f t="shared" si="222"/>
        <v>114.29376490855698</v>
      </c>
      <c r="S99" s="196">
        <f t="shared" si="258"/>
        <v>5144.8988591565649</v>
      </c>
      <c r="T99" s="197">
        <f t="shared" si="223"/>
        <v>1717.3558772860742</v>
      </c>
      <c r="U99" s="197">
        <f t="shared" si="223"/>
        <v>4620.5685276011372</v>
      </c>
      <c r="V99" s="197">
        <f t="shared" si="223"/>
        <v>524.33033155542785</v>
      </c>
      <c r="W99" s="199">
        <f t="shared" si="223"/>
        <v>2241.686208841501</v>
      </c>
      <c r="X99" s="197"/>
      <c r="Z99" s="204">
        <f t="shared" si="259"/>
        <v>12</v>
      </c>
      <c r="AA99" s="759">
        <f>'Energy NPV'!$D24</f>
        <v>0</v>
      </c>
      <c r="AB99" s="197">
        <f>'Energy margins'!$E$12</f>
        <v>72</v>
      </c>
      <c r="AC99" s="197">
        <f t="shared" si="260"/>
        <v>0</v>
      </c>
      <c r="AD99" s="197">
        <f>'Margins summary'!$Q$14</f>
        <v>175.95</v>
      </c>
      <c r="AE99" s="197">
        <f t="shared" si="224"/>
        <v>175.95</v>
      </c>
      <c r="AF99" s="197"/>
      <c r="AG99" s="918">
        <f>'Energy NPV'!$U24</f>
        <v>0</v>
      </c>
      <c r="AH99" s="197"/>
      <c r="AI99" s="197">
        <f t="shared" si="225"/>
        <v>0</v>
      </c>
      <c r="AJ99" s="197">
        <f t="shared" si="208"/>
        <v>0</v>
      </c>
      <c r="AK99" s="197">
        <f t="shared" si="209"/>
        <v>175.95</v>
      </c>
      <c r="AL99" s="196">
        <f t="shared" si="226"/>
        <v>0</v>
      </c>
      <c r="AM99" s="197">
        <f t="shared" si="227"/>
        <v>92.688265092655627</v>
      </c>
      <c r="AN99" s="197">
        <f t="shared" si="228"/>
        <v>0</v>
      </c>
      <c r="AO99" s="197">
        <f t="shared" si="229"/>
        <v>0</v>
      </c>
      <c r="AP99" s="199">
        <f t="shared" si="230"/>
        <v>92.688265092655627</v>
      </c>
      <c r="AQ99" s="196">
        <f t="shared" si="261"/>
        <v>4614.7930999243263</v>
      </c>
      <c r="AR99" s="197">
        <f t="shared" si="231"/>
        <v>1563.6455817890712</v>
      </c>
      <c r="AS99" s="197">
        <f t="shared" si="231"/>
        <v>4423.9394017466038</v>
      </c>
      <c r="AT99" s="197">
        <f t="shared" si="231"/>
        <v>190.85369817772187</v>
      </c>
      <c r="AU99" s="199">
        <f t="shared" si="231"/>
        <v>1754.499279966793</v>
      </c>
      <c r="AV99" s="197"/>
      <c r="AX99" s="204">
        <f t="shared" si="262"/>
        <v>12</v>
      </c>
      <c r="AY99" s="759">
        <f>'Energy NPV'!$D24</f>
        <v>0</v>
      </c>
      <c r="AZ99" s="197">
        <f>'Energy margins'!$E$12</f>
        <v>72</v>
      </c>
      <c r="BA99" s="197">
        <f t="shared" si="263"/>
        <v>0</v>
      </c>
      <c r="BB99" s="197">
        <f>'Margins summary'!$Q$14</f>
        <v>175.95</v>
      </c>
      <c r="BC99" s="197">
        <f t="shared" si="232"/>
        <v>175.95</v>
      </c>
      <c r="BD99" s="197"/>
      <c r="BE99" s="918">
        <f>'Energy NPV'!$U24</f>
        <v>0</v>
      </c>
      <c r="BF99" s="197"/>
      <c r="BG99" s="197">
        <f t="shared" si="233"/>
        <v>0</v>
      </c>
      <c r="BH99" s="197">
        <f t="shared" si="210"/>
        <v>0</v>
      </c>
      <c r="BI99" s="197">
        <f t="shared" si="211"/>
        <v>175.95</v>
      </c>
      <c r="BJ99" s="196">
        <f t="shared" si="234"/>
        <v>0</v>
      </c>
      <c r="BK99" s="197">
        <f t="shared" si="235"/>
        <v>141.51008172846431</v>
      </c>
      <c r="BL99" s="197">
        <f t="shared" si="236"/>
        <v>0</v>
      </c>
      <c r="BM99" s="197">
        <f t="shared" si="237"/>
        <v>0</v>
      </c>
      <c r="BN99" s="199">
        <f t="shared" si="238"/>
        <v>141.51008172846431</v>
      </c>
      <c r="BO99" s="196">
        <f t="shared" si="264"/>
        <v>5760.8258024287334</v>
      </c>
      <c r="BP99" s="197">
        <f t="shared" si="239"/>
        <v>1897.9459135767856</v>
      </c>
      <c r="BQ99" s="197">
        <f t="shared" si="239"/>
        <v>4847.9545509287354</v>
      </c>
      <c r="BR99" s="197">
        <f t="shared" si="239"/>
        <v>912.87125149999792</v>
      </c>
      <c r="BS99" s="199">
        <f t="shared" si="239"/>
        <v>2810.8171650767827</v>
      </c>
      <c r="BT99" s="197"/>
      <c r="BV99" s="204">
        <f t="shared" si="265"/>
        <v>12</v>
      </c>
      <c r="BW99" s="759">
        <f>'Energy NPV'!$D24</f>
        <v>0</v>
      </c>
      <c r="BX99" s="197">
        <f>'Energy margins'!$E$12</f>
        <v>72</v>
      </c>
      <c r="BY99" s="197">
        <f t="shared" si="266"/>
        <v>0</v>
      </c>
      <c r="BZ99" s="197">
        <f>'Margins summary'!$Q$14</f>
        <v>175.95</v>
      </c>
      <c r="CA99" s="197">
        <f t="shared" si="240"/>
        <v>175.95</v>
      </c>
      <c r="CB99" s="197"/>
      <c r="CC99" s="918">
        <f>'Energy NPV'!$U24</f>
        <v>0</v>
      </c>
      <c r="CD99" s="197"/>
      <c r="CE99" s="197">
        <f t="shared" si="241"/>
        <v>0</v>
      </c>
      <c r="CF99" s="197">
        <f t="shared" si="212"/>
        <v>0</v>
      </c>
      <c r="CG99" s="197">
        <f t="shared" si="213"/>
        <v>175.95</v>
      </c>
      <c r="CH99" s="196">
        <f t="shared" si="242"/>
        <v>0</v>
      </c>
      <c r="CI99" s="197">
        <f t="shared" si="243"/>
        <v>75.461939100463141</v>
      </c>
      <c r="CJ99" s="197">
        <f t="shared" si="244"/>
        <v>0</v>
      </c>
      <c r="CK99" s="197">
        <f t="shared" si="245"/>
        <v>0</v>
      </c>
      <c r="CL99" s="199">
        <f t="shared" si="246"/>
        <v>75.461939100463141</v>
      </c>
      <c r="CM99" s="196">
        <f t="shared" si="267"/>
        <v>4156.3818036750235</v>
      </c>
      <c r="CN99" s="197">
        <f t="shared" si="247"/>
        <v>1432.0507612442098</v>
      </c>
      <c r="CO99" s="197">
        <f t="shared" si="247"/>
        <v>4253.0762957107363</v>
      </c>
      <c r="CP99" s="197">
        <f t="shared" si="247"/>
        <v>-96.694492035712187</v>
      </c>
      <c r="CQ99" s="199">
        <f t="shared" si="247"/>
        <v>1335.3562692084968</v>
      </c>
      <c r="CR99" s="197"/>
      <c r="CT99" s="204">
        <f t="shared" si="268"/>
        <v>12</v>
      </c>
      <c r="CU99" s="759">
        <f>'Energy NPV'!$D24</f>
        <v>0</v>
      </c>
      <c r="CV99" s="197">
        <f>'Energy margins'!$E$12</f>
        <v>72</v>
      </c>
      <c r="CW99" s="197">
        <f t="shared" si="269"/>
        <v>0</v>
      </c>
      <c r="CX99" s="197">
        <f>'Margins summary'!$Q$14</f>
        <v>175.95</v>
      </c>
      <c r="CY99" s="197">
        <f t="shared" si="248"/>
        <v>175.95</v>
      </c>
      <c r="CZ99" s="197"/>
      <c r="DA99" s="918">
        <f>'Energy NPV'!$U24</f>
        <v>0</v>
      </c>
      <c r="DB99" s="197"/>
      <c r="DC99" s="197">
        <f t="shared" si="249"/>
        <v>0</v>
      </c>
      <c r="DD99" s="197">
        <f t="shared" si="214"/>
        <v>0</v>
      </c>
      <c r="DE99" s="197">
        <f t="shared" si="215"/>
        <v>175.95</v>
      </c>
      <c r="DF99" s="196">
        <f t="shared" si="250"/>
        <v>0</v>
      </c>
      <c r="DG99" s="197">
        <f t="shared" si="251"/>
        <v>175.95</v>
      </c>
      <c r="DH99" s="197">
        <f t="shared" si="252"/>
        <v>0</v>
      </c>
      <c r="DI99" s="197">
        <f t="shared" si="253"/>
        <v>0</v>
      </c>
      <c r="DJ99" s="199">
        <f t="shared" si="254"/>
        <v>175.95</v>
      </c>
      <c r="DK99" s="196">
        <f t="shared" si="270"/>
        <v>6480</v>
      </c>
      <c r="DL99" s="197">
        <f t="shared" si="255"/>
        <v>2111.4</v>
      </c>
      <c r="DM99" s="197">
        <f t="shared" si="255"/>
        <v>5112.2415360000005</v>
      </c>
      <c r="DN99" s="197">
        <f t="shared" si="255"/>
        <v>1367.7584640000002</v>
      </c>
      <c r="DO99" s="199">
        <f t="shared" si="255"/>
        <v>3479.1584639999992</v>
      </c>
    </row>
    <row r="100" spans="2:119" x14ac:dyDescent="0.3">
      <c r="B100" s="204">
        <f t="shared" si="256"/>
        <v>13</v>
      </c>
      <c r="C100" s="759">
        <f>'Energy NPV'!$D25</f>
        <v>30</v>
      </c>
      <c r="D100" s="197">
        <f>'Energy margins'!$E$12</f>
        <v>72</v>
      </c>
      <c r="E100" s="197">
        <f t="shared" si="257"/>
        <v>2160</v>
      </c>
      <c r="F100" s="197">
        <f>'Margins summary'!$Q$14</f>
        <v>175.95</v>
      </c>
      <c r="G100" s="197">
        <f t="shared" si="216"/>
        <v>2335.9499999999998</v>
      </c>
      <c r="H100" s="197"/>
      <c r="I100" s="922">
        <f>'Energy NPV'!$U25</f>
        <v>659.29678399999989</v>
      </c>
      <c r="J100" s="197"/>
      <c r="K100" s="197">
        <f t="shared" si="217"/>
        <v>659.29678399999989</v>
      </c>
      <c r="L100" s="197">
        <f t="shared" si="206"/>
        <v>1500.7032160000001</v>
      </c>
      <c r="M100" s="197">
        <f t="shared" si="207"/>
        <v>1676.6532159999999</v>
      </c>
      <c r="N100" s="196">
        <f t="shared" si="218"/>
        <v>1349.1296270929406</v>
      </c>
      <c r="O100" s="197">
        <f t="shared" si="219"/>
        <v>109.89785087361246</v>
      </c>
      <c r="P100" s="197">
        <f t="shared" si="220"/>
        <v>411.79482608402543</v>
      </c>
      <c r="Q100" s="197">
        <f t="shared" si="221"/>
        <v>937.33480100891529</v>
      </c>
      <c r="R100" s="199">
        <f t="shared" si="222"/>
        <v>1047.2326518825275</v>
      </c>
      <c r="S100" s="196">
        <f t="shared" si="258"/>
        <v>6494.0284862495055</v>
      </c>
      <c r="T100" s="197">
        <f t="shared" si="223"/>
        <v>1827.2537281596867</v>
      </c>
      <c r="U100" s="197">
        <f t="shared" si="223"/>
        <v>5032.363353685163</v>
      </c>
      <c r="V100" s="197">
        <f t="shared" si="223"/>
        <v>1461.6651325643431</v>
      </c>
      <c r="W100" s="199">
        <f t="shared" si="223"/>
        <v>3288.9188607240285</v>
      </c>
      <c r="X100" s="197"/>
      <c r="Z100" s="204">
        <f t="shared" si="259"/>
        <v>13</v>
      </c>
      <c r="AA100" s="759">
        <f>'Energy NPV'!$D25</f>
        <v>30</v>
      </c>
      <c r="AB100" s="197">
        <f>'Energy margins'!$E$12</f>
        <v>72</v>
      </c>
      <c r="AC100" s="197">
        <f t="shared" si="260"/>
        <v>2160</v>
      </c>
      <c r="AD100" s="197">
        <f>'Margins summary'!$Q$14</f>
        <v>175.95</v>
      </c>
      <c r="AE100" s="197">
        <f t="shared" si="224"/>
        <v>2335.9499999999998</v>
      </c>
      <c r="AF100" s="197"/>
      <c r="AG100" s="918">
        <f>'Energy NPV'!$U25</f>
        <v>659.29678399999989</v>
      </c>
      <c r="AH100" s="197"/>
      <c r="AI100" s="197">
        <f t="shared" si="225"/>
        <v>659.29678399999989</v>
      </c>
      <c r="AJ100" s="197">
        <f t="shared" si="208"/>
        <v>1500.7032160000001</v>
      </c>
      <c r="AK100" s="197">
        <f t="shared" si="209"/>
        <v>1676.6532159999999</v>
      </c>
      <c r="AL100" s="196">
        <f t="shared" si="226"/>
        <v>1073.4538253263211</v>
      </c>
      <c r="AM100" s="197">
        <f t="shared" si="227"/>
        <v>87.441759521373228</v>
      </c>
      <c r="AN100" s="197">
        <f t="shared" si="228"/>
        <v>327.65030315284309</v>
      </c>
      <c r="AO100" s="197">
        <f t="shared" si="229"/>
        <v>745.80352217347797</v>
      </c>
      <c r="AP100" s="199">
        <f t="shared" si="230"/>
        <v>833.24528169485109</v>
      </c>
      <c r="AQ100" s="196">
        <f t="shared" si="261"/>
        <v>5688.2469252506471</v>
      </c>
      <c r="AR100" s="197">
        <f t="shared" si="231"/>
        <v>1651.0873413104446</v>
      </c>
      <c r="AS100" s="197">
        <f t="shared" si="231"/>
        <v>4751.5897048994466</v>
      </c>
      <c r="AT100" s="197">
        <f t="shared" si="231"/>
        <v>936.65722035119984</v>
      </c>
      <c r="AU100" s="199">
        <f t="shared" si="231"/>
        <v>2587.7445616616442</v>
      </c>
      <c r="AV100" s="197"/>
      <c r="AX100" s="204">
        <f t="shared" si="262"/>
        <v>13</v>
      </c>
      <c r="AY100" s="759">
        <f>'Energy NPV'!$D25</f>
        <v>30</v>
      </c>
      <c r="AZ100" s="197">
        <f>'Energy margins'!$E$12</f>
        <v>72</v>
      </c>
      <c r="BA100" s="197">
        <f t="shared" si="263"/>
        <v>2160</v>
      </c>
      <c r="BB100" s="197">
        <f>'Margins summary'!$Q$14</f>
        <v>175.95</v>
      </c>
      <c r="BC100" s="197">
        <f t="shared" si="232"/>
        <v>2335.9499999999998</v>
      </c>
      <c r="BD100" s="197"/>
      <c r="BE100" s="918">
        <f>'Energy NPV'!$U25</f>
        <v>659.29678399999989</v>
      </c>
      <c r="BF100" s="197"/>
      <c r="BG100" s="197">
        <f t="shared" si="233"/>
        <v>659.29678399999989</v>
      </c>
      <c r="BH100" s="197">
        <f t="shared" si="210"/>
        <v>1500.7032160000001</v>
      </c>
      <c r="BI100" s="197">
        <f t="shared" si="211"/>
        <v>1676.6532159999999</v>
      </c>
      <c r="BJ100" s="196">
        <f t="shared" si="234"/>
        <v>1703.1452592563778</v>
      </c>
      <c r="BK100" s="197">
        <f t="shared" si="235"/>
        <v>138.73537424359245</v>
      </c>
      <c r="BL100" s="197">
        <f t="shared" si="236"/>
        <v>519.85101486693327</v>
      </c>
      <c r="BM100" s="197">
        <f t="shared" si="237"/>
        <v>1183.2942443894444</v>
      </c>
      <c r="BN100" s="199">
        <f t="shared" si="238"/>
        <v>1322.0296186330368</v>
      </c>
      <c r="BO100" s="196">
        <f t="shared" si="264"/>
        <v>7463.9710616851116</v>
      </c>
      <c r="BP100" s="197">
        <f t="shared" si="239"/>
        <v>2036.6812878203782</v>
      </c>
      <c r="BQ100" s="197">
        <f t="shared" si="239"/>
        <v>5367.8055657956684</v>
      </c>
      <c r="BR100" s="197">
        <f t="shared" si="239"/>
        <v>2096.1654958894424</v>
      </c>
      <c r="BS100" s="199">
        <f t="shared" si="239"/>
        <v>4132.8467837098196</v>
      </c>
      <c r="BT100" s="197"/>
      <c r="BV100" s="204">
        <f t="shared" si="265"/>
        <v>13</v>
      </c>
      <c r="BW100" s="759">
        <f>'Energy NPV'!$D25</f>
        <v>30</v>
      </c>
      <c r="BX100" s="197">
        <f>'Energy margins'!$E$12</f>
        <v>72</v>
      </c>
      <c r="BY100" s="197">
        <f t="shared" si="266"/>
        <v>2160</v>
      </c>
      <c r="BZ100" s="197">
        <f>'Margins summary'!$Q$14</f>
        <v>175.95</v>
      </c>
      <c r="CA100" s="197">
        <f t="shared" si="240"/>
        <v>2335.9499999999998</v>
      </c>
      <c r="CB100" s="197"/>
      <c r="CC100" s="918">
        <f>'Energy NPV'!$U25</f>
        <v>659.29678399999989</v>
      </c>
      <c r="CD100" s="197"/>
      <c r="CE100" s="197">
        <f t="shared" si="241"/>
        <v>659.29678399999989</v>
      </c>
      <c r="CF100" s="197">
        <f t="shared" si="212"/>
        <v>1500.7032160000001</v>
      </c>
      <c r="CG100" s="197">
        <f t="shared" si="213"/>
        <v>1676.6532159999999</v>
      </c>
      <c r="CH100" s="196">
        <f t="shared" si="242"/>
        <v>857.76571867534119</v>
      </c>
      <c r="CI100" s="197">
        <f t="shared" si="243"/>
        <v>69.872165833762153</v>
      </c>
      <c r="CJ100" s="197">
        <f t="shared" si="244"/>
        <v>261.8158239574542</v>
      </c>
      <c r="CK100" s="197">
        <f t="shared" si="245"/>
        <v>595.94989471788699</v>
      </c>
      <c r="CL100" s="199">
        <f t="shared" si="246"/>
        <v>665.82206055164909</v>
      </c>
      <c r="CM100" s="196">
        <f t="shared" si="267"/>
        <v>5014.1475223503649</v>
      </c>
      <c r="CN100" s="197">
        <f t="shared" si="247"/>
        <v>1501.922927077972</v>
      </c>
      <c r="CO100" s="197">
        <f t="shared" si="247"/>
        <v>4514.8921196681904</v>
      </c>
      <c r="CP100" s="197">
        <f t="shared" si="247"/>
        <v>499.2554026821748</v>
      </c>
      <c r="CQ100" s="199">
        <f t="shared" si="247"/>
        <v>2001.178329760146</v>
      </c>
      <c r="CR100" s="197"/>
      <c r="CT100" s="204">
        <f t="shared" si="268"/>
        <v>13</v>
      </c>
      <c r="CU100" s="759">
        <f>'Energy NPV'!$D25</f>
        <v>30</v>
      </c>
      <c r="CV100" s="197">
        <f>'Energy margins'!$E$12</f>
        <v>72</v>
      </c>
      <c r="CW100" s="197">
        <f t="shared" si="269"/>
        <v>2160</v>
      </c>
      <c r="CX100" s="197">
        <f>'Margins summary'!$Q$14</f>
        <v>175.95</v>
      </c>
      <c r="CY100" s="197">
        <f t="shared" si="248"/>
        <v>2335.9499999999998</v>
      </c>
      <c r="CZ100" s="197"/>
      <c r="DA100" s="918">
        <f>'Energy NPV'!$U25</f>
        <v>659.29678399999989</v>
      </c>
      <c r="DB100" s="197"/>
      <c r="DC100" s="197">
        <f t="shared" si="249"/>
        <v>659.29678399999989</v>
      </c>
      <c r="DD100" s="197">
        <f t="shared" si="214"/>
        <v>1500.7032160000001</v>
      </c>
      <c r="DE100" s="197">
        <f t="shared" si="215"/>
        <v>1676.6532159999999</v>
      </c>
      <c r="DF100" s="196">
        <f t="shared" si="250"/>
        <v>2160</v>
      </c>
      <c r="DG100" s="197">
        <f t="shared" si="251"/>
        <v>175.95</v>
      </c>
      <c r="DH100" s="197">
        <f t="shared" si="252"/>
        <v>659.29678399999989</v>
      </c>
      <c r="DI100" s="197">
        <f t="shared" si="253"/>
        <v>1500.7032160000001</v>
      </c>
      <c r="DJ100" s="199">
        <f t="shared" si="254"/>
        <v>1676.6532159999999</v>
      </c>
      <c r="DK100" s="196">
        <f t="shared" si="270"/>
        <v>8640</v>
      </c>
      <c r="DL100" s="197">
        <f t="shared" si="255"/>
        <v>2287.35</v>
      </c>
      <c r="DM100" s="197">
        <f t="shared" si="255"/>
        <v>5771.5383200000006</v>
      </c>
      <c r="DN100" s="197">
        <f t="shared" si="255"/>
        <v>2868.4616800000003</v>
      </c>
      <c r="DO100" s="199">
        <f t="shared" si="255"/>
        <v>5155.8116799999989</v>
      </c>
    </row>
    <row r="101" spans="2:119" x14ac:dyDescent="0.3">
      <c r="B101" s="204">
        <f t="shared" si="256"/>
        <v>14</v>
      </c>
      <c r="C101" s="759">
        <f>'Energy NPV'!$D26</f>
        <v>0</v>
      </c>
      <c r="D101" s="197">
        <f>'Energy margins'!$E$12</f>
        <v>72</v>
      </c>
      <c r="E101" s="197">
        <f t="shared" si="257"/>
        <v>0</v>
      </c>
      <c r="F101" s="197">
        <f>'Margins summary'!$Q$14</f>
        <v>175.95</v>
      </c>
      <c r="G101" s="197">
        <f t="shared" si="216"/>
        <v>175.95</v>
      </c>
      <c r="H101" s="197"/>
      <c r="I101" s="922">
        <f>'Energy NPV'!$U26</f>
        <v>0</v>
      </c>
      <c r="J101" s="197"/>
      <c r="K101" s="197">
        <f t="shared" si="217"/>
        <v>0</v>
      </c>
      <c r="L101" s="197">
        <f t="shared" si="206"/>
        <v>0</v>
      </c>
      <c r="M101" s="197">
        <f t="shared" si="207"/>
        <v>175.95</v>
      </c>
      <c r="N101" s="196">
        <f t="shared" si="218"/>
        <v>0</v>
      </c>
      <c r="O101" s="197">
        <f t="shared" si="219"/>
        <v>105.67101045539658</v>
      </c>
      <c r="P101" s="197">
        <f t="shared" si="220"/>
        <v>0</v>
      </c>
      <c r="Q101" s="197">
        <f t="shared" si="221"/>
        <v>0</v>
      </c>
      <c r="R101" s="199">
        <f t="shared" si="222"/>
        <v>105.67101045539658</v>
      </c>
      <c r="S101" s="196">
        <f t="shared" si="258"/>
        <v>6494.0284862495055</v>
      </c>
      <c r="T101" s="197">
        <f t="shared" si="223"/>
        <v>1932.9247386150832</v>
      </c>
      <c r="U101" s="197">
        <f t="shared" si="223"/>
        <v>5032.363353685163</v>
      </c>
      <c r="V101" s="197">
        <f t="shared" si="223"/>
        <v>1461.6651325643431</v>
      </c>
      <c r="W101" s="199">
        <f t="shared" si="223"/>
        <v>3394.5898711794252</v>
      </c>
      <c r="X101" s="197"/>
      <c r="Z101" s="204">
        <f t="shared" si="259"/>
        <v>14</v>
      </c>
      <c r="AA101" s="759">
        <f>'Energy NPV'!$D26</f>
        <v>0</v>
      </c>
      <c r="AB101" s="197">
        <f>'Energy margins'!$E$12</f>
        <v>72</v>
      </c>
      <c r="AC101" s="197">
        <f t="shared" si="260"/>
        <v>0</v>
      </c>
      <c r="AD101" s="197">
        <f>'Margins summary'!$Q$14</f>
        <v>175.95</v>
      </c>
      <c r="AE101" s="197">
        <f t="shared" si="224"/>
        <v>175.95</v>
      </c>
      <c r="AF101" s="197"/>
      <c r="AG101" s="918">
        <f>'Energy NPV'!$U26</f>
        <v>0</v>
      </c>
      <c r="AH101" s="197"/>
      <c r="AI101" s="197">
        <f t="shared" si="225"/>
        <v>0</v>
      </c>
      <c r="AJ101" s="197">
        <f t="shared" si="208"/>
        <v>0</v>
      </c>
      <c r="AK101" s="197">
        <f t="shared" si="209"/>
        <v>175.95</v>
      </c>
      <c r="AL101" s="196">
        <f t="shared" si="226"/>
        <v>0</v>
      </c>
      <c r="AM101" s="197">
        <f t="shared" si="227"/>
        <v>82.492225963559648</v>
      </c>
      <c r="AN101" s="197">
        <f t="shared" si="228"/>
        <v>0</v>
      </c>
      <c r="AO101" s="197">
        <f t="shared" si="229"/>
        <v>0</v>
      </c>
      <c r="AP101" s="199">
        <f t="shared" si="230"/>
        <v>82.492225963559648</v>
      </c>
      <c r="AQ101" s="196">
        <f t="shared" si="261"/>
        <v>5688.2469252506471</v>
      </c>
      <c r="AR101" s="197">
        <f t="shared" si="231"/>
        <v>1733.5795672740041</v>
      </c>
      <c r="AS101" s="197">
        <f t="shared" si="231"/>
        <v>4751.5897048994466</v>
      </c>
      <c r="AT101" s="197">
        <f t="shared" si="231"/>
        <v>936.65722035119984</v>
      </c>
      <c r="AU101" s="199">
        <f t="shared" si="231"/>
        <v>2670.2367876252038</v>
      </c>
      <c r="AV101" s="197"/>
      <c r="AX101" s="204">
        <f t="shared" si="262"/>
        <v>14</v>
      </c>
      <c r="AY101" s="759">
        <f>'Energy NPV'!$D26</f>
        <v>0</v>
      </c>
      <c r="AZ101" s="197">
        <f>'Energy margins'!$E$12</f>
        <v>72</v>
      </c>
      <c r="BA101" s="197">
        <f t="shared" si="263"/>
        <v>0</v>
      </c>
      <c r="BB101" s="197">
        <f>'Margins summary'!$Q$14</f>
        <v>175.95</v>
      </c>
      <c r="BC101" s="197">
        <f t="shared" si="232"/>
        <v>175.95</v>
      </c>
      <c r="BD101" s="197"/>
      <c r="BE101" s="918">
        <f>'Energy NPV'!$U26</f>
        <v>0</v>
      </c>
      <c r="BF101" s="197"/>
      <c r="BG101" s="197">
        <f t="shared" si="233"/>
        <v>0</v>
      </c>
      <c r="BH101" s="197">
        <f t="shared" si="210"/>
        <v>0</v>
      </c>
      <c r="BI101" s="197">
        <f t="shared" si="211"/>
        <v>175.95</v>
      </c>
      <c r="BJ101" s="196">
        <f t="shared" si="234"/>
        <v>0</v>
      </c>
      <c r="BK101" s="197">
        <f t="shared" si="235"/>
        <v>136.01507278783572</v>
      </c>
      <c r="BL101" s="197">
        <f t="shared" si="236"/>
        <v>0</v>
      </c>
      <c r="BM101" s="197">
        <f t="shared" si="237"/>
        <v>0</v>
      </c>
      <c r="BN101" s="199">
        <f t="shared" si="238"/>
        <v>136.01507278783572</v>
      </c>
      <c r="BO101" s="196">
        <f t="shared" si="264"/>
        <v>7463.9710616851116</v>
      </c>
      <c r="BP101" s="197">
        <f t="shared" si="239"/>
        <v>2172.696360608214</v>
      </c>
      <c r="BQ101" s="197">
        <f t="shared" si="239"/>
        <v>5367.8055657956684</v>
      </c>
      <c r="BR101" s="197">
        <f t="shared" si="239"/>
        <v>2096.1654958894424</v>
      </c>
      <c r="BS101" s="199">
        <f t="shared" si="239"/>
        <v>4268.861856497655</v>
      </c>
      <c r="BT101" s="197"/>
      <c r="BV101" s="204">
        <f t="shared" si="265"/>
        <v>14</v>
      </c>
      <c r="BW101" s="759">
        <f>'Energy NPV'!$D26</f>
        <v>0</v>
      </c>
      <c r="BX101" s="197">
        <f>'Energy margins'!$E$12</f>
        <v>72</v>
      </c>
      <c r="BY101" s="197">
        <f t="shared" si="266"/>
        <v>0</v>
      </c>
      <c r="BZ101" s="197">
        <f>'Margins summary'!$Q$14</f>
        <v>175.95</v>
      </c>
      <c r="CA101" s="197">
        <f t="shared" si="240"/>
        <v>175.95</v>
      </c>
      <c r="CB101" s="197"/>
      <c r="CC101" s="918">
        <f>'Energy NPV'!$U26</f>
        <v>0</v>
      </c>
      <c r="CD101" s="197"/>
      <c r="CE101" s="197">
        <f t="shared" si="241"/>
        <v>0</v>
      </c>
      <c r="CF101" s="197">
        <f t="shared" si="212"/>
        <v>0</v>
      </c>
      <c r="CG101" s="197">
        <f t="shared" si="213"/>
        <v>175.95</v>
      </c>
      <c r="CH101" s="196">
        <f t="shared" si="242"/>
        <v>0</v>
      </c>
      <c r="CI101" s="197">
        <f t="shared" si="243"/>
        <v>64.696449846076078</v>
      </c>
      <c r="CJ101" s="197">
        <f t="shared" si="244"/>
        <v>0</v>
      </c>
      <c r="CK101" s="197">
        <f t="shared" si="245"/>
        <v>0</v>
      </c>
      <c r="CL101" s="199">
        <f t="shared" si="246"/>
        <v>64.696449846076078</v>
      </c>
      <c r="CM101" s="196">
        <f t="shared" si="267"/>
        <v>5014.1475223503649</v>
      </c>
      <c r="CN101" s="197">
        <f t="shared" si="247"/>
        <v>1566.6193769240481</v>
      </c>
      <c r="CO101" s="197">
        <f t="shared" si="247"/>
        <v>4514.8921196681904</v>
      </c>
      <c r="CP101" s="197">
        <f t="shared" si="247"/>
        <v>499.2554026821748</v>
      </c>
      <c r="CQ101" s="199">
        <f t="shared" si="247"/>
        <v>2065.8747796062221</v>
      </c>
      <c r="CR101" s="197"/>
      <c r="CT101" s="204">
        <f t="shared" si="268"/>
        <v>14</v>
      </c>
      <c r="CU101" s="759">
        <f>'Energy NPV'!$D26</f>
        <v>0</v>
      </c>
      <c r="CV101" s="197">
        <f>'Energy margins'!$E$12</f>
        <v>72</v>
      </c>
      <c r="CW101" s="197">
        <f t="shared" si="269"/>
        <v>0</v>
      </c>
      <c r="CX101" s="197">
        <f>'Margins summary'!$Q$14</f>
        <v>175.95</v>
      </c>
      <c r="CY101" s="197">
        <f t="shared" si="248"/>
        <v>175.95</v>
      </c>
      <c r="CZ101" s="197"/>
      <c r="DA101" s="918">
        <f>'Energy NPV'!$U26</f>
        <v>0</v>
      </c>
      <c r="DB101" s="197"/>
      <c r="DC101" s="197">
        <f t="shared" si="249"/>
        <v>0</v>
      </c>
      <c r="DD101" s="197">
        <f t="shared" si="214"/>
        <v>0</v>
      </c>
      <c r="DE101" s="197">
        <f t="shared" si="215"/>
        <v>175.95</v>
      </c>
      <c r="DF101" s="196">
        <f t="shared" si="250"/>
        <v>0</v>
      </c>
      <c r="DG101" s="197">
        <f t="shared" si="251"/>
        <v>175.95</v>
      </c>
      <c r="DH101" s="197">
        <f t="shared" si="252"/>
        <v>0</v>
      </c>
      <c r="DI101" s="197">
        <f t="shared" si="253"/>
        <v>0</v>
      </c>
      <c r="DJ101" s="199">
        <f t="shared" si="254"/>
        <v>175.95</v>
      </c>
      <c r="DK101" s="196">
        <f t="shared" si="270"/>
        <v>8640</v>
      </c>
      <c r="DL101" s="197">
        <f t="shared" si="255"/>
        <v>2463.2999999999997</v>
      </c>
      <c r="DM101" s="197">
        <f t="shared" si="255"/>
        <v>5771.5383200000006</v>
      </c>
      <c r="DN101" s="197">
        <f t="shared" si="255"/>
        <v>2868.4616800000003</v>
      </c>
      <c r="DO101" s="199">
        <f t="shared" si="255"/>
        <v>5331.7616799999987</v>
      </c>
    </row>
    <row r="102" spans="2:119" x14ac:dyDescent="0.3">
      <c r="B102" s="204">
        <f t="shared" si="256"/>
        <v>15</v>
      </c>
      <c r="C102" s="759">
        <f>'Energy NPV'!$D27</f>
        <v>0</v>
      </c>
      <c r="D102" s="197">
        <f>'Energy margins'!$E$12</f>
        <v>72</v>
      </c>
      <c r="E102" s="197">
        <f t="shared" si="257"/>
        <v>0</v>
      </c>
      <c r="F102" s="197">
        <f>'Margins summary'!$Q$14</f>
        <v>175.95</v>
      </c>
      <c r="G102" s="197">
        <f t="shared" si="216"/>
        <v>175.95</v>
      </c>
      <c r="H102" s="197"/>
      <c r="I102" s="922">
        <f>'Energy NPV'!$U27</f>
        <v>0</v>
      </c>
      <c r="J102" s="197"/>
      <c r="K102" s="197">
        <f t="shared" si="217"/>
        <v>0</v>
      </c>
      <c r="L102" s="197">
        <f t="shared" si="206"/>
        <v>0</v>
      </c>
      <c r="M102" s="197">
        <f t="shared" si="207"/>
        <v>175.95</v>
      </c>
      <c r="N102" s="196">
        <f t="shared" si="218"/>
        <v>0</v>
      </c>
      <c r="O102" s="197">
        <f t="shared" si="219"/>
        <v>101.60674082249672</v>
      </c>
      <c r="P102" s="197">
        <f t="shared" si="220"/>
        <v>0</v>
      </c>
      <c r="Q102" s="197">
        <f t="shared" si="221"/>
        <v>0</v>
      </c>
      <c r="R102" s="199">
        <f t="shared" si="222"/>
        <v>101.60674082249672</v>
      </c>
      <c r="S102" s="196">
        <f t="shared" si="258"/>
        <v>6494.0284862495055</v>
      </c>
      <c r="T102" s="197">
        <f t="shared" si="223"/>
        <v>2034.5314794375799</v>
      </c>
      <c r="U102" s="197">
        <f t="shared" si="223"/>
        <v>5032.363353685163</v>
      </c>
      <c r="V102" s="197">
        <f t="shared" si="223"/>
        <v>1461.6651325643431</v>
      </c>
      <c r="W102" s="199">
        <f t="shared" si="223"/>
        <v>3496.1966120019219</v>
      </c>
      <c r="X102" s="197"/>
      <c r="Z102" s="204">
        <f t="shared" si="259"/>
        <v>15</v>
      </c>
      <c r="AA102" s="759">
        <f>'Energy NPV'!$D27</f>
        <v>0</v>
      </c>
      <c r="AB102" s="197">
        <f>'Energy margins'!$E$12</f>
        <v>72</v>
      </c>
      <c r="AC102" s="197">
        <f t="shared" si="260"/>
        <v>0</v>
      </c>
      <c r="AD102" s="197">
        <f>'Margins summary'!$Q$14</f>
        <v>175.95</v>
      </c>
      <c r="AE102" s="197">
        <f t="shared" si="224"/>
        <v>175.95</v>
      </c>
      <c r="AF102" s="197"/>
      <c r="AG102" s="918">
        <f>'Energy NPV'!$U27</f>
        <v>0</v>
      </c>
      <c r="AH102" s="197"/>
      <c r="AI102" s="197">
        <f t="shared" si="225"/>
        <v>0</v>
      </c>
      <c r="AJ102" s="197">
        <f t="shared" si="208"/>
        <v>0</v>
      </c>
      <c r="AK102" s="197">
        <f t="shared" si="209"/>
        <v>175.95</v>
      </c>
      <c r="AL102" s="196">
        <f t="shared" si="226"/>
        <v>0</v>
      </c>
      <c r="AM102" s="197">
        <f t="shared" si="227"/>
        <v>77.822854682603449</v>
      </c>
      <c r="AN102" s="197">
        <f t="shared" si="228"/>
        <v>0</v>
      </c>
      <c r="AO102" s="197">
        <f t="shared" si="229"/>
        <v>0</v>
      </c>
      <c r="AP102" s="199">
        <f t="shared" si="230"/>
        <v>77.822854682603449</v>
      </c>
      <c r="AQ102" s="196">
        <f t="shared" si="261"/>
        <v>5688.2469252506471</v>
      </c>
      <c r="AR102" s="197">
        <f t="shared" si="231"/>
        <v>1811.4024219566077</v>
      </c>
      <c r="AS102" s="197">
        <f t="shared" si="231"/>
        <v>4751.5897048994466</v>
      </c>
      <c r="AT102" s="197">
        <f t="shared" si="231"/>
        <v>936.65722035119984</v>
      </c>
      <c r="AU102" s="199">
        <f t="shared" si="231"/>
        <v>2748.0596423078073</v>
      </c>
      <c r="AV102" s="197"/>
      <c r="AX102" s="204">
        <f t="shared" si="262"/>
        <v>15</v>
      </c>
      <c r="AY102" s="759">
        <f>'Energy NPV'!$D27</f>
        <v>0</v>
      </c>
      <c r="AZ102" s="197">
        <f>'Energy margins'!$E$12</f>
        <v>72</v>
      </c>
      <c r="BA102" s="197">
        <f t="shared" si="263"/>
        <v>0</v>
      </c>
      <c r="BB102" s="197">
        <f>'Margins summary'!$Q$14</f>
        <v>175.95</v>
      </c>
      <c r="BC102" s="197">
        <f t="shared" si="232"/>
        <v>175.95</v>
      </c>
      <c r="BD102" s="197"/>
      <c r="BE102" s="918">
        <f>'Energy NPV'!$U27</f>
        <v>0</v>
      </c>
      <c r="BF102" s="197"/>
      <c r="BG102" s="197">
        <f t="shared" si="233"/>
        <v>0</v>
      </c>
      <c r="BH102" s="197">
        <f t="shared" si="210"/>
        <v>0</v>
      </c>
      <c r="BI102" s="197">
        <f t="shared" si="211"/>
        <v>175.95</v>
      </c>
      <c r="BJ102" s="196">
        <f t="shared" si="234"/>
        <v>0</v>
      </c>
      <c r="BK102" s="197">
        <f t="shared" si="235"/>
        <v>133.34811057630952</v>
      </c>
      <c r="BL102" s="197">
        <f t="shared" si="236"/>
        <v>0</v>
      </c>
      <c r="BM102" s="197">
        <f t="shared" si="237"/>
        <v>0</v>
      </c>
      <c r="BN102" s="199">
        <f t="shared" si="238"/>
        <v>133.34811057630952</v>
      </c>
      <c r="BO102" s="196">
        <f t="shared" si="264"/>
        <v>7463.9710616851116</v>
      </c>
      <c r="BP102" s="197">
        <f t="shared" si="239"/>
        <v>2306.0444711845234</v>
      </c>
      <c r="BQ102" s="197">
        <f t="shared" si="239"/>
        <v>5367.8055657956684</v>
      </c>
      <c r="BR102" s="197">
        <f t="shared" si="239"/>
        <v>2096.1654958894424</v>
      </c>
      <c r="BS102" s="199">
        <f t="shared" si="239"/>
        <v>4402.2099670739644</v>
      </c>
      <c r="BT102" s="197"/>
      <c r="BV102" s="204">
        <f t="shared" si="265"/>
        <v>15</v>
      </c>
      <c r="BW102" s="759">
        <f>'Energy NPV'!$D27</f>
        <v>0</v>
      </c>
      <c r="BX102" s="197">
        <f>'Energy margins'!$E$12</f>
        <v>72</v>
      </c>
      <c r="BY102" s="197">
        <f t="shared" si="266"/>
        <v>0</v>
      </c>
      <c r="BZ102" s="197">
        <f>'Margins summary'!$Q$14</f>
        <v>175.95</v>
      </c>
      <c r="CA102" s="197">
        <f t="shared" si="240"/>
        <v>175.95</v>
      </c>
      <c r="CB102" s="197"/>
      <c r="CC102" s="918">
        <f>'Energy NPV'!$U27</f>
        <v>0</v>
      </c>
      <c r="CD102" s="197"/>
      <c r="CE102" s="197">
        <f t="shared" si="241"/>
        <v>0</v>
      </c>
      <c r="CF102" s="197">
        <f t="shared" si="212"/>
        <v>0</v>
      </c>
      <c r="CG102" s="197">
        <f t="shared" si="213"/>
        <v>175.95</v>
      </c>
      <c r="CH102" s="196">
        <f t="shared" si="242"/>
        <v>0</v>
      </c>
      <c r="CI102" s="197">
        <f t="shared" si="243"/>
        <v>59.904120227848203</v>
      </c>
      <c r="CJ102" s="197">
        <f t="shared" si="244"/>
        <v>0</v>
      </c>
      <c r="CK102" s="197">
        <f t="shared" si="245"/>
        <v>0</v>
      </c>
      <c r="CL102" s="199">
        <f t="shared" si="246"/>
        <v>59.904120227848203</v>
      </c>
      <c r="CM102" s="196">
        <f t="shared" si="267"/>
        <v>5014.1475223503649</v>
      </c>
      <c r="CN102" s="197">
        <f t="shared" si="247"/>
        <v>1626.5234971518962</v>
      </c>
      <c r="CO102" s="197">
        <f t="shared" si="247"/>
        <v>4514.8921196681904</v>
      </c>
      <c r="CP102" s="197">
        <f t="shared" si="247"/>
        <v>499.2554026821748</v>
      </c>
      <c r="CQ102" s="199">
        <f t="shared" si="247"/>
        <v>2125.7788998340702</v>
      </c>
      <c r="CR102" s="197"/>
      <c r="CT102" s="204">
        <f t="shared" si="268"/>
        <v>15</v>
      </c>
      <c r="CU102" s="759">
        <f>'Energy NPV'!$D27</f>
        <v>0</v>
      </c>
      <c r="CV102" s="197">
        <f>'Energy margins'!$E$12</f>
        <v>72</v>
      </c>
      <c r="CW102" s="197">
        <f t="shared" si="269"/>
        <v>0</v>
      </c>
      <c r="CX102" s="197">
        <f>'Margins summary'!$Q$14</f>
        <v>175.95</v>
      </c>
      <c r="CY102" s="197">
        <f t="shared" si="248"/>
        <v>175.95</v>
      </c>
      <c r="CZ102" s="197"/>
      <c r="DA102" s="918">
        <f>'Energy NPV'!$U27</f>
        <v>0</v>
      </c>
      <c r="DB102" s="197"/>
      <c r="DC102" s="197">
        <f t="shared" si="249"/>
        <v>0</v>
      </c>
      <c r="DD102" s="197">
        <f t="shared" si="214"/>
        <v>0</v>
      </c>
      <c r="DE102" s="197">
        <f t="shared" si="215"/>
        <v>175.95</v>
      </c>
      <c r="DF102" s="196">
        <f t="shared" si="250"/>
        <v>0</v>
      </c>
      <c r="DG102" s="197">
        <f t="shared" si="251"/>
        <v>175.95</v>
      </c>
      <c r="DH102" s="197">
        <f t="shared" si="252"/>
        <v>0</v>
      </c>
      <c r="DI102" s="197">
        <f t="shared" si="253"/>
        <v>0</v>
      </c>
      <c r="DJ102" s="199">
        <f t="shared" si="254"/>
        <v>175.95</v>
      </c>
      <c r="DK102" s="196">
        <f t="shared" si="270"/>
        <v>8640</v>
      </c>
      <c r="DL102" s="197">
        <f t="shared" si="255"/>
        <v>2639.2499999999995</v>
      </c>
      <c r="DM102" s="197">
        <f t="shared" si="255"/>
        <v>5771.5383200000006</v>
      </c>
      <c r="DN102" s="197">
        <f t="shared" si="255"/>
        <v>2868.4616800000003</v>
      </c>
      <c r="DO102" s="199">
        <f t="shared" si="255"/>
        <v>5507.7116799999985</v>
      </c>
    </row>
    <row r="103" spans="2:119" x14ac:dyDescent="0.3">
      <c r="B103" s="206">
        <f t="shared" si="256"/>
        <v>16</v>
      </c>
      <c r="C103" s="215">
        <f>'Energy NPV'!$D28</f>
        <v>30</v>
      </c>
      <c r="D103" s="207">
        <f>'Energy margins'!$E$12</f>
        <v>72</v>
      </c>
      <c r="E103" s="207">
        <f t="shared" si="257"/>
        <v>2160</v>
      </c>
      <c r="F103" s="207">
        <f>'Margins summary'!$Q$14</f>
        <v>175.95</v>
      </c>
      <c r="G103" s="207">
        <f t="shared" si="216"/>
        <v>2335.9499999999998</v>
      </c>
      <c r="H103" s="207"/>
      <c r="I103" s="919">
        <f>'Energy NPV'!$U28</f>
        <v>659.29678399999989</v>
      </c>
      <c r="J103" s="207">
        <f>'Energy margins'!$J$67</f>
        <v>192.1</v>
      </c>
      <c r="K103" s="207">
        <f t="shared" si="217"/>
        <v>851.39678399999991</v>
      </c>
      <c r="L103" s="207">
        <f t="shared" si="206"/>
        <v>1308.603216</v>
      </c>
      <c r="M103" s="207">
        <f t="shared" si="207"/>
        <v>1484.5532159999998</v>
      </c>
      <c r="N103" s="208">
        <f t="shared" si="218"/>
        <v>1199.3713258606736</v>
      </c>
      <c r="O103" s="207">
        <f t="shared" si="219"/>
        <v>97.698789252400701</v>
      </c>
      <c r="P103" s="207">
        <f t="shared" si="220"/>
        <v>472.7504118794414</v>
      </c>
      <c r="Q103" s="207">
        <f t="shared" si="221"/>
        <v>726.62091398123209</v>
      </c>
      <c r="R103" s="209">
        <f>M103/((1+$B$4)^(B103-1))</f>
        <v>824.31970323363271</v>
      </c>
      <c r="S103" s="208">
        <f t="shared" si="258"/>
        <v>7693.3998121101795</v>
      </c>
      <c r="T103" s="207">
        <f t="shared" si="223"/>
        <v>2132.2302686899807</v>
      </c>
      <c r="U103" s="207">
        <f t="shared" si="223"/>
        <v>5505.1137655646044</v>
      </c>
      <c r="V103" s="207">
        <f t="shared" si="223"/>
        <v>2188.2860465455751</v>
      </c>
      <c r="W103" s="209">
        <f t="shared" si="223"/>
        <v>4320.5163152355544</v>
      </c>
      <c r="X103" s="197"/>
      <c r="Z103" s="206">
        <f t="shared" si="259"/>
        <v>16</v>
      </c>
      <c r="AA103" s="215">
        <f>'Energy NPV'!$D28</f>
        <v>30</v>
      </c>
      <c r="AB103" s="207">
        <f>'Energy margins'!$E$12</f>
        <v>72</v>
      </c>
      <c r="AC103" s="207">
        <f t="shared" si="260"/>
        <v>2160</v>
      </c>
      <c r="AD103" s="207">
        <f>'Margins summary'!$Q$14</f>
        <v>175.95</v>
      </c>
      <c r="AE103" s="207">
        <f t="shared" si="224"/>
        <v>2335.9499999999998</v>
      </c>
      <c r="AF103" s="207"/>
      <c r="AG103" s="919">
        <f>'Energy NPV'!$U28</f>
        <v>659.29678399999989</v>
      </c>
      <c r="AH103" s="207">
        <f>'Energy margins'!$J$67</f>
        <v>192.1</v>
      </c>
      <c r="AI103" s="207">
        <f t="shared" si="225"/>
        <v>851.39678399999991</v>
      </c>
      <c r="AJ103" s="207">
        <f t="shared" si="208"/>
        <v>1308.603216</v>
      </c>
      <c r="AK103" s="207">
        <f t="shared" si="209"/>
        <v>1484.5532159999998</v>
      </c>
      <c r="AL103" s="208">
        <f t="shared" si="226"/>
        <v>901.29253118876716</v>
      </c>
      <c r="AM103" s="207">
        <f t="shared" si="227"/>
        <v>73.417787436418322</v>
      </c>
      <c r="AN103" s="207">
        <f t="shared" si="228"/>
        <v>355.2581307858037</v>
      </c>
      <c r="AO103" s="207">
        <f t="shared" si="229"/>
        <v>546.03440040296346</v>
      </c>
      <c r="AP103" s="209">
        <f>AK103/((1+$C$4)^(Z103-1))</f>
        <v>619.45218783938162</v>
      </c>
      <c r="AQ103" s="208">
        <f>AQ102+AL103</f>
        <v>6589.5394564394146</v>
      </c>
      <c r="AR103" s="207">
        <f t="shared" si="231"/>
        <v>1884.8202093930261</v>
      </c>
      <c r="AS103" s="207">
        <f t="shared" si="231"/>
        <v>5106.8478356852502</v>
      </c>
      <c r="AT103" s="207">
        <f t="shared" si="231"/>
        <v>1482.6916207541633</v>
      </c>
      <c r="AU103" s="209">
        <f t="shared" si="231"/>
        <v>3367.5118301471889</v>
      </c>
      <c r="AV103" s="197"/>
      <c r="AX103" s="206">
        <f t="shared" si="262"/>
        <v>16</v>
      </c>
      <c r="AY103" s="215">
        <f>'Energy NPV'!$D28</f>
        <v>30</v>
      </c>
      <c r="AZ103" s="207">
        <f>'Energy margins'!$E$12</f>
        <v>72</v>
      </c>
      <c r="BA103" s="207">
        <f t="shared" si="263"/>
        <v>2160</v>
      </c>
      <c r="BB103" s="207">
        <f>'Margins summary'!$Q$14</f>
        <v>175.95</v>
      </c>
      <c r="BC103" s="207">
        <f t="shared" si="232"/>
        <v>2335.9499999999998</v>
      </c>
      <c r="BD103" s="207"/>
      <c r="BE103" s="919">
        <f>'Energy NPV'!$U28</f>
        <v>659.29678399999989</v>
      </c>
      <c r="BF103" s="207">
        <f>'Energy margins'!$J$67</f>
        <v>192.1</v>
      </c>
      <c r="BG103" s="207">
        <f t="shared" si="233"/>
        <v>851.39678399999991</v>
      </c>
      <c r="BH103" s="207">
        <f t="shared" si="210"/>
        <v>1308.603216</v>
      </c>
      <c r="BI103" s="207">
        <f t="shared" si="211"/>
        <v>1484.5532159999998</v>
      </c>
      <c r="BJ103" s="208">
        <f t="shared" si="234"/>
        <v>1604.9118167752017</v>
      </c>
      <c r="BK103" s="207">
        <f t="shared" si="235"/>
        <v>130.73344174147996</v>
      </c>
      <c r="BL103" s="207">
        <f t="shared" si="236"/>
        <v>632.60035157685365</v>
      </c>
      <c r="BM103" s="207">
        <f t="shared" si="237"/>
        <v>972.31146519834795</v>
      </c>
      <c r="BN103" s="209">
        <f t="shared" si="238"/>
        <v>1103.0449069398278</v>
      </c>
      <c r="BO103" s="208">
        <f t="shared" si="264"/>
        <v>9068.8828784603138</v>
      </c>
      <c r="BP103" s="207">
        <f t="shared" si="239"/>
        <v>2436.7779129260034</v>
      </c>
      <c r="BQ103" s="207">
        <f t="shared" si="239"/>
        <v>6000.4059173725218</v>
      </c>
      <c r="BR103" s="207">
        <f t="shared" si="239"/>
        <v>3068.4769610877902</v>
      </c>
      <c r="BS103" s="209">
        <f t="shared" si="239"/>
        <v>5505.2548740137918</v>
      </c>
      <c r="BT103" s="197"/>
      <c r="BV103" s="206">
        <f t="shared" si="265"/>
        <v>16</v>
      </c>
      <c r="BW103" s="215">
        <f>'Energy NPV'!$D28</f>
        <v>30</v>
      </c>
      <c r="BX103" s="207">
        <f>'Energy margins'!$E$12</f>
        <v>72</v>
      </c>
      <c r="BY103" s="207">
        <f t="shared" si="266"/>
        <v>2160</v>
      </c>
      <c r="BZ103" s="207">
        <f>'Margins summary'!$Q$14</f>
        <v>175.95</v>
      </c>
      <c r="CA103" s="207">
        <f t="shared" si="240"/>
        <v>2335.9499999999998</v>
      </c>
      <c r="CB103" s="207"/>
      <c r="CC103" s="919">
        <f>'Energy NPV'!$U28</f>
        <v>659.29678399999989</v>
      </c>
      <c r="CD103" s="207">
        <f>'Energy margins'!$J$67</f>
        <v>192.1</v>
      </c>
      <c r="CE103" s="207">
        <f t="shared" si="241"/>
        <v>851.39678399999991</v>
      </c>
      <c r="CF103" s="207">
        <f t="shared" si="212"/>
        <v>1308.603216</v>
      </c>
      <c r="CG103" s="207">
        <f t="shared" si="213"/>
        <v>1484.5532159999998</v>
      </c>
      <c r="CH103" s="208">
        <f t="shared" si="242"/>
        <v>680.92208272632229</v>
      </c>
      <c r="CI103" s="207">
        <f t="shared" si="243"/>
        <v>55.466777988748333</v>
      </c>
      <c r="CJ103" s="207">
        <f t="shared" si="244"/>
        <v>268.39577379063553</v>
      </c>
      <c r="CK103" s="207">
        <f t="shared" si="245"/>
        <v>412.52630893568676</v>
      </c>
      <c r="CL103" s="209">
        <f t="shared" si="246"/>
        <v>467.99308692443503</v>
      </c>
      <c r="CM103" s="208">
        <f t="shared" si="267"/>
        <v>5695.0696050766874</v>
      </c>
      <c r="CN103" s="207">
        <f t="shared" si="247"/>
        <v>1681.9902751406446</v>
      </c>
      <c r="CO103" s="207">
        <f t="shared" si="247"/>
        <v>4783.2878934588261</v>
      </c>
      <c r="CP103" s="207">
        <f t="shared" si="247"/>
        <v>911.78171161786156</v>
      </c>
      <c r="CQ103" s="209">
        <f t="shared" si="247"/>
        <v>2593.7719867585051</v>
      </c>
      <c r="CR103" s="197"/>
      <c r="CT103" s="206">
        <f t="shared" si="268"/>
        <v>16</v>
      </c>
      <c r="CU103" s="215">
        <f>'Energy NPV'!$D28</f>
        <v>30</v>
      </c>
      <c r="CV103" s="207">
        <f>'Energy margins'!$E$12</f>
        <v>72</v>
      </c>
      <c r="CW103" s="207">
        <f t="shared" si="269"/>
        <v>2160</v>
      </c>
      <c r="CX103" s="207">
        <f>'Margins summary'!$Q$14</f>
        <v>175.95</v>
      </c>
      <c r="CY103" s="207">
        <f t="shared" si="248"/>
        <v>2335.9499999999998</v>
      </c>
      <c r="CZ103" s="207"/>
      <c r="DA103" s="918">
        <f>'Energy NPV'!$U28</f>
        <v>659.29678399999989</v>
      </c>
      <c r="DB103" s="207">
        <f>'Energy margins'!$J$67</f>
        <v>192.1</v>
      </c>
      <c r="DC103" s="207">
        <f t="shared" si="249"/>
        <v>851.39678399999991</v>
      </c>
      <c r="DD103" s="207">
        <f t="shared" si="214"/>
        <v>1308.603216</v>
      </c>
      <c r="DE103" s="207">
        <f t="shared" si="215"/>
        <v>1484.5532159999998</v>
      </c>
      <c r="DF103" s="208">
        <f t="shared" si="250"/>
        <v>2160</v>
      </c>
      <c r="DG103" s="207">
        <f t="shared" si="251"/>
        <v>175.95</v>
      </c>
      <c r="DH103" s="207">
        <f t="shared" si="252"/>
        <v>851.39678399999991</v>
      </c>
      <c r="DI103" s="207">
        <f t="shared" si="253"/>
        <v>1308.603216</v>
      </c>
      <c r="DJ103" s="209">
        <f t="shared" si="254"/>
        <v>1484.5532159999998</v>
      </c>
      <c r="DK103" s="208">
        <f t="shared" si="270"/>
        <v>10800</v>
      </c>
      <c r="DL103" s="207">
        <f t="shared" si="255"/>
        <v>2815.1999999999994</v>
      </c>
      <c r="DM103" s="207">
        <f t="shared" si="255"/>
        <v>6622.9351040000001</v>
      </c>
      <c r="DN103" s="207">
        <f t="shared" si="255"/>
        <v>4177.0648959999999</v>
      </c>
      <c r="DO103" s="209">
        <f t="shared" si="255"/>
        <v>6992.2648959999988</v>
      </c>
    </row>
    <row r="109" spans="2:119" x14ac:dyDescent="0.3">
      <c r="B109" s="211" t="s">
        <v>95</v>
      </c>
      <c r="C109" s="763" t="s">
        <v>420</v>
      </c>
      <c r="D109" s="269" t="s">
        <v>405</v>
      </c>
      <c r="E109" s="194"/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Z109" s="211" t="s">
        <v>95</v>
      </c>
      <c r="AA109" s="211" t="s">
        <v>428</v>
      </c>
      <c r="AB109" s="769"/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X109" s="211" t="s">
        <v>95</v>
      </c>
      <c r="AY109" s="211" t="s">
        <v>427</v>
      </c>
      <c r="AZ109" s="231"/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V109" s="211" t="s">
        <v>95</v>
      </c>
      <c r="BW109" s="211" t="s">
        <v>426</v>
      </c>
      <c r="BX109" s="231"/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T109" s="211" t="s">
        <v>95</v>
      </c>
      <c r="CU109" s="211" t="s">
        <v>425</v>
      </c>
      <c r="CV109" s="231"/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</row>
    <row r="110" spans="2:119" x14ac:dyDescent="0.3">
      <c r="B110" s="203"/>
      <c r="C110" s="148"/>
      <c r="D110" s="148"/>
      <c r="E110" s="1086"/>
      <c r="F110" s="1086"/>
      <c r="G110" s="1086"/>
      <c r="H110" s="148"/>
      <c r="I110" s="931"/>
      <c r="J110" s="1086"/>
      <c r="K110" s="1086"/>
      <c r="L110" s="148"/>
      <c r="M110" s="148"/>
      <c r="N110" s="1087" t="s">
        <v>275</v>
      </c>
      <c r="O110" s="1088"/>
      <c r="P110" s="1088"/>
      <c r="Q110" s="1088"/>
      <c r="R110" s="1089"/>
      <c r="S110" s="1087" t="s">
        <v>276</v>
      </c>
      <c r="T110" s="1088"/>
      <c r="U110" s="1088"/>
      <c r="V110" s="1088"/>
      <c r="W110" s="1089"/>
      <c r="X110" s="987"/>
      <c r="Z110" s="203"/>
      <c r="AA110" s="148"/>
      <c r="AB110" s="148"/>
      <c r="AC110" s="1086"/>
      <c r="AD110" s="1086"/>
      <c r="AE110" s="1086"/>
      <c r="AF110" s="148"/>
      <c r="AG110" s="931"/>
      <c r="AH110" s="1086"/>
      <c r="AI110" s="1086"/>
      <c r="AJ110" s="148"/>
      <c r="AK110" s="148"/>
      <c r="AL110" s="1087" t="s">
        <v>275</v>
      </c>
      <c r="AM110" s="1088"/>
      <c r="AN110" s="1088"/>
      <c r="AO110" s="1088"/>
      <c r="AP110" s="1089"/>
      <c r="AQ110" s="1087" t="s">
        <v>276</v>
      </c>
      <c r="AR110" s="1088"/>
      <c r="AS110" s="1088"/>
      <c r="AT110" s="1088"/>
      <c r="AU110" s="1089"/>
      <c r="AV110" s="987"/>
      <c r="AX110" s="203"/>
      <c r="AY110" s="148"/>
      <c r="AZ110" s="148"/>
      <c r="BA110" s="1086"/>
      <c r="BB110" s="1086"/>
      <c r="BC110" s="1086"/>
      <c r="BD110" s="148"/>
      <c r="BE110" s="931"/>
      <c r="BF110" s="1086"/>
      <c r="BG110" s="1086"/>
      <c r="BH110" s="148"/>
      <c r="BI110" s="148"/>
      <c r="BJ110" s="1087" t="s">
        <v>275</v>
      </c>
      <c r="BK110" s="1088"/>
      <c r="BL110" s="1088"/>
      <c r="BM110" s="1088"/>
      <c r="BN110" s="1089"/>
      <c r="BO110" s="1087" t="s">
        <v>276</v>
      </c>
      <c r="BP110" s="1088"/>
      <c r="BQ110" s="1088"/>
      <c r="BR110" s="1088"/>
      <c r="BS110" s="1089"/>
      <c r="BT110" s="987"/>
      <c r="BV110" s="203"/>
      <c r="BW110" s="148"/>
      <c r="BX110" s="148"/>
      <c r="BY110" s="1086"/>
      <c r="BZ110" s="1086"/>
      <c r="CA110" s="1086"/>
      <c r="CB110" s="148"/>
      <c r="CC110" s="931"/>
      <c r="CD110" s="1086"/>
      <c r="CE110" s="1086"/>
      <c r="CF110" s="148"/>
      <c r="CG110" s="148"/>
      <c r="CH110" s="1087" t="s">
        <v>275</v>
      </c>
      <c r="CI110" s="1088"/>
      <c r="CJ110" s="1088"/>
      <c r="CK110" s="1088"/>
      <c r="CL110" s="1089"/>
      <c r="CM110" s="1087" t="s">
        <v>276</v>
      </c>
      <c r="CN110" s="1088"/>
      <c r="CO110" s="1088"/>
      <c r="CP110" s="1088"/>
      <c r="CQ110" s="1089"/>
      <c r="CR110" s="987"/>
      <c r="CT110" s="203"/>
      <c r="CU110" s="148"/>
      <c r="CV110" s="148"/>
      <c r="CW110" s="1086"/>
      <c r="CX110" s="1086"/>
      <c r="CY110" s="1086"/>
      <c r="CZ110" s="148"/>
      <c r="DA110" s="931"/>
      <c r="DB110" s="1086"/>
      <c r="DC110" s="1086"/>
      <c r="DD110" s="148"/>
      <c r="DE110" s="148"/>
      <c r="DF110" s="1087" t="s">
        <v>275</v>
      </c>
      <c r="DG110" s="1088"/>
      <c r="DH110" s="1088"/>
      <c r="DI110" s="1088"/>
      <c r="DJ110" s="1089"/>
      <c r="DK110" s="1087" t="s">
        <v>276</v>
      </c>
      <c r="DL110" s="1088"/>
      <c r="DM110" s="1088"/>
      <c r="DN110" s="1088"/>
      <c r="DO110" s="1089"/>
    </row>
    <row r="111" spans="2:119" ht="51" x14ac:dyDescent="0.3">
      <c r="B111" s="204" t="s">
        <v>277</v>
      </c>
      <c r="C111" s="205" t="s">
        <v>303</v>
      </c>
      <c r="D111" s="205" t="s">
        <v>304</v>
      </c>
      <c r="E111" s="171" t="s">
        <v>675</v>
      </c>
      <c r="F111" s="171" t="s">
        <v>666</v>
      </c>
      <c r="G111" s="171" t="s">
        <v>676</v>
      </c>
      <c r="H111" s="205" t="s">
        <v>301</v>
      </c>
      <c r="I111" s="935" t="s">
        <v>302</v>
      </c>
      <c r="J111" s="205" t="s">
        <v>305</v>
      </c>
      <c r="K111" s="171" t="s">
        <v>283</v>
      </c>
      <c r="L111" s="171" t="s">
        <v>677</v>
      </c>
      <c r="M111" s="171" t="s">
        <v>678</v>
      </c>
      <c r="N111" s="195" t="s">
        <v>286</v>
      </c>
      <c r="O111" s="171" t="s">
        <v>679</v>
      </c>
      <c r="P111" s="171" t="s">
        <v>288</v>
      </c>
      <c r="Q111" s="171" t="s">
        <v>680</v>
      </c>
      <c r="R111" s="198" t="s">
        <v>290</v>
      </c>
      <c r="S111" s="195" t="s">
        <v>291</v>
      </c>
      <c r="T111" s="171" t="s">
        <v>681</v>
      </c>
      <c r="U111" s="171" t="s">
        <v>293</v>
      </c>
      <c r="V111" s="171" t="s">
        <v>682</v>
      </c>
      <c r="W111" s="198" t="s">
        <v>295</v>
      </c>
      <c r="X111" s="171"/>
      <c r="Z111" s="204" t="s">
        <v>277</v>
      </c>
      <c r="AA111" s="205" t="s">
        <v>303</v>
      </c>
      <c r="AB111" s="205" t="s">
        <v>304</v>
      </c>
      <c r="AC111" s="171" t="s">
        <v>675</v>
      </c>
      <c r="AD111" s="171" t="s">
        <v>666</v>
      </c>
      <c r="AE111" s="171" t="s">
        <v>676</v>
      </c>
      <c r="AF111" s="205" t="s">
        <v>301</v>
      </c>
      <c r="AG111" s="935" t="s">
        <v>302</v>
      </c>
      <c r="AH111" s="205" t="s">
        <v>305</v>
      </c>
      <c r="AI111" s="171" t="s">
        <v>283</v>
      </c>
      <c r="AJ111" s="171" t="s">
        <v>677</v>
      </c>
      <c r="AK111" s="171" t="s">
        <v>678</v>
      </c>
      <c r="AL111" s="195" t="s">
        <v>286</v>
      </c>
      <c r="AM111" s="171" t="s">
        <v>679</v>
      </c>
      <c r="AN111" s="171" t="s">
        <v>288</v>
      </c>
      <c r="AO111" s="171" t="s">
        <v>680</v>
      </c>
      <c r="AP111" s="198" t="s">
        <v>290</v>
      </c>
      <c r="AQ111" s="195" t="s">
        <v>291</v>
      </c>
      <c r="AR111" s="171" t="s">
        <v>681</v>
      </c>
      <c r="AS111" s="171" t="s">
        <v>293</v>
      </c>
      <c r="AT111" s="171" t="s">
        <v>682</v>
      </c>
      <c r="AU111" s="198" t="s">
        <v>295</v>
      </c>
      <c r="AV111" s="171"/>
      <c r="AX111" s="204" t="s">
        <v>277</v>
      </c>
      <c r="AY111" s="205" t="s">
        <v>303</v>
      </c>
      <c r="AZ111" s="205" t="s">
        <v>304</v>
      </c>
      <c r="BA111" s="171" t="s">
        <v>675</v>
      </c>
      <c r="BB111" s="171" t="s">
        <v>666</v>
      </c>
      <c r="BC111" s="171" t="s">
        <v>676</v>
      </c>
      <c r="BD111" s="205" t="s">
        <v>301</v>
      </c>
      <c r="BE111" s="935" t="s">
        <v>302</v>
      </c>
      <c r="BF111" s="205" t="s">
        <v>305</v>
      </c>
      <c r="BG111" s="171" t="s">
        <v>283</v>
      </c>
      <c r="BH111" s="171" t="s">
        <v>677</v>
      </c>
      <c r="BI111" s="171" t="s">
        <v>678</v>
      </c>
      <c r="BJ111" s="195" t="s">
        <v>286</v>
      </c>
      <c r="BK111" s="171" t="s">
        <v>679</v>
      </c>
      <c r="BL111" s="171" t="s">
        <v>288</v>
      </c>
      <c r="BM111" s="171" t="s">
        <v>680</v>
      </c>
      <c r="BN111" s="198" t="s">
        <v>290</v>
      </c>
      <c r="BO111" s="195" t="s">
        <v>291</v>
      </c>
      <c r="BP111" s="171" t="s">
        <v>681</v>
      </c>
      <c r="BQ111" s="171" t="s">
        <v>293</v>
      </c>
      <c r="BR111" s="171" t="s">
        <v>682</v>
      </c>
      <c r="BS111" s="198" t="s">
        <v>295</v>
      </c>
      <c r="BT111" s="171"/>
      <c r="BV111" s="204" t="s">
        <v>277</v>
      </c>
      <c r="BW111" s="205" t="s">
        <v>303</v>
      </c>
      <c r="BX111" s="205" t="s">
        <v>304</v>
      </c>
      <c r="BY111" s="171" t="s">
        <v>675</v>
      </c>
      <c r="BZ111" s="171" t="s">
        <v>666</v>
      </c>
      <c r="CA111" s="171" t="s">
        <v>676</v>
      </c>
      <c r="CB111" s="205" t="s">
        <v>301</v>
      </c>
      <c r="CC111" s="935" t="s">
        <v>302</v>
      </c>
      <c r="CD111" s="205" t="s">
        <v>305</v>
      </c>
      <c r="CE111" s="171" t="s">
        <v>283</v>
      </c>
      <c r="CF111" s="171" t="s">
        <v>677</v>
      </c>
      <c r="CG111" s="171" t="s">
        <v>678</v>
      </c>
      <c r="CH111" s="195" t="s">
        <v>286</v>
      </c>
      <c r="CI111" s="171" t="s">
        <v>679</v>
      </c>
      <c r="CJ111" s="171" t="s">
        <v>288</v>
      </c>
      <c r="CK111" s="171" t="s">
        <v>680</v>
      </c>
      <c r="CL111" s="198" t="s">
        <v>290</v>
      </c>
      <c r="CM111" s="195" t="s">
        <v>291</v>
      </c>
      <c r="CN111" s="171" t="s">
        <v>681</v>
      </c>
      <c r="CO111" s="171" t="s">
        <v>293</v>
      </c>
      <c r="CP111" s="171" t="s">
        <v>682</v>
      </c>
      <c r="CQ111" s="198" t="s">
        <v>295</v>
      </c>
      <c r="CR111" s="171"/>
      <c r="CT111" s="204" t="s">
        <v>277</v>
      </c>
      <c r="CU111" s="205" t="s">
        <v>303</v>
      </c>
      <c r="CV111" s="205" t="s">
        <v>304</v>
      </c>
      <c r="CW111" s="171" t="s">
        <v>675</v>
      </c>
      <c r="CX111" s="171" t="s">
        <v>666</v>
      </c>
      <c r="CY111" s="171" t="s">
        <v>676</v>
      </c>
      <c r="CZ111" s="205" t="s">
        <v>301</v>
      </c>
      <c r="DA111" s="935" t="s">
        <v>302</v>
      </c>
      <c r="DB111" s="205" t="s">
        <v>305</v>
      </c>
      <c r="DC111" s="171" t="s">
        <v>283</v>
      </c>
      <c r="DD111" s="171" t="s">
        <v>677</v>
      </c>
      <c r="DE111" s="171" t="s">
        <v>678</v>
      </c>
      <c r="DF111" s="195" t="s">
        <v>286</v>
      </c>
      <c r="DG111" s="171" t="s">
        <v>679</v>
      </c>
      <c r="DH111" s="171" t="s">
        <v>288</v>
      </c>
      <c r="DI111" s="171" t="s">
        <v>680</v>
      </c>
      <c r="DJ111" s="198" t="s">
        <v>290</v>
      </c>
      <c r="DK111" s="195" t="s">
        <v>291</v>
      </c>
      <c r="DL111" s="171" t="s">
        <v>681</v>
      </c>
      <c r="DM111" s="171" t="s">
        <v>293</v>
      </c>
      <c r="DN111" s="171" t="s">
        <v>682</v>
      </c>
      <c r="DO111" s="198" t="s">
        <v>295</v>
      </c>
    </row>
    <row r="112" spans="2:119" x14ac:dyDescent="0.3">
      <c r="B112" s="173"/>
      <c r="C112" s="226" t="s">
        <v>341</v>
      </c>
      <c r="D112" s="226" t="s">
        <v>601</v>
      </c>
      <c r="E112" s="201" t="s">
        <v>599</v>
      </c>
      <c r="F112" s="201" t="s">
        <v>599</v>
      </c>
      <c r="G112" s="201" t="s">
        <v>599</v>
      </c>
      <c r="H112" s="201" t="s">
        <v>599</v>
      </c>
      <c r="I112" s="969" t="s">
        <v>599</v>
      </c>
      <c r="J112" s="201" t="s">
        <v>599</v>
      </c>
      <c r="K112" s="201" t="s">
        <v>599</v>
      </c>
      <c r="L112" s="201" t="s">
        <v>599</v>
      </c>
      <c r="M112" s="202" t="s">
        <v>599</v>
      </c>
      <c r="N112" s="201" t="s">
        <v>599</v>
      </c>
      <c r="O112" s="201" t="s">
        <v>599</v>
      </c>
      <c r="P112" s="201" t="s">
        <v>599</v>
      </c>
      <c r="Q112" s="201" t="s">
        <v>599</v>
      </c>
      <c r="R112" s="202" t="s">
        <v>599</v>
      </c>
      <c r="S112" s="201" t="s">
        <v>599</v>
      </c>
      <c r="T112" s="201" t="s">
        <v>599</v>
      </c>
      <c r="U112" s="201" t="s">
        <v>599</v>
      </c>
      <c r="V112" s="201" t="s">
        <v>599</v>
      </c>
      <c r="W112" s="202" t="s">
        <v>599</v>
      </c>
      <c r="X112" s="988"/>
      <c r="Z112" s="173"/>
      <c r="AA112" s="226" t="s">
        <v>341</v>
      </c>
      <c r="AB112" s="226" t="s">
        <v>601</v>
      </c>
      <c r="AC112" s="201" t="s">
        <v>599</v>
      </c>
      <c r="AD112" s="201" t="s">
        <v>599</v>
      </c>
      <c r="AE112" s="201" t="s">
        <v>599</v>
      </c>
      <c r="AF112" s="201" t="s">
        <v>599</v>
      </c>
      <c r="AG112" s="969" t="s">
        <v>599</v>
      </c>
      <c r="AH112" s="201" t="s">
        <v>599</v>
      </c>
      <c r="AI112" s="201" t="s">
        <v>599</v>
      </c>
      <c r="AJ112" s="201" t="s">
        <v>599</v>
      </c>
      <c r="AK112" s="202" t="s">
        <v>599</v>
      </c>
      <c r="AL112" s="201" t="s">
        <v>599</v>
      </c>
      <c r="AM112" s="201" t="s">
        <v>599</v>
      </c>
      <c r="AN112" s="201" t="s">
        <v>599</v>
      </c>
      <c r="AO112" s="201" t="s">
        <v>599</v>
      </c>
      <c r="AP112" s="202" t="s">
        <v>599</v>
      </c>
      <c r="AQ112" s="201" t="s">
        <v>599</v>
      </c>
      <c r="AR112" s="201" t="s">
        <v>599</v>
      </c>
      <c r="AS112" s="201" t="s">
        <v>599</v>
      </c>
      <c r="AT112" s="201" t="s">
        <v>599</v>
      </c>
      <c r="AU112" s="202" t="s">
        <v>599</v>
      </c>
      <c r="AV112" s="988"/>
      <c r="AX112" s="173"/>
      <c r="AY112" s="226" t="s">
        <v>341</v>
      </c>
      <c r="AZ112" s="226" t="s">
        <v>601</v>
      </c>
      <c r="BA112" s="201" t="s">
        <v>599</v>
      </c>
      <c r="BB112" s="201" t="s">
        <v>599</v>
      </c>
      <c r="BC112" s="201" t="s">
        <v>599</v>
      </c>
      <c r="BD112" s="201" t="s">
        <v>599</v>
      </c>
      <c r="BE112" s="969" t="s">
        <v>599</v>
      </c>
      <c r="BF112" s="201" t="s">
        <v>599</v>
      </c>
      <c r="BG112" s="201" t="s">
        <v>599</v>
      </c>
      <c r="BH112" s="201" t="s">
        <v>599</v>
      </c>
      <c r="BI112" s="202" t="s">
        <v>599</v>
      </c>
      <c r="BJ112" s="201" t="s">
        <v>599</v>
      </c>
      <c r="BK112" s="201" t="s">
        <v>599</v>
      </c>
      <c r="BL112" s="201" t="s">
        <v>599</v>
      </c>
      <c r="BM112" s="201" t="s">
        <v>599</v>
      </c>
      <c r="BN112" s="202" t="s">
        <v>599</v>
      </c>
      <c r="BO112" s="201" t="s">
        <v>599</v>
      </c>
      <c r="BP112" s="201" t="s">
        <v>599</v>
      </c>
      <c r="BQ112" s="201" t="s">
        <v>599</v>
      </c>
      <c r="BR112" s="201" t="s">
        <v>599</v>
      </c>
      <c r="BS112" s="202" t="s">
        <v>599</v>
      </c>
      <c r="BT112" s="988"/>
      <c r="BV112" s="173"/>
      <c r="BW112" s="226" t="s">
        <v>341</v>
      </c>
      <c r="BX112" s="226" t="s">
        <v>601</v>
      </c>
      <c r="BY112" s="201" t="s">
        <v>599</v>
      </c>
      <c r="BZ112" s="201" t="s">
        <v>599</v>
      </c>
      <c r="CA112" s="201" t="s">
        <v>599</v>
      </c>
      <c r="CB112" s="201" t="s">
        <v>599</v>
      </c>
      <c r="CC112" s="969" t="s">
        <v>599</v>
      </c>
      <c r="CD112" s="201" t="s">
        <v>599</v>
      </c>
      <c r="CE112" s="201" t="s">
        <v>599</v>
      </c>
      <c r="CF112" s="201" t="s">
        <v>599</v>
      </c>
      <c r="CG112" s="202" t="s">
        <v>599</v>
      </c>
      <c r="CH112" s="201" t="s">
        <v>599</v>
      </c>
      <c r="CI112" s="201" t="s">
        <v>599</v>
      </c>
      <c r="CJ112" s="201" t="s">
        <v>599</v>
      </c>
      <c r="CK112" s="201" t="s">
        <v>599</v>
      </c>
      <c r="CL112" s="202" t="s">
        <v>599</v>
      </c>
      <c r="CM112" s="201" t="s">
        <v>599</v>
      </c>
      <c r="CN112" s="201" t="s">
        <v>599</v>
      </c>
      <c r="CO112" s="201" t="s">
        <v>599</v>
      </c>
      <c r="CP112" s="201" t="s">
        <v>599</v>
      </c>
      <c r="CQ112" s="202" t="s">
        <v>599</v>
      </c>
      <c r="CR112" s="988"/>
      <c r="CT112" s="173"/>
      <c r="CU112" s="226" t="s">
        <v>341</v>
      </c>
      <c r="CV112" s="226" t="s">
        <v>601</v>
      </c>
      <c r="CW112" s="201" t="s">
        <v>599</v>
      </c>
      <c r="CX112" s="201" t="s">
        <v>599</v>
      </c>
      <c r="CY112" s="201" t="s">
        <v>599</v>
      </c>
      <c r="CZ112" s="201" t="s">
        <v>599</v>
      </c>
      <c r="DA112" s="969" t="s">
        <v>599</v>
      </c>
      <c r="DB112" s="201" t="s">
        <v>599</v>
      </c>
      <c r="DC112" s="201" t="s">
        <v>599</v>
      </c>
      <c r="DD112" s="201" t="s">
        <v>599</v>
      </c>
      <c r="DE112" s="202" t="s">
        <v>599</v>
      </c>
      <c r="DF112" s="201" t="s">
        <v>599</v>
      </c>
      <c r="DG112" s="201" t="s">
        <v>599</v>
      </c>
      <c r="DH112" s="201" t="s">
        <v>599</v>
      </c>
      <c r="DI112" s="201" t="s">
        <v>599</v>
      </c>
      <c r="DJ112" s="202" t="s">
        <v>599</v>
      </c>
      <c r="DK112" s="201" t="s">
        <v>599</v>
      </c>
      <c r="DL112" s="201" t="s">
        <v>599</v>
      </c>
      <c r="DM112" s="201" t="s">
        <v>599</v>
      </c>
      <c r="DN112" s="201" t="s">
        <v>599</v>
      </c>
      <c r="DO112" s="202" t="s">
        <v>599</v>
      </c>
    </row>
    <row r="113" spans="2:119" x14ac:dyDescent="0.3">
      <c r="B113" s="204">
        <v>1</v>
      </c>
      <c r="C113" s="760">
        <f>'Energy NPV'!$D39</f>
        <v>0.6</v>
      </c>
      <c r="D113" s="197">
        <f>'Energy margins'!$L$12</f>
        <v>72</v>
      </c>
      <c r="E113" s="197">
        <f>C113*D113</f>
        <v>43.199999999999996</v>
      </c>
      <c r="F113" s="197">
        <f>'Margins summary'!$S$14</f>
        <v>175.95</v>
      </c>
      <c r="G113" s="197">
        <f>E113+F113</f>
        <v>219.14999999999998</v>
      </c>
      <c r="H113" s="197">
        <f>'Margins summary'!$R$20</f>
        <v>2224.610784</v>
      </c>
      <c r="I113" s="918">
        <f>'Energy NPV'!U39</f>
        <v>0</v>
      </c>
      <c r="J113" s="197"/>
      <c r="K113" s="197">
        <f>H113+I113+J113</f>
        <v>2224.610784</v>
      </c>
      <c r="L113" s="197">
        <f t="shared" ref="L113:L128" si="271">E113-K113</f>
        <v>-2181.4107840000001</v>
      </c>
      <c r="M113" s="197">
        <f t="shared" ref="M113:M128" si="272">G113-K113</f>
        <v>-2005.4607839999999</v>
      </c>
      <c r="N113" s="1018">
        <f>E113/((1+$B$4)^(B113-1))</f>
        <v>43.199999999999996</v>
      </c>
      <c r="O113" s="213">
        <f>F113/((1+$B$4)^(B113-1))</f>
        <v>175.95</v>
      </c>
      <c r="P113" s="213">
        <f>K113/((1+$B$4)^(B113-1))</f>
        <v>2224.610784</v>
      </c>
      <c r="Q113" s="213">
        <f>L113/((1+$B$4)^(B113-1))</f>
        <v>-2181.4107840000001</v>
      </c>
      <c r="R113" s="929">
        <f>M113/((1+$B$4)^(B113-1))</f>
        <v>-2005.4607839999999</v>
      </c>
      <c r="S113" s="196">
        <f>N113</f>
        <v>43.199999999999996</v>
      </c>
      <c r="T113" s="197">
        <f>O113</f>
        <v>175.95</v>
      </c>
      <c r="U113" s="197">
        <f>P113</f>
        <v>2224.610784</v>
      </c>
      <c r="V113" s="197">
        <f>Q113</f>
        <v>-2181.4107840000001</v>
      </c>
      <c r="W113" s="199">
        <f>R113</f>
        <v>-2005.4607839999999</v>
      </c>
      <c r="X113" s="197"/>
      <c r="Z113" s="204">
        <v>1</v>
      </c>
      <c r="AA113" s="760">
        <f>'Energy NPV'!$D39</f>
        <v>0.6</v>
      </c>
      <c r="AB113" s="197">
        <f>'Energy margins'!$L$12</f>
        <v>72</v>
      </c>
      <c r="AC113" s="197">
        <f>AA113*AB113</f>
        <v>43.199999999999996</v>
      </c>
      <c r="AD113" s="197">
        <f>'Margins summary'!$S$14</f>
        <v>175.95</v>
      </c>
      <c r="AE113" s="197">
        <f>AC113+AD113</f>
        <v>219.14999999999998</v>
      </c>
      <c r="AF113" s="197">
        <f>'Margins summary'!$R$20</f>
        <v>2224.610784</v>
      </c>
      <c r="AG113" s="918">
        <f>'Energy NPV'!U39</f>
        <v>0</v>
      </c>
      <c r="AH113" s="197"/>
      <c r="AI113" s="197">
        <f>AF113+AG113+AH113</f>
        <v>2224.610784</v>
      </c>
      <c r="AJ113" s="197">
        <f t="shared" ref="AJ113:AJ128" si="273">AC113-AI113</f>
        <v>-2181.4107840000001</v>
      </c>
      <c r="AK113" s="197">
        <f t="shared" ref="AK113:AK128" si="274">AE113-AI113</f>
        <v>-2005.4607839999999</v>
      </c>
      <c r="AL113" s="1018">
        <f>AC113/((1+$C$4)^(Z113-1))</f>
        <v>43.199999999999996</v>
      </c>
      <c r="AM113" s="213">
        <f>AD113/((1+$C$4)^(Z113-1))</f>
        <v>175.95</v>
      </c>
      <c r="AN113" s="213">
        <f>AI113/((1+$C$4)^(Z113-1))</f>
        <v>2224.610784</v>
      </c>
      <c r="AO113" s="213">
        <f>AJ113/((1+$C$4)^(Z113-1))</f>
        <v>-2181.4107840000001</v>
      </c>
      <c r="AP113" s="929">
        <f>AK113/((1+$C$4)^(Z113-1))</f>
        <v>-2005.4607839999999</v>
      </c>
      <c r="AQ113" s="196">
        <f>AL113</f>
        <v>43.199999999999996</v>
      </c>
      <c r="AR113" s="197">
        <f>AM113</f>
        <v>175.95</v>
      </c>
      <c r="AS113" s="197">
        <f>AN113</f>
        <v>2224.610784</v>
      </c>
      <c r="AT113" s="197">
        <f>AO113</f>
        <v>-2181.4107840000001</v>
      </c>
      <c r="AU113" s="199">
        <f>AP113</f>
        <v>-2005.4607839999999</v>
      </c>
      <c r="AV113" s="197"/>
      <c r="AX113" s="204">
        <v>1</v>
      </c>
      <c r="AY113" s="760">
        <f>'Energy NPV'!$D39</f>
        <v>0.6</v>
      </c>
      <c r="AZ113" s="197">
        <f>'Energy margins'!$L$12</f>
        <v>72</v>
      </c>
      <c r="BA113" s="197">
        <f>AY113*AZ113</f>
        <v>43.199999999999996</v>
      </c>
      <c r="BB113" s="197">
        <f>'Margins summary'!$S$14</f>
        <v>175.95</v>
      </c>
      <c r="BC113" s="197">
        <f>BA113+BB113</f>
        <v>219.14999999999998</v>
      </c>
      <c r="BD113" s="197">
        <f>'Margins summary'!$R$20</f>
        <v>2224.610784</v>
      </c>
      <c r="BE113" s="918">
        <f>'Energy NPV'!U39</f>
        <v>0</v>
      </c>
      <c r="BF113" s="197"/>
      <c r="BG113" s="197">
        <f>BD113+BE113+BF113</f>
        <v>2224.610784</v>
      </c>
      <c r="BH113" s="197">
        <f t="shared" ref="BH113:BH128" si="275">BA113-BG113</f>
        <v>-2181.4107840000001</v>
      </c>
      <c r="BI113" s="197">
        <f t="shared" ref="BI113:BI128" si="276">BC113-BG113</f>
        <v>-2005.4607839999999</v>
      </c>
      <c r="BJ113" s="1018">
        <f>BA113/((1+$D$4)^(AX113-1))</f>
        <v>43.199999999999996</v>
      </c>
      <c r="BK113" s="213">
        <f>BB113/((1+$D$4)^(AX113-1))</f>
        <v>175.95</v>
      </c>
      <c r="BL113" s="213">
        <f>BG113/((1+$D$4)^(AX113-1))</f>
        <v>2224.610784</v>
      </c>
      <c r="BM113" s="213">
        <f>BH113/((1+$D$4)^(AX113-1))</f>
        <v>-2181.4107840000001</v>
      </c>
      <c r="BN113" s="929">
        <f>BI113/((1+$D$4)^(AX113-1))</f>
        <v>-2005.4607839999999</v>
      </c>
      <c r="BO113" s="196">
        <f>BJ113</f>
        <v>43.199999999999996</v>
      </c>
      <c r="BP113" s="197">
        <f>BK113</f>
        <v>175.95</v>
      </c>
      <c r="BQ113" s="197">
        <f>BL113</f>
        <v>2224.610784</v>
      </c>
      <c r="BR113" s="197">
        <f>BM113</f>
        <v>-2181.4107840000001</v>
      </c>
      <c r="BS113" s="199">
        <f>BN113</f>
        <v>-2005.4607839999999</v>
      </c>
      <c r="BT113" s="197"/>
      <c r="BV113" s="204">
        <v>1</v>
      </c>
      <c r="BW113" s="760">
        <f>'Energy NPV'!$D39</f>
        <v>0.6</v>
      </c>
      <c r="BX113" s="197">
        <f>'Energy margins'!$L$12</f>
        <v>72</v>
      </c>
      <c r="BY113" s="197">
        <f>BW113*BX113</f>
        <v>43.199999999999996</v>
      </c>
      <c r="BZ113" s="197">
        <f>'Margins summary'!$S$14</f>
        <v>175.95</v>
      </c>
      <c r="CA113" s="197">
        <f>BY113+BZ113</f>
        <v>219.14999999999998</v>
      </c>
      <c r="CB113" s="197">
        <f>'Margins summary'!$R$20</f>
        <v>2224.610784</v>
      </c>
      <c r="CC113" s="918">
        <f>'Energy NPV'!U39</f>
        <v>0</v>
      </c>
      <c r="CD113" s="197"/>
      <c r="CE113" s="197">
        <f>CB113+CC113+CD113</f>
        <v>2224.610784</v>
      </c>
      <c r="CF113" s="197">
        <f t="shared" ref="CF113:CF128" si="277">BY113-CE113</f>
        <v>-2181.4107840000001</v>
      </c>
      <c r="CG113" s="197">
        <f t="shared" ref="CG113:CG128" si="278">CA113-CE113</f>
        <v>-2005.4607839999999</v>
      </c>
      <c r="CH113" s="1018">
        <f>BY113/((1+$E$4)^(BV113-1))</f>
        <v>43.199999999999996</v>
      </c>
      <c r="CI113" s="213">
        <f>BZ113/((1+$E$4)^(BV113-1))</f>
        <v>175.95</v>
      </c>
      <c r="CJ113" s="213">
        <f>CE113/((1+$E$4)^(BV113-1))</f>
        <v>2224.610784</v>
      </c>
      <c r="CK113" s="213">
        <f>CF113/((1+$E$4)^(BV113-1))</f>
        <v>-2181.4107840000001</v>
      </c>
      <c r="CL113" s="929">
        <f>CG113/((1+$E$4)^(BV113-1))</f>
        <v>-2005.4607839999999</v>
      </c>
      <c r="CM113" s="196">
        <f>CH113</f>
        <v>43.199999999999996</v>
      </c>
      <c r="CN113" s="197">
        <f>CI113</f>
        <v>175.95</v>
      </c>
      <c r="CO113" s="197">
        <f>CJ113</f>
        <v>2224.610784</v>
      </c>
      <c r="CP113" s="197">
        <f>CK113</f>
        <v>-2181.4107840000001</v>
      </c>
      <c r="CQ113" s="199">
        <f>CL113</f>
        <v>-2005.4607839999999</v>
      </c>
      <c r="CR113" s="197"/>
      <c r="CT113" s="204">
        <v>1</v>
      </c>
      <c r="CU113" s="760">
        <f>'Energy NPV'!$D39</f>
        <v>0.6</v>
      </c>
      <c r="CV113" s="197">
        <f>'Energy margins'!$L$12</f>
        <v>72</v>
      </c>
      <c r="CW113" s="197">
        <f>CU113*CV113</f>
        <v>43.199999999999996</v>
      </c>
      <c r="CX113" s="197">
        <f>'Margins summary'!$S$14</f>
        <v>175.95</v>
      </c>
      <c r="CY113" s="197">
        <f>CW113+CX113</f>
        <v>219.14999999999998</v>
      </c>
      <c r="CZ113" s="197">
        <f>'Margins summary'!$R$20</f>
        <v>2224.610784</v>
      </c>
      <c r="DA113" s="918">
        <f>'Energy NPV'!U39</f>
        <v>0</v>
      </c>
      <c r="DB113" s="197"/>
      <c r="DC113" s="197">
        <f>CZ113+DA113+DB113</f>
        <v>2224.610784</v>
      </c>
      <c r="DD113" s="197">
        <f t="shared" ref="DD113:DD128" si="279">CW113-DC113</f>
        <v>-2181.4107840000001</v>
      </c>
      <c r="DE113" s="197">
        <f t="shared" ref="DE113:DE128" si="280">CY113-DC113</f>
        <v>-2005.4607839999999</v>
      </c>
      <c r="DF113" s="1018">
        <f>CW113/((1+$F$4)^(CT113-1))</f>
        <v>43.199999999999996</v>
      </c>
      <c r="DG113" s="213">
        <f>CX113/((1+$F$4)^(CT113-1))</f>
        <v>175.95</v>
      </c>
      <c r="DH113" s="213">
        <f>DC113/((1+$F$4)^(CT113-1))</f>
        <v>2224.610784</v>
      </c>
      <c r="DI113" s="213">
        <f>DD113/((1+$F$4)^(CT113-1))</f>
        <v>-2181.4107840000001</v>
      </c>
      <c r="DJ113" s="929">
        <f>DE113/((1+$F$4)^(CT113-1))</f>
        <v>-2005.4607839999999</v>
      </c>
      <c r="DK113" s="196">
        <f>DF113</f>
        <v>43.199999999999996</v>
      </c>
      <c r="DL113" s="197">
        <f>DG113</f>
        <v>175.95</v>
      </c>
      <c r="DM113" s="197">
        <f>DH113</f>
        <v>2224.610784</v>
      </c>
      <c r="DN113" s="197">
        <f>DI113</f>
        <v>-2181.4107840000001</v>
      </c>
      <c r="DO113" s="199">
        <f>DJ113</f>
        <v>-2005.4607839999999</v>
      </c>
    </row>
    <row r="114" spans="2:119" x14ac:dyDescent="0.3">
      <c r="B114" s="204">
        <v>2</v>
      </c>
      <c r="C114" s="760">
        <f>'Energy NPV'!$D40</f>
        <v>3.9250000000000007</v>
      </c>
      <c r="D114" s="197">
        <f>'Energy margins'!$L$12</f>
        <v>72</v>
      </c>
      <c r="E114" s="197">
        <f>C114*D114</f>
        <v>282.60000000000002</v>
      </c>
      <c r="F114" s="197">
        <f>'Margins summary'!$S$14</f>
        <v>175.95</v>
      </c>
      <c r="G114" s="197">
        <f t="shared" ref="G114:G128" si="281">E114+F114</f>
        <v>458.55</v>
      </c>
      <c r="H114" s="197"/>
      <c r="I114" s="918">
        <f>'Energy NPV'!U40</f>
        <v>506.67238399999997</v>
      </c>
      <c r="J114" s="197"/>
      <c r="K114" s="197">
        <f t="shared" ref="K114:K128" si="282">H114+I114+J114</f>
        <v>506.67238399999997</v>
      </c>
      <c r="L114" s="197">
        <f t="shared" si="271"/>
        <v>-224.07238399999994</v>
      </c>
      <c r="M114" s="197">
        <f t="shared" si="272"/>
        <v>-48.122383999999954</v>
      </c>
      <c r="N114" s="196">
        <f t="shared" ref="N114:N127" si="283">E114/((1+$B$4)^(B114-1))</f>
        <v>271.73076923076923</v>
      </c>
      <c r="O114" s="197">
        <f t="shared" ref="O114:O127" si="284">F114/((1+$B$4)^(B114-1))</f>
        <v>169.18269230769229</v>
      </c>
      <c r="P114" s="197">
        <f t="shared" ref="P114:P127" si="285">K114/((1+$B$4)^(B114-1))</f>
        <v>487.18498461538456</v>
      </c>
      <c r="Q114" s="197">
        <f t="shared" ref="Q114:Q127" si="286">L114/((1+$B$4)^(B114-1))</f>
        <v>-215.45421538461531</v>
      </c>
      <c r="R114" s="199">
        <f t="shared" ref="R114:R127" si="287">M114/((1+$B$4)^(B114-1))</f>
        <v>-46.271523076923032</v>
      </c>
      <c r="S114" s="196">
        <f>S113+N114</f>
        <v>314.93076923076922</v>
      </c>
      <c r="T114" s="197">
        <f t="shared" ref="T114:W128" si="288">T113+O114</f>
        <v>345.13269230769231</v>
      </c>
      <c r="U114" s="197">
        <f t="shared" si="288"/>
        <v>2711.7957686153845</v>
      </c>
      <c r="V114" s="197">
        <f t="shared" si="288"/>
        <v>-2396.8649993846157</v>
      </c>
      <c r="W114" s="199">
        <f t="shared" si="288"/>
        <v>-2051.732307076923</v>
      </c>
      <c r="X114" s="197"/>
      <c r="Z114" s="204">
        <v>2</v>
      </c>
      <c r="AA114" s="760">
        <f>'Energy NPV'!$D40</f>
        <v>3.9250000000000007</v>
      </c>
      <c r="AB114" s="197">
        <f>'Energy margins'!$L$12</f>
        <v>72</v>
      </c>
      <c r="AC114" s="197">
        <f>AA114*AB114</f>
        <v>282.60000000000002</v>
      </c>
      <c r="AD114" s="197">
        <f>'Margins summary'!$S$14</f>
        <v>175.95</v>
      </c>
      <c r="AE114" s="197">
        <f t="shared" ref="AE114:AE128" si="289">AC114+AD114</f>
        <v>458.55</v>
      </c>
      <c r="AF114" s="197"/>
      <c r="AG114" s="918">
        <f>'Energy NPV'!U40</f>
        <v>506.67238399999997</v>
      </c>
      <c r="AH114" s="197"/>
      <c r="AI114" s="197">
        <f t="shared" ref="AI114:AI128" si="290">AF114+AG114+AH114</f>
        <v>506.67238399999997</v>
      </c>
      <c r="AJ114" s="197">
        <f t="shared" si="273"/>
        <v>-224.07238399999994</v>
      </c>
      <c r="AK114" s="197">
        <f t="shared" si="274"/>
        <v>-48.122383999999954</v>
      </c>
      <c r="AL114" s="196">
        <f t="shared" ref="AL114:AL128" si="291">AC114/((1+$C$4)^(Z114-1))</f>
        <v>266.6037735849057</v>
      </c>
      <c r="AM114" s="197">
        <f t="shared" ref="AM114:AM128" si="292">AD114/((1+$C$4)^(Z114-1))</f>
        <v>165.99056603773582</v>
      </c>
      <c r="AN114" s="197">
        <f t="shared" ref="AN114:AN128" si="293">AI114/((1+$C$4)^(Z114-1))</f>
        <v>477.99281509433956</v>
      </c>
      <c r="AO114" s="197">
        <f t="shared" ref="AO114:AO128" si="294">AJ114/((1+$C$4)^(Z114-1))</f>
        <v>-211.38904150943389</v>
      </c>
      <c r="AP114" s="199">
        <f t="shared" ref="AP114:AP128" si="295">AK114/((1+$C$4)^(Z114-1))</f>
        <v>-45.39847547169807</v>
      </c>
      <c r="AQ114" s="196">
        <f>AQ113+AL114</f>
        <v>309.80377358490568</v>
      </c>
      <c r="AR114" s="197">
        <f t="shared" ref="AR114:AU128" si="296">AR113+AM114</f>
        <v>341.94056603773583</v>
      </c>
      <c r="AS114" s="197">
        <f t="shared" si="296"/>
        <v>2702.6035990943396</v>
      </c>
      <c r="AT114" s="197">
        <f t="shared" si="296"/>
        <v>-2392.799825509434</v>
      </c>
      <c r="AU114" s="199">
        <f t="shared" si="296"/>
        <v>-2050.8592594716979</v>
      </c>
      <c r="AV114" s="197"/>
      <c r="AX114" s="204">
        <v>2</v>
      </c>
      <c r="AY114" s="760">
        <f>'Energy NPV'!$D40</f>
        <v>3.9250000000000007</v>
      </c>
      <c r="AZ114" s="197">
        <f>'Energy margins'!$L$12</f>
        <v>72</v>
      </c>
      <c r="BA114" s="197">
        <f>AY114*AZ114</f>
        <v>282.60000000000002</v>
      </c>
      <c r="BB114" s="197">
        <f>'Margins summary'!$S$14</f>
        <v>175.95</v>
      </c>
      <c r="BC114" s="197">
        <f t="shared" ref="BC114:BC128" si="297">BA114+BB114</f>
        <v>458.55</v>
      </c>
      <c r="BD114" s="197"/>
      <c r="BE114" s="918">
        <f>'Energy NPV'!U40</f>
        <v>506.67238399999997</v>
      </c>
      <c r="BF114" s="197"/>
      <c r="BG114" s="197">
        <f t="shared" ref="BG114:BG128" si="298">BD114+BE114+BF114</f>
        <v>506.67238399999997</v>
      </c>
      <c r="BH114" s="197">
        <f t="shared" si="275"/>
        <v>-224.07238399999994</v>
      </c>
      <c r="BI114" s="197">
        <f t="shared" si="276"/>
        <v>-48.122383999999954</v>
      </c>
      <c r="BJ114" s="196">
        <f t="shared" ref="BJ114:BJ128" si="299">BA114/((1+$D$4)^(AX114-1))</f>
        <v>277.05882352941177</v>
      </c>
      <c r="BK114" s="197">
        <f t="shared" ref="BK114:BK128" si="300">BB114/((1+$D$4)^(AX114-1))</f>
        <v>172.5</v>
      </c>
      <c r="BL114" s="197">
        <f t="shared" ref="BL114:BL128" si="301">BG114/((1+$D$4)^(AX114-1))</f>
        <v>496.737631372549</v>
      </c>
      <c r="BM114" s="197">
        <f t="shared" ref="BM114:BM128" si="302">BH114/((1+$D$4)^(AX114-1))</f>
        <v>-219.67880784313721</v>
      </c>
      <c r="BN114" s="199">
        <f t="shared" ref="BN114:BN128" si="303">BI114/((1+$D$4)^(AX114-1))</f>
        <v>-47.178807843137207</v>
      </c>
      <c r="BO114" s="196">
        <f>BO113+BJ114</f>
        <v>320.25882352941176</v>
      </c>
      <c r="BP114" s="197">
        <f t="shared" ref="BP114:BS128" si="304">BP113+BK114</f>
        <v>348.45</v>
      </c>
      <c r="BQ114" s="197">
        <f t="shared" si="304"/>
        <v>2721.348415372549</v>
      </c>
      <c r="BR114" s="197">
        <f t="shared" si="304"/>
        <v>-2401.0895918431374</v>
      </c>
      <c r="BS114" s="199">
        <f t="shared" si="304"/>
        <v>-2052.6395918431372</v>
      </c>
      <c r="BT114" s="197"/>
      <c r="BV114" s="204">
        <v>2</v>
      </c>
      <c r="BW114" s="760">
        <f>'Energy NPV'!$D40</f>
        <v>3.9250000000000007</v>
      </c>
      <c r="BX114" s="197">
        <f>'Energy margins'!$L$12</f>
        <v>72</v>
      </c>
      <c r="BY114" s="197">
        <f>BW114*BX114</f>
        <v>282.60000000000002</v>
      </c>
      <c r="BZ114" s="197">
        <f>'Margins summary'!$S$14</f>
        <v>175.95</v>
      </c>
      <c r="CA114" s="197">
        <f t="shared" ref="CA114:CA128" si="305">BY114+BZ114</f>
        <v>458.55</v>
      </c>
      <c r="CB114" s="197"/>
      <c r="CC114" s="918">
        <f>'Energy NPV'!U40</f>
        <v>506.67238399999997</v>
      </c>
      <c r="CD114" s="197"/>
      <c r="CE114" s="197">
        <f t="shared" ref="CE114:CE128" si="306">CB114+CC114+CD114</f>
        <v>506.67238399999997</v>
      </c>
      <c r="CF114" s="197">
        <f t="shared" si="277"/>
        <v>-224.07238399999994</v>
      </c>
      <c r="CG114" s="197">
        <f t="shared" si="278"/>
        <v>-48.122383999999954</v>
      </c>
      <c r="CH114" s="196">
        <f t="shared" ref="CH114:CH128" si="307">BY114/((1+$E$4)^(BV114-1))</f>
        <v>261.66666666666669</v>
      </c>
      <c r="CI114" s="197">
        <f t="shared" ref="CI114:CI128" si="308">BZ114/((1+$E$4)^(BV114-1))</f>
        <v>162.91666666666666</v>
      </c>
      <c r="CJ114" s="197">
        <f t="shared" ref="CJ114:CJ128" si="309">CE114/((1+$E$4)^(BV114-1))</f>
        <v>469.14109629629621</v>
      </c>
      <c r="CK114" s="197">
        <f t="shared" ref="CK114:CK128" si="310">CF114/((1+$E$4)^(BV114-1))</f>
        <v>-207.47442962962955</v>
      </c>
      <c r="CL114" s="199">
        <f t="shared" ref="CL114:CL128" si="311">CG114/((1+$E$4)^(BV114-1))</f>
        <v>-44.557762962962919</v>
      </c>
      <c r="CM114" s="196">
        <f>CM113+CH114</f>
        <v>304.86666666666667</v>
      </c>
      <c r="CN114" s="197">
        <f t="shared" ref="CN114:CQ128" si="312">CN113+CI114</f>
        <v>338.86666666666667</v>
      </c>
      <c r="CO114" s="197">
        <f t="shared" si="312"/>
        <v>2693.7518802962963</v>
      </c>
      <c r="CP114" s="197">
        <f t="shared" si="312"/>
        <v>-2388.8852136296296</v>
      </c>
      <c r="CQ114" s="199">
        <f t="shared" si="312"/>
        <v>-2050.0185469629628</v>
      </c>
      <c r="CR114" s="197"/>
      <c r="CT114" s="204">
        <f>CT113+1</f>
        <v>2</v>
      </c>
      <c r="CU114" s="760">
        <f>'Energy NPV'!$D40</f>
        <v>3.9250000000000007</v>
      </c>
      <c r="CV114" s="197">
        <f>'Energy margins'!$L$12</f>
        <v>72</v>
      </c>
      <c r="CW114" s="197">
        <f>CU114*CV114</f>
        <v>282.60000000000002</v>
      </c>
      <c r="CX114" s="197">
        <f>'Margins summary'!$S$14</f>
        <v>175.95</v>
      </c>
      <c r="CY114" s="197">
        <f t="shared" ref="CY114:CY128" si="313">CW114+CX114</f>
        <v>458.55</v>
      </c>
      <c r="CZ114" s="197"/>
      <c r="DA114" s="918">
        <f>'Energy NPV'!U40</f>
        <v>506.67238399999997</v>
      </c>
      <c r="DB114" s="197"/>
      <c r="DC114" s="197">
        <f t="shared" ref="DC114:DC128" si="314">CZ114+DA114+DB114</f>
        <v>506.67238399999997</v>
      </c>
      <c r="DD114" s="197">
        <f t="shared" si="279"/>
        <v>-224.07238399999994</v>
      </c>
      <c r="DE114" s="197">
        <f t="shared" si="280"/>
        <v>-48.122383999999954</v>
      </c>
      <c r="DF114" s="196">
        <f t="shared" ref="DF114:DF128" si="315">CW114/((1+$F$4)^(CT114-1))</f>
        <v>282.60000000000002</v>
      </c>
      <c r="DG114" s="197">
        <f t="shared" ref="DG114:DG128" si="316">CX114/((1+$F$4)^(CT114-1))</f>
        <v>175.95</v>
      </c>
      <c r="DH114" s="197">
        <f t="shared" ref="DH114:DH128" si="317">DC114/((1+$F$4)^(CT114-1))</f>
        <v>506.67238399999997</v>
      </c>
      <c r="DI114" s="197">
        <f t="shared" ref="DI114:DI128" si="318">DD114/((1+$F$4)^(CT114-1))</f>
        <v>-224.07238399999994</v>
      </c>
      <c r="DJ114" s="199">
        <f t="shared" ref="DJ114:DJ128" si="319">DE114/((1+$F$4)^(CT114-1))</f>
        <v>-48.122383999999954</v>
      </c>
      <c r="DK114" s="196">
        <f>DK113+DF114</f>
        <v>325.8</v>
      </c>
      <c r="DL114" s="197">
        <f t="shared" ref="DL114:DO128" si="320">DL113+DG114</f>
        <v>351.9</v>
      </c>
      <c r="DM114" s="197">
        <f t="shared" si="320"/>
        <v>2731.2831679999999</v>
      </c>
      <c r="DN114" s="197">
        <f t="shared" si="320"/>
        <v>-2405.4831680000002</v>
      </c>
      <c r="DO114" s="199">
        <f t="shared" si="320"/>
        <v>-2053.5831679999997</v>
      </c>
    </row>
    <row r="115" spans="2:119" x14ac:dyDescent="0.3">
      <c r="B115" s="204">
        <f t="shared" ref="B115:B128" si="321">B114+1</f>
        <v>3</v>
      </c>
      <c r="C115" s="760">
        <f>'Energy NPV'!$D41</f>
        <v>11.099999999999998</v>
      </c>
      <c r="D115" s="197">
        <f>'Energy margins'!$L$12</f>
        <v>72</v>
      </c>
      <c r="E115" s="197">
        <f t="shared" ref="E115:E128" si="322">C115*D115</f>
        <v>799.19999999999982</v>
      </c>
      <c r="F115" s="197">
        <f>'Margins summary'!$S$14</f>
        <v>175.95</v>
      </c>
      <c r="G115" s="197">
        <f t="shared" si="281"/>
        <v>975.14999999999986</v>
      </c>
      <c r="H115" s="197"/>
      <c r="I115" s="918">
        <f>'Energy NPV'!U41</f>
        <v>506.67238399999997</v>
      </c>
      <c r="J115" s="197"/>
      <c r="K115" s="197">
        <f t="shared" si="282"/>
        <v>506.67238399999997</v>
      </c>
      <c r="L115" s="197">
        <f t="shared" si="271"/>
        <v>292.52761599999985</v>
      </c>
      <c r="M115" s="197">
        <f t="shared" si="272"/>
        <v>468.4776159999999</v>
      </c>
      <c r="N115" s="196">
        <f t="shared" si="283"/>
        <v>738.90532544378675</v>
      </c>
      <c r="O115" s="197">
        <f t="shared" si="284"/>
        <v>162.67566568047334</v>
      </c>
      <c r="P115" s="197">
        <f t="shared" si="285"/>
        <v>468.44710059171587</v>
      </c>
      <c r="Q115" s="197">
        <f t="shared" si="286"/>
        <v>270.45822485207083</v>
      </c>
      <c r="R115" s="199">
        <f t="shared" si="287"/>
        <v>433.13389053254423</v>
      </c>
      <c r="S115" s="196">
        <f t="shared" ref="S115:S128" si="323">S114+N115</f>
        <v>1053.8360946745561</v>
      </c>
      <c r="T115" s="197">
        <f t="shared" si="288"/>
        <v>507.80835798816565</v>
      </c>
      <c r="U115" s="197">
        <f t="shared" si="288"/>
        <v>3180.2428692071003</v>
      </c>
      <c r="V115" s="197">
        <f t="shared" si="288"/>
        <v>-2126.4067745325447</v>
      </c>
      <c r="W115" s="199">
        <f t="shared" si="288"/>
        <v>-1618.5984165443788</v>
      </c>
      <c r="X115" s="197"/>
      <c r="Z115" s="204">
        <f t="shared" ref="Z115:Z128" si="324">Z114+1</f>
        <v>3</v>
      </c>
      <c r="AA115" s="760">
        <f>'Energy NPV'!$D41</f>
        <v>11.099999999999998</v>
      </c>
      <c r="AB115" s="197">
        <f>'Energy margins'!$L$12</f>
        <v>72</v>
      </c>
      <c r="AC115" s="197">
        <f t="shared" ref="AC115:AC128" si="325">AA115*AB115</f>
        <v>799.19999999999982</v>
      </c>
      <c r="AD115" s="197">
        <f>'Margins summary'!$S$14</f>
        <v>175.95</v>
      </c>
      <c r="AE115" s="197">
        <f t="shared" si="289"/>
        <v>975.14999999999986</v>
      </c>
      <c r="AF115" s="197"/>
      <c r="AG115" s="918">
        <f>'Energy NPV'!U41</f>
        <v>506.67238399999997</v>
      </c>
      <c r="AH115" s="197"/>
      <c r="AI115" s="197">
        <f t="shared" si="290"/>
        <v>506.67238399999997</v>
      </c>
      <c r="AJ115" s="197">
        <f t="shared" si="273"/>
        <v>292.52761599999985</v>
      </c>
      <c r="AK115" s="197">
        <f t="shared" si="274"/>
        <v>468.4776159999999</v>
      </c>
      <c r="AL115" s="196">
        <f t="shared" si="291"/>
        <v>711.28515485938033</v>
      </c>
      <c r="AM115" s="197">
        <f t="shared" si="292"/>
        <v>156.5948736205055</v>
      </c>
      <c r="AN115" s="197">
        <f t="shared" si="293"/>
        <v>450.93661801352783</v>
      </c>
      <c r="AO115" s="197">
        <f t="shared" si="294"/>
        <v>260.34853684585244</v>
      </c>
      <c r="AP115" s="199">
        <f t="shared" si="295"/>
        <v>416.94341046635799</v>
      </c>
      <c r="AQ115" s="196">
        <f t="shared" ref="AQ115:AQ127" si="326">AQ114+AL115</f>
        <v>1021.088928444286</v>
      </c>
      <c r="AR115" s="197">
        <f t="shared" si="296"/>
        <v>498.53543965824133</v>
      </c>
      <c r="AS115" s="197">
        <f t="shared" si="296"/>
        <v>3153.5402171078676</v>
      </c>
      <c r="AT115" s="197">
        <f t="shared" si="296"/>
        <v>-2132.4512886635816</v>
      </c>
      <c r="AU115" s="199">
        <f t="shared" si="296"/>
        <v>-1633.9158490053399</v>
      </c>
      <c r="AV115" s="197"/>
      <c r="AX115" s="204">
        <f t="shared" ref="AX115:AX128" si="327">AX114+1</f>
        <v>3</v>
      </c>
      <c r="AY115" s="760">
        <f>'Energy NPV'!$D41</f>
        <v>11.099999999999998</v>
      </c>
      <c r="AZ115" s="197">
        <f>'Energy margins'!$L$12</f>
        <v>72</v>
      </c>
      <c r="BA115" s="197">
        <f t="shared" ref="BA115:BA128" si="328">AY115*AZ115</f>
        <v>799.19999999999982</v>
      </c>
      <c r="BB115" s="197">
        <f>'Margins summary'!$S$14</f>
        <v>175.95</v>
      </c>
      <c r="BC115" s="197">
        <f t="shared" si="297"/>
        <v>975.14999999999986</v>
      </c>
      <c r="BD115" s="197"/>
      <c r="BE115" s="918">
        <f>'Energy NPV'!U41</f>
        <v>506.67238399999997</v>
      </c>
      <c r="BF115" s="197"/>
      <c r="BG115" s="197">
        <f t="shared" si="298"/>
        <v>506.67238399999997</v>
      </c>
      <c r="BH115" s="197">
        <f t="shared" si="275"/>
        <v>292.52761599999985</v>
      </c>
      <c r="BI115" s="197">
        <f t="shared" si="276"/>
        <v>468.4776159999999</v>
      </c>
      <c r="BJ115" s="196">
        <f t="shared" si="299"/>
        <v>768.16608996539776</v>
      </c>
      <c r="BK115" s="197">
        <f t="shared" si="300"/>
        <v>169.11764705882351</v>
      </c>
      <c r="BL115" s="197">
        <f t="shared" si="301"/>
        <v>486.9976778162245</v>
      </c>
      <c r="BM115" s="197">
        <f t="shared" si="302"/>
        <v>281.16841214917326</v>
      </c>
      <c r="BN115" s="199">
        <f t="shared" si="303"/>
        <v>450.28605920799686</v>
      </c>
      <c r="BO115" s="196">
        <f t="shared" ref="BO115:BO128" si="329">BO114+BJ115</f>
        <v>1088.4249134948095</v>
      </c>
      <c r="BP115" s="197">
        <f t="shared" si="304"/>
        <v>517.56764705882347</v>
      </c>
      <c r="BQ115" s="197">
        <f t="shared" si="304"/>
        <v>3208.3460931887735</v>
      </c>
      <c r="BR115" s="197">
        <f t="shared" si="304"/>
        <v>-2119.9211796939644</v>
      </c>
      <c r="BS115" s="199">
        <f t="shared" si="304"/>
        <v>-1602.3535326351403</v>
      </c>
      <c r="BT115" s="197"/>
      <c r="BV115" s="204">
        <f t="shared" ref="BV115:BV128" si="330">BV114+1</f>
        <v>3</v>
      </c>
      <c r="BW115" s="760">
        <f>'Energy NPV'!$D41</f>
        <v>11.099999999999998</v>
      </c>
      <c r="BX115" s="197">
        <f>'Energy margins'!$L$12</f>
        <v>72</v>
      </c>
      <c r="BY115" s="197">
        <f t="shared" ref="BY115:BY128" si="331">BW115*BX115</f>
        <v>799.19999999999982</v>
      </c>
      <c r="BZ115" s="197">
        <f>'Margins summary'!$S$14</f>
        <v>175.95</v>
      </c>
      <c r="CA115" s="197">
        <f t="shared" si="305"/>
        <v>975.14999999999986</v>
      </c>
      <c r="CB115" s="197"/>
      <c r="CC115" s="918">
        <f>'Energy NPV'!U41</f>
        <v>506.67238399999997</v>
      </c>
      <c r="CD115" s="197"/>
      <c r="CE115" s="197">
        <f t="shared" si="306"/>
        <v>506.67238399999997</v>
      </c>
      <c r="CF115" s="197">
        <f t="shared" si="277"/>
        <v>292.52761599999985</v>
      </c>
      <c r="CG115" s="197">
        <f t="shared" si="278"/>
        <v>468.4776159999999</v>
      </c>
      <c r="CH115" s="196">
        <f t="shared" si="307"/>
        <v>685.18518518518499</v>
      </c>
      <c r="CI115" s="197">
        <f t="shared" si="308"/>
        <v>150.84876543209873</v>
      </c>
      <c r="CJ115" s="197">
        <f t="shared" si="309"/>
        <v>434.38990397805208</v>
      </c>
      <c r="CK115" s="197">
        <f t="shared" si="310"/>
        <v>250.79528120713292</v>
      </c>
      <c r="CL115" s="199">
        <f t="shared" si="311"/>
        <v>401.6440466392317</v>
      </c>
      <c r="CM115" s="196">
        <f t="shared" ref="CM115:CM128" si="332">CM114+CH115</f>
        <v>990.05185185185167</v>
      </c>
      <c r="CN115" s="197">
        <f t="shared" si="312"/>
        <v>489.7154320987654</v>
      </c>
      <c r="CO115" s="197">
        <f t="shared" si="312"/>
        <v>3128.1417842743485</v>
      </c>
      <c r="CP115" s="197">
        <f t="shared" si="312"/>
        <v>-2138.0899324224965</v>
      </c>
      <c r="CQ115" s="199">
        <f t="shared" si="312"/>
        <v>-1648.3745003237311</v>
      </c>
      <c r="CR115" s="197"/>
      <c r="CT115" s="204">
        <f t="shared" ref="CT115:CT128" si="333">CT114+1</f>
        <v>3</v>
      </c>
      <c r="CU115" s="760">
        <f>'Energy NPV'!$D41</f>
        <v>11.099999999999998</v>
      </c>
      <c r="CV115" s="197">
        <f>'Energy margins'!$L$12</f>
        <v>72</v>
      </c>
      <c r="CW115" s="197">
        <f t="shared" ref="CW115:CW128" si="334">CU115*CV115</f>
        <v>799.19999999999982</v>
      </c>
      <c r="CX115" s="197">
        <f>'Margins summary'!$S$14</f>
        <v>175.95</v>
      </c>
      <c r="CY115" s="197">
        <f t="shared" si="313"/>
        <v>975.14999999999986</v>
      </c>
      <c r="CZ115" s="197"/>
      <c r="DA115" s="918">
        <f>'Energy NPV'!U41</f>
        <v>506.67238399999997</v>
      </c>
      <c r="DB115" s="197"/>
      <c r="DC115" s="197">
        <f t="shared" si="314"/>
        <v>506.67238399999997</v>
      </c>
      <c r="DD115" s="197">
        <f t="shared" si="279"/>
        <v>292.52761599999985</v>
      </c>
      <c r="DE115" s="197">
        <f t="shared" si="280"/>
        <v>468.4776159999999</v>
      </c>
      <c r="DF115" s="196">
        <f t="shared" si="315"/>
        <v>799.19999999999982</v>
      </c>
      <c r="DG115" s="197">
        <f t="shared" si="316"/>
        <v>175.95</v>
      </c>
      <c r="DH115" s="197">
        <f t="shared" si="317"/>
        <v>506.67238399999997</v>
      </c>
      <c r="DI115" s="197">
        <f t="shared" si="318"/>
        <v>292.52761599999985</v>
      </c>
      <c r="DJ115" s="199">
        <f t="shared" si="319"/>
        <v>468.4776159999999</v>
      </c>
      <c r="DK115" s="196">
        <f t="shared" ref="DK115:DK128" si="335">DK114+DF115</f>
        <v>1124.9999999999998</v>
      </c>
      <c r="DL115" s="197">
        <f t="shared" si="320"/>
        <v>527.84999999999991</v>
      </c>
      <c r="DM115" s="197">
        <f t="shared" si="320"/>
        <v>3237.9555519999999</v>
      </c>
      <c r="DN115" s="197">
        <f t="shared" si="320"/>
        <v>-2112.9555520000004</v>
      </c>
      <c r="DO115" s="199">
        <f t="shared" si="320"/>
        <v>-1585.1055519999998</v>
      </c>
    </row>
    <row r="116" spans="2:119" x14ac:dyDescent="0.3">
      <c r="B116" s="204">
        <f t="shared" si="321"/>
        <v>4</v>
      </c>
      <c r="C116" s="760">
        <f>'Energy NPV'!$D42</f>
        <v>12.54</v>
      </c>
      <c r="D116" s="197">
        <f>'Energy margins'!$L$12</f>
        <v>72</v>
      </c>
      <c r="E116" s="197">
        <f t="shared" si="322"/>
        <v>902.87999999999988</v>
      </c>
      <c r="F116" s="197">
        <f>'Margins summary'!$S$14</f>
        <v>175.95</v>
      </c>
      <c r="G116" s="197">
        <f t="shared" si="281"/>
        <v>1078.83</v>
      </c>
      <c r="H116" s="197"/>
      <c r="I116" s="918">
        <f>'Energy NPV'!U42</f>
        <v>393.31078400000001</v>
      </c>
      <c r="J116" s="197"/>
      <c r="K116" s="197">
        <f t="shared" si="282"/>
        <v>393.31078400000001</v>
      </c>
      <c r="L116" s="197">
        <f t="shared" si="271"/>
        <v>509.56921599999987</v>
      </c>
      <c r="M116" s="197">
        <f t="shared" si="272"/>
        <v>685.51921599999991</v>
      </c>
      <c r="N116" s="196">
        <f t="shared" si="283"/>
        <v>802.65703231679549</v>
      </c>
      <c r="O116" s="197">
        <f t="shared" si="284"/>
        <v>156.41890930814745</v>
      </c>
      <c r="P116" s="197">
        <f t="shared" si="285"/>
        <v>349.65185480200273</v>
      </c>
      <c r="Q116" s="197">
        <f t="shared" si="286"/>
        <v>453.00517751479276</v>
      </c>
      <c r="R116" s="199">
        <f t="shared" si="287"/>
        <v>609.42408682294024</v>
      </c>
      <c r="S116" s="196">
        <f t="shared" si="323"/>
        <v>1856.4931269913516</v>
      </c>
      <c r="T116" s="197">
        <f t="shared" si="288"/>
        <v>664.22726729631313</v>
      </c>
      <c r="U116" s="197">
        <f t="shared" si="288"/>
        <v>3529.8947240091029</v>
      </c>
      <c r="V116" s="197">
        <f t="shared" si="288"/>
        <v>-1673.401597017752</v>
      </c>
      <c r="W116" s="199">
        <f t="shared" si="288"/>
        <v>-1009.1743297214385</v>
      </c>
      <c r="X116" s="197"/>
      <c r="Z116" s="204">
        <f t="shared" si="324"/>
        <v>4</v>
      </c>
      <c r="AA116" s="760">
        <f>'Energy NPV'!$D42</f>
        <v>12.54</v>
      </c>
      <c r="AB116" s="197">
        <f>'Energy margins'!$L$12</f>
        <v>72</v>
      </c>
      <c r="AC116" s="197">
        <f t="shared" si="325"/>
        <v>902.87999999999988</v>
      </c>
      <c r="AD116" s="197">
        <f>'Margins summary'!$S$14</f>
        <v>175.95</v>
      </c>
      <c r="AE116" s="197">
        <f t="shared" si="289"/>
        <v>1078.83</v>
      </c>
      <c r="AF116" s="197"/>
      <c r="AG116" s="918">
        <f>'Energy NPV'!U42</f>
        <v>393.31078400000001</v>
      </c>
      <c r="AH116" s="197"/>
      <c r="AI116" s="197">
        <f t="shared" si="290"/>
        <v>393.31078400000001</v>
      </c>
      <c r="AJ116" s="197">
        <f t="shared" si="273"/>
        <v>509.56921599999987</v>
      </c>
      <c r="AK116" s="197">
        <f t="shared" si="274"/>
        <v>685.51921599999991</v>
      </c>
      <c r="AL116" s="196">
        <f t="shared" si="291"/>
        <v>758.07545826420437</v>
      </c>
      <c r="AM116" s="197">
        <f t="shared" si="292"/>
        <v>147.73101284953347</v>
      </c>
      <c r="AN116" s="197">
        <f t="shared" si="293"/>
        <v>330.23131847095249</v>
      </c>
      <c r="AO116" s="197">
        <f t="shared" si="294"/>
        <v>427.84413979325194</v>
      </c>
      <c r="AP116" s="199">
        <f t="shared" si="295"/>
        <v>575.5751526427855</v>
      </c>
      <c r="AQ116" s="196">
        <f t="shared" si="326"/>
        <v>1779.1643867084904</v>
      </c>
      <c r="AR116" s="197">
        <f t="shared" si="296"/>
        <v>646.26645250777483</v>
      </c>
      <c r="AS116" s="197">
        <f t="shared" si="296"/>
        <v>3483.77153557882</v>
      </c>
      <c r="AT116" s="197">
        <f t="shared" si="296"/>
        <v>-1704.6071488703296</v>
      </c>
      <c r="AU116" s="199">
        <f t="shared" si="296"/>
        <v>-1058.3406963625544</v>
      </c>
      <c r="AV116" s="197"/>
      <c r="AX116" s="204">
        <f t="shared" si="327"/>
        <v>4</v>
      </c>
      <c r="AY116" s="760">
        <f>'Energy NPV'!$D42</f>
        <v>12.54</v>
      </c>
      <c r="AZ116" s="197">
        <f>'Energy margins'!$L$12</f>
        <v>72</v>
      </c>
      <c r="BA116" s="197">
        <f t="shared" si="328"/>
        <v>902.87999999999988</v>
      </c>
      <c r="BB116" s="197">
        <f>'Margins summary'!$S$14</f>
        <v>175.95</v>
      </c>
      <c r="BC116" s="197">
        <f t="shared" si="297"/>
        <v>1078.83</v>
      </c>
      <c r="BD116" s="197"/>
      <c r="BE116" s="918">
        <f>'Energy NPV'!U42</f>
        <v>393.31078400000001</v>
      </c>
      <c r="BF116" s="197"/>
      <c r="BG116" s="197">
        <f t="shared" si="298"/>
        <v>393.31078400000001</v>
      </c>
      <c r="BH116" s="197">
        <f t="shared" si="275"/>
        <v>509.56921599999987</v>
      </c>
      <c r="BI116" s="197">
        <f t="shared" si="276"/>
        <v>685.51921599999991</v>
      </c>
      <c r="BJ116" s="196">
        <f t="shared" si="299"/>
        <v>850.80398941583553</v>
      </c>
      <c r="BK116" s="197">
        <f t="shared" si="300"/>
        <v>165.80161476355249</v>
      </c>
      <c r="BL116" s="197">
        <f t="shared" si="301"/>
        <v>370.62553618140839</v>
      </c>
      <c r="BM116" s="197">
        <f t="shared" si="302"/>
        <v>480.17845323442708</v>
      </c>
      <c r="BN116" s="199">
        <f t="shared" si="303"/>
        <v>645.98006799797963</v>
      </c>
      <c r="BO116" s="196">
        <f t="shared" si="329"/>
        <v>1939.228902910645</v>
      </c>
      <c r="BP116" s="197">
        <f t="shared" si="304"/>
        <v>683.36926182237596</v>
      </c>
      <c r="BQ116" s="197">
        <f t="shared" si="304"/>
        <v>3578.9716293701817</v>
      </c>
      <c r="BR116" s="197">
        <f t="shared" si="304"/>
        <v>-1639.7427264595374</v>
      </c>
      <c r="BS116" s="199">
        <f t="shared" si="304"/>
        <v>-956.37346463716062</v>
      </c>
      <c r="BT116" s="197"/>
      <c r="BV116" s="204">
        <f t="shared" si="330"/>
        <v>4</v>
      </c>
      <c r="BW116" s="760">
        <f>'Energy NPV'!$D42</f>
        <v>12.54</v>
      </c>
      <c r="BX116" s="197">
        <f>'Energy margins'!$L$12</f>
        <v>72</v>
      </c>
      <c r="BY116" s="197">
        <f t="shared" si="331"/>
        <v>902.87999999999988</v>
      </c>
      <c r="BZ116" s="197">
        <f>'Margins summary'!$S$14</f>
        <v>175.95</v>
      </c>
      <c r="CA116" s="197">
        <f t="shared" si="305"/>
        <v>1078.83</v>
      </c>
      <c r="CB116" s="197"/>
      <c r="CC116" s="918">
        <f>'Energy NPV'!U42</f>
        <v>393.31078400000001</v>
      </c>
      <c r="CD116" s="197"/>
      <c r="CE116" s="197">
        <f t="shared" si="306"/>
        <v>393.31078400000001</v>
      </c>
      <c r="CF116" s="197">
        <f t="shared" si="277"/>
        <v>509.56921599999987</v>
      </c>
      <c r="CG116" s="197">
        <f t="shared" si="278"/>
        <v>685.51921599999991</v>
      </c>
      <c r="CH116" s="196">
        <f t="shared" si="307"/>
        <v>716.73525377229066</v>
      </c>
      <c r="CI116" s="197">
        <f t="shared" si="308"/>
        <v>139.67478280749884</v>
      </c>
      <c r="CJ116" s="197">
        <f t="shared" si="309"/>
        <v>312.22278108011989</v>
      </c>
      <c r="CK116" s="197">
        <f t="shared" si="310"/>
        <v>404.51247269217077</v>
      </c>
      <c r="CL116" s="199">
        <f t="shared" si="311"/>
        <v>544.18725549966962</v>
      </c>
      <c r="CM116" s="196">
        <f t="shared" si="332"/>
        <v>1706.7871056241424</v>
      </c>
      <c r="CN116" s="197">
        <f t="shared" si="312"/>
        <v>629.39021490626419</v>
      </c>
      <c r="CO116" s="197">
        <f t="shared" si="312"/>
        <v>3440.3645653544686</v>
      </c>
      <c r="CP116" s="197">
        <f t="shared" si="312"/>
        <v>-1733.5774597303257</v>
      </c>
      <c r="CQ116" s="199">
        <f t="shared" si="312"/>
        <v>-1104.1872448240615</v>
      </c>
      <c r="CR116" s="197"/>
      <c r="CT116" s="204">
        <f t="shared" si="333"/>
        <v>4</v>
      </c>
      <c r="CU116" s="760">
        <f>'Energy NPV'!$D42</f>
        <v>12.54</v>
      </c>
      <c r="CV116" s="197">
        <f>'Energy margins'!$L$12</f>
        <v>72</v>
      </c>
      <c r="CW116" s="197">
        <f t="shared" si="334"/>
        <v>902.87999999999988</v>
      </c>
      <c r="CX116" s="197">
        <f>'Margins summary'!$S$14</f>
        <v>175.95</v>
      </c>
      <c r="CY116" s="197">
        <f t="shared" si="313"/>
        <v>1078.83</v>
      </c>
      <c r="CZ116" s="197"/>
      <c r="DA116" s="918">
        <f>'Energy NPV'!U42</f>
        <v>393.31078400000001</v>
      </c>
      <c r="DB116" s="197"/>
      <c r="DC116" s="197">
        <f t="shared" si="314"/>
        <v>393.31078400000001</v>
      </c>
      <c r="DD116" s="197">
        <f t="shared" si="279"/>
        <v>509.56921599999987</v>
      </c>
      <c r="DE116" s="197">
        <f t="shared" si="280"/>
        <v>685.51921599999991</v>
      </c>
      <c r="DF116" s="196">
        <f t="shared" si="315"/>
        <v>902.87999999999988</v>
      </c>
      <c r="DG116" s="197">
        <f t="shared" si="316"/>
        <v>175.95</v>
      </c>
      <c r="DH116" s="197">
        <f t="shared" si="317"/>
        <v>393.31078400000001</v>
      </c>
      <c r="DI116" s="197">
        <f t="shared" si="318"/>
        <v>509.56921599999987</v>
      </c>
      <c r="DJ116" s="199">
        <f t="shared" si="319"/>
        <v>685.51921599999991</v>
      </c>
      <c r="DK116" s="196">
        <f t="shared" si="335"/>
        <v>2027.8799999999997</v>
      </c>
      <c r="DL116" s="197">
        <f t="shared" si="320"/>
        <v>703.8</v>
      </c>
      <c r="DM116" s="197">
        <f t="shared" si="320"/>
        <v>3631.2663359999997</v>
      </c>
      <c r="DN116" s="197">
        <f t="shared" si="320"/>
        <v>-1603.3863360000005</v>
      </c>
      <c r="DO116" s="199">
        <f t="shared" si="320"/>
        <v>-899.58633599999985</v>
      </c>
    </row>
    <row r="117" spans="2:119" x14ac:dyDescent="0.3">
      <c r="B117" s="204">
        <f t="shared" si="321"/>
        <v>5</v>
      </c>
      <c r="C117" s="760">
        <f>'Energy NPV'!$D43</f>
        <v>12.54</v>
      </c>
      <c r="D117" s="197">
        <f>'Energy margins'!$L$12</f>
        <v>72</v>
      </c>
      <c r="E117" s="197">
        <f t="shared" si="322"/>
        <v>902.87999999999988</v>
      </c>
      <c r="F117" s="197">
        <f>'Margins summary'!$S$14</f>
        <v>175.95</v>
      </c>
      <c r="G117" s="197">
        <f t="shared" si="281"/>
        <v>1078.83</v>
      </c>
      <c r="H117" s="197"/>
      <c r="I117" s="918">
        <f>'Energy NPV'!U43</f>
        <v>393.31078400000001</v>
      </c>
      <c r="J117" s="197"/>
      <c r="K117" s="197">
        <f t="shared" si="282"/>
        <v>393.31078400000001</v>
      </c>
      <c r="L117" s="197">
        <f t="shared" si="271"/>
        <v>509.56921599999987</v>
      </c>
      <c r="M117" s="197">
        <f t="shared" si="272"/>
        <v>685.51921599999991</v>
      </c>
      <c r="N117" s="196">
        <f t="shared" si="283"/>
        <v>771.78560799691866</v>
      </c>
      <c r="O117" s="197">
        <f t="shared" si="284"/>
        <v>150.40279741168024</v>
      </c>
      <c r="P117" s="197">
        <f t="shared" si="285"/>
        <v>336.2037065403872</v>
      </c>
      <c r="Q117" s="197">
        <f t="shared" si="286"/>
        <v>435.58190145653145</v>
      </c>
      <c r="R117" s="199">
        <f t="shared" si="287"/>
        <v>585.98469886821169</v>
      </c>
      <c r="S117" s="196">
        <f t="shared" si="323"/>
        <v>2628.2787349882701</v>
      </c>
      <c r="T117" s="197">
        <f t="shared" si="288"/>
        <v>814.63006470799337</v>
      </c>
      <c r="U117" s="197">
        <f t="shared" si="288"/>
        <v>3866.0984305494903</v>
      </c>
      <c r="V117" s="197">
        <f t="shared" si="288"/>
        <v>-1237.8196955612207</v>
      </c>
      <c r="W117" s="199">
        <f t="shared" si="288"/>
        <v>-423.18963085322684</v>
      </c>
      <c r="X117" s="197"/>
      <c r="Z117" s="204">
        <f t="shared" si="324"/>
        <v>5</v>
      </c>
      <c r="AA117" s="760">
        <f>'Energy NPV'!$D43</f>
        <v>12.54</v>
      </c>
      <c r="AB117" s="197">
        <f>'Energy margins'!$L$12</f>
        <v>72</v>
      </c>
      <c r="AC117" s="197">
        <f t="shared" si="325"/>
        <v>902.87999999999988</v>
      </c>
      <c r="AD117" s="197">
        <f>'Margins summary'!$S$14</f>
        <v>175.95</v>
      </c>
      <c r="AE117" s="197">
        <f t="shared" si="289"/>
        <v>1078.83</v>
      </c>
      <c r="AF117" s="197"/>
      <c r="AG117" s="918">
        <f>'Energy NPV'!U43</f>
        <v>393.31078400000001</v>
      </c>
      <c r="AH117" s="197"/>
      <c r="AI117" s="197">
        <f t="shared" si="290"/>
        <v>393.31078400000001</v>
      </c>
      <c r="AJ117" s="197">
        <f t="shared" si="273"/>
        <v>509.56921599999987</v>
      </c>
      <c r="AK117" s="197">
        <f t="shared" si="274"/>
        <v>685.51921599999991</v>
      </c>
      <c r="AL117" s="196">
        <f t="shared" si="291"/>
        <v>715.16552666434382</v>
      </c>
      <c r="AM117" s="197">
        <f t="shared" si="292"/>
        <v>139.36888004672969</v>
      </c>
      <c r="AN117" s="197">
        <f t="shared" si="293"/>
        <v>311.53897968957779</v>
      </c>
      <c r="AO117" s="197">
        <f t="shared" si="294"/>
        <v>403.62654697476597</v>
      </c>
      <c r="AP117" s="199">
        <f t="shared" si="295"/>
        <v>542.99542702149574</v>
      </c>
      <c r="AQ117" s="196">
        <f t="shared" si="326"/>
        <v>2494.3299133728342</v>
      </c>
      <c r="AR117" s="197">
        <f t="shared" si="296"/>
        <v>785.63533255450454</v>
      </c>
      <c r="AS117" s="197">
        <f t="shared" si="296"/>
        <v>3795.3105152683979</v>
      </c>
      <c r="AT117" s="197">
        <f t="shared" si="296"/>
        <v>-1300.9806018955637</v>
      </c>
      <c r="AU117" s="199">
        <f t="shared" si="296"/>
        <v>-515.34526934105861</v>
      </c>
      <c r="AV117" s="197"/>
      <c r="AX117" s="204">
        <f t="shared" si="327"/>
        <v>5</v>
      </c>
      <c r="AY117" s="760">
        <f>'Energy NPV'!$D43</f>
        <v>12.54</v>
      </c>
      <c r="AZ117" s="197">
        <f>'Energy margins'!$L$12</f>
        <v>72</v>
      </c>
      <c r="BA117" s="197">
        <f t="shared" si="328"/>
        <v>902.87999999999988</v>
      </c>
      <c r="BB117" s="197">
        <f>'Margins summary'!$S$14</f>
        <v>175.95</v>
      </c>
      <c r="BC117" s="197">
        <f t="shared" si="297"/>
        <v>1078.83</v>
      </c>
      <c r="BD117" s="197"/>
      <c r="BE117" s="918">
        <f>'Energy NPV'!U43</f>
        <v>393.31078400000001</v>
      </c>
      <c r="BF117" s="197"/>
      <c r="BG117" s="197">
        <f t="shared" si="298"/>
        <v>393.31078400000001</v>
      </c>
      <c r="BH117" s="197">
        <f t="shared" si="275"/>
        <v>509.56921599999987</v>
      </c>
      <c r="BI117" s="197">
        <f t="shared" si="276"/>
        <v>685.51921599999991</v>
      </c>
      <c r="BJ117" s="196">
        <f t="shared" si="299"/>
        <v>834.12155825081902</v>
      </c>
      <c r="BK117" s="197">
        <f t="shared" si="300"/>
        <v>162.55060270936517</v>
      </c>
      <c r="BL117" s="197">
        <f t="shared" si="301"/>
        <v>363.35836880530235</v>
      </c>
      <c r="BM117" s="197">
        <f t="shared" si="302"/>
        <v>470.76318944551673</v>
      </c>
      <c r="BN117" s="199">
        <f t="shared" si="303"/>
        <v>633.31379215488198</v>
      </c>
      <c r="BO117" s="196">
        <f t="shared" si="329"/>
        <v>2773.350461161464</v>
      </c>
      <c r="BP117" s="197">
        <f t="shared" si="304"/>
        <v>845.91986453174115</v>
      </c>
      <c r="BQ117" s="197">
        <f t="shared" si="304"/>
        <v>3942.329998175484</v>
      </c>
      <c r="BR117" s="197">
        <f t="shared" si="304"/>
        <v>-1168.9795370140207</v>
      </c>
      <c r="BS117" s="199">
        <f t="shared" si="304"/>
        <v>-323.05967248227864</v>
      </c>
      <c r="BT117" s="197"/>
      <c r="BV117" s="204">
        <f t="shared" si="330"/>
        <v>5</v>
      </c>
      <c r="BW117" s="760">
        <f>'Energy NPV'!$D43</f>
        <v>12.54</v>
      </c>
      <c r="BX117" s="197">
        <f>'Energy margins'!$L$12</f>
        <v>72</v>
      </c>
      <c r="BY117" s="197">
        <f t="shared" si="331"/>
        <v>902.87999999999988</v>
      </c>
      <c r="BZ117" s="197">
        <f>'Margins summary'!$S$14</f>
        <v>175.95</v>
      </c>
      <c r="CA117" s="197">
        <f t="shared" si="305"/>
        <v>1078.83</v>
      </c>
      <c r="CB117" s="197"/>
      <c r="CC117" s="918">
        <f>'Energy NPV'!U43</f>
        <v>393.31078400000001</v>
      </c>
      <c r="CD117" s="197"/>
      <c r="CE117" s="197">
        <f t="shared" si="306"/>
        <v>393.31078400000001</v>
      </c>
      <c r="CF117" s="197">
        <f t="shared" si="277"/>
        <v>509.56921599999987</v>
      </c>
      <c r="CG117" s="197">
        <f t="shared" si="278"/>
        <v>685.51921599999991</v>
      </c>
      <c r="CH117" s="196">
        <f t="shared" si="307"/>
        <v>663.64375349286161</v>
      </c>
      <c r="CI117" s="197">
        <f t="shared" si="308"/>
        <v>129.32850259953594</v>
      </c>
      <c r="CJ117" s="197">
        <f t="shared" si="309"/>
        <v>289.09516766677763</v>
      </c>
      <c r="CK117" s="197">
        <f t="shared" si="310"/>
        <v>374.54858582608398</v>
      </c>
      <c r="CL117" s="199">
        <f t="shared" si="311"/>
        <v>503.87708842562</v>
      </c>
      <c r="CM117" s="196">
        <f t="shared" si="332"/>
        <v>2370.4308591170038</v>
      </c>
      <c r="CN117" s="197">
        <f t="shared" si="312"/>
        <v>758.7187175058001</v>
      </c>
      <c r="CO117" s="197">
        <f t="shared" si="312"/>
        <v>3729.4597330212464</v>
      </c>
      <c r="CP117" s="197">
        <f t="shared" si="312"/>
        <v>-1359.0288739042417</v>
      </c>
      <c r="CQ117" s="199">
        <f t="shared" si="312"/>
        <v>-600.31015639844145</v>
      </c>
      <c r="CR117" s="197"/>
      <c r="CT117" s="204">
        <f t="shared" si="333"/>
        <v>5</v>
      </c>
      <c r="CU117" s="760">
        <f>'Energy NPV'!$D43</f>
        <v>12.54</v>
      </c>
      <c r="CV117" s="197">
        <f>'Energy margins'!$L$12</f>
        <v>72</v>
      </c>
      <c r="CW117" s="197">
        <f t="shared" si="334"/>
        <v>902.87999999999988</v>
      </c>
      <c r="CX117" s="197">
        <f>'Margins summary'!$S$14</f>
        <v>175.95</v>
      </c>
      <c r="CY117" s="197">
        <f t="shared" si="313"/>
        <v>1078.83</v>
      </c>
      <c r="CZ117" s="197"/>
      <c r="DA117" s="918">
        <f>'Energy NPV'!U43</f>
        <v>393.31078400000001</v>
      </c>
      <c r="DB117" s="197"/>
      <c r="DC117" s="197">
        <f t="shared" si="314"/>
        <v>393.31078400000001</v>
      </c>
      <c r="DD117" s="197">
        <f t="shared" si="279"/>
        <v>509.56921599999987</v>
      </c>
      <c r="DE117" s="197">
        <f t="shared" si="280"/>
        <v>685.51921599999991</v>
      </c>
      <c r="DF117" s="196">
        <f t="shared" si="315"/>
        <v>902.87999999999988</v>
      </c>
      <c r="DG117" s="197">
        <f t="shared" si="316"/>
        <v>175.95</v>
      </c>
      <c r="DH117" s="197">
        <f t="shared" si="317"/>
        <v>393.31078400000001</v>
      </c>
      <c r="DI117" s="197">
        <f t="shared" si="318"/>
        <v>509.56921599999987</v>
      </c>
      <c r="DJ117" s="199">
        <f t="shared" si="319"/>
        <v>685.51921599999991</v>
      </c>
      <c r="DK117" s="196">
        <f t="shared" si="335"/>
        <v>2930.7599999999993</v>
      </c>
      <c r="DL117" s="197">
        <f t="shared" si="320"/>
        <v>879.75</v>
      </c>
      <c r="DM117" s="197">
        <f t="shared" si="320"/>
        <v>4024.5771199999999</v>
      </c>
      <c r="DN117" s="197">
        <f t="shared" si="320"/>
        <v>-1093.8171200000006</v>
      </c>
      <c r="DO117" s="199">
        <f t="shared" si="320"/>
        <v>-214.06711999999993</v>
      </c>
    </row>
    <row r="118" spans="2:119" x14ac:dyDescent="0.3">
      <c r="B118" s="204">
        <f t="shared" si="321"/>
        <v>6</v>
      </c>
      <c r="C118" s="760">
        <f>'Energy NPV'!$D44</f>
        <v>12.54</v>
      </c>
      <c r="D118" s="197">
        <f>'Energy margins'!$L$12</f>
        <v>72</v>
      </c>
      <c r="E118" s="197">
        <f t="shared" si="322"/>
        <v>902.87999999999988</v>
      </c>
      <c r="F118" s="197">
        <f>'Margins summary'!$S$14</f>
        <v>175.95</v>
      </c>
      <c r="G118" s="197">
        <f t="shared" si="281"/>
        <v>1078.83</v>
      </c>
      <c r="H118" s="197"/>
      <c r="I118" s="918">
        <f>'Energy NPV'!U44</f>
        <v>393.31078400000001</v>
      </c>
      <c r="J118" s="197"/>
      <c r="K118" s="197">
        <f t="shared" si="282"/>
        <v>393.31078400000001</v>
      </c>
      <c r="L118" s="197">
        <f t="shared" si="271"/>
        <v>509.56921599999987</v>
      </c>
      <c r="M118" s="197">
        <f t="shared" si="272"/>
        <v>685.51921599999991</v>
      </c>
      <c r="N118" s="196">
        <f t="shared" si="283"/>
        <v>742.10154615088322</v>
      </c>
      <c r="O118" s="197">
        <f t="shared" si="284"/>
        <v>144.61807443430789</v>
      </c>
      <c r="P118" s="197">
        <f t="shared" si="285"/>
        <v>323.27279475037227</v>
      </c>
      <c r="Q118" s="197">
        <f t="shared" si="286"/>
        <v>418.82875140051095</v>
      </c>
      <c r="R118" s="199">
        <f t="shared" si="287"/>
        <v>563.44682583481892</v>
      </c>
      <c r="S118" s="196">
        <f t="shared" si="323"/>
        <v>3370.3802811391533</v>
      </c>
      <c r="T118" s="197">
        <f t="shared" si="288"/>
        <v>959.24813914230128</v>
      </c>
      <c r="U118" s="197">
        <f t="shared" si="288"/>
        <v>4189.371225299863</v>
      </c>
      <c r="V118" s="197">
        <f t="shared" si="288"/>
        <v>-818.99094416070966</v>
      </c>
      <c r="W118" s="199">
        <f t="shared" si="288"/>
        <v>140.25719498159208</v>
      </c>
      <c r="X118" s="197"/>
      <c r="Z118" s="204">
        <f t="shared" si="324"/>
        <v>6</v>
      </c>
      <c r="AA118" s="760">
        <f>'Energy NPV'!$D44</f>
        <v>12.54</v>
      </c>
      <c r="AB118" s="197">
        <f>'Energy margins'!$L$12</f>
        <v>72</v>
      </c>
      <c r="AC118" s="197">
        <f t="shared" si="325"/>
        <v>902.87999999999988</v>
      </c>
      <c r="AD118" s="197">
        <f>'Margins summary'!$S$14</f>
        <v>175.95</v>
      </c>
      <c r="AE118" s="197">
        <f t="shared" si="289"/>
        <v>1078.83</v>
      </c>
      <c r="AF118" s="197"/>
      <c r="AG118" s="918">
        <f>'Energy NPV'!U44</f>
        <v>393.31078400000001</v>
      </c>
      <c r="AH118" s="197"/>
      <c r="AI118" s="197">
        <f t="shared" si="290"/>
        <v>393.31078400000001</v>
      </c>
      <c r="AJ118" s="197">
        <f t="shared" si="273"/>
        <v>509.56921599999987</v>
      </c>
      <c r="AK118" s="197">
        <f t="shared" si="274"/>
        <v>685.51921599999991</v>
      </c>
      <c r="AL118" s="196">
        <f t="shared" si="291"/>
        <v>674.68445911730532</v>
      </c>
      <c r="AM118" s="197">
        <f t="shared" si="292"/>
        <v>131.48007551578272</v>
      </c>
      <c r="AN118" s="197">
        <f t="shared" si="293"/>
        <v>293.90469782035638</v>
      </c>
      <c r="AO118" s="197">
        <f t="shared" si="294"/>
        <v>380.779761296949</v>
      </c>
      <c r="AP118" s="199">
        <f t="shared" si="295"/>
        <v>512.25983681273169</v>
      </c>
      <c r="AQ118" s="196">
        <f t="shared" si="326"/>
        <v>3169.0143724901395</v>
      </c>
      <c r="AR118" s="197">
        <f t="shared" si="296"/>
        <v>917.11540807028723</v>
      </c>
      <c r="AS118" s="197">
        <f t="shared" si="296"/>
        <v>4089.2152130887544</v>
      </c>
      <c r="AT118" s="197">
        <f t="shared" si="296"/>
        <v>-920.20084059861472</v>
      </c>
      <c r="AU118" s="199">
        <f t="shared" si="296"/>
        <v>-3.0854325283269191</v>
      </c>
      <c r="AV118" s="197"/>
      <c r="AX118" s="204">
        <f t="shared" si="327"/>
        <v>6</v>
      </c>
      <c r="AY118" s="760">
        <f>'Energy NPV'!$D44</f>
        <v>12.54</v>
      </c>
      <c r="AZ118" s="197">
        <f>'Energy margins'!$L$12</f>
        <v>72</v>
      </c>
      <c r="BA118" s="197">
        <f t="shared" si="328"/>
        <v>902.87999999999988</v>
      </c>
      <c r="BB118" s="197">
        <f>'Margins summary'!$S$14</f>
        <v>175.95</v>
      </c>
      <c r="BC118" s="197">
        <f t="shared" si="297"/>
        <v>1078.83</v>
      </c>
      <c r="BD118" s="197"/>
      <c r="BE118" s="918">
        <f>'Energy NPV'!U44</f>
        <v>393.31078400000001</v>
      </c>
      <c r="BF118" s="197"/>
      <c r="BG118" s="197">
        <f t="shared" si="298"/>
        <v>393.31078400000001</v>
      </c>
      <c r="BH118" s="197">
        <f t="shared" si="275"/>
        <v>509.56921599999987</v>
      </c>
      <c r="BI118" s="197">
        <f t="shared" si="276"/>
        <v>685.51921599999991</v>
      </c>
      <c r="BJ118" s="196">
        <f t="shared" si="299"/>
        <v>817.76623357923438</v>
      </c>
      <c r="BK118" s="197">
        <f t="shared" si="300"/>
        <v>159.3633359895737</v>
      </c>
      <c r="BL118" s="197">
        <f t="shared" si="301"/>
        <v>356.23369490715913</v>
      </c>
      <c r="BM118" s="197">
        <f t="shared" si="302"/>
        <v>461.53253867207519</v>
      </c>
      <c r="BN118" s="199">
        <f t="shared" si="303"/>
        <v>620.89587466164892</v>
      </c>
      <c r="BO118" s="196">
        <f t="shared" si="329"/>
        <v>3591.1166947406982</v>
      </c>
      <c r="BP118" s="197">
        <f t="shared" si="304"/>
        <v>1005.2832005213148</v>
      </c>
      <c r="BQ118" s="197">
        <f t="shared" si="304"/>
        <v>4298.5636930826431</v>
      </c>
      <c r="BR118" s="197">
        <f t="shared" si="304"/>
        <v>-707.44699834194557</v>
      </c>
      <c r="BS118" s="199">
        <f t="shared" si="304"/>
        <v>297.83620217937028</v>
      </c>
      <c r="BT118" s="197"/>
      <c r="BV118" s="204">
        <f t="shared" si="330"/>
        <v>6</v>
      </c>
      <c r="BW118" s="760">
        <f>'Energy NPV'!$D44</f>
        <v>12.54</v>
      </c>
      <c r="BX118" s="197">
        <f>'Energy margins'!$L$12</f>
        <v>72</v>
      </c>
      <c r="BY118" s="197">
        <f t="shared" si="331"/>
        <v>902.87999999999988</v>
      </c>
      <c r="BZ118" s="197">
        <f>'Margins summary'!$S$14</f>
        <v>175.95</v>
      </c>
      <c r="CA118" s="197">
        <f t="shared" si="305"/>
        <v>1078.83</v>
      </c>
      <c r="CB118" s="197"/>
      <c r="CC118" s="918">
        <f>'Energy NPV'!U44</f>
        <v>393.31078400000001</v>
      </c>
      <c r="CD118" s="197"/>
      <c r="CE118" s="197">
        <f t="shared" si="306"/>
        <v>393.31078400000001</v>
      </c>
      <c r="CF118" s="197">
        <f t="shared" si="277"/>
        <v>509.56921599999987</v>
      </c>
      <c r="CG118" s="197">
        <f t="shared" si="278"/>
        <v>685.51921599999991</v>
      </c>
      <c r="CH118" s="196">
        <f t="shared" si="307"/>
        <v>614.4849569378348</v>
      </c>
      <c r="CI118" s="197">
        <f t="shared" si="308"/>
        <v>119.74861351808883</v>
      </c>
      <c r="CJ118" s="197">
        <f t="shared" si="309"/>
        <v>267.68071080257187</v>
      </c>
      <c r="CK118" s="197">
        <f t="shared" si="310"/>
        <v>346.80424613526299</v>
      </c>
      <c r="CL118" s="199">
        <f t="shared" si="311"/>
        <v>466.55285965335185</v>
      </c>
      <c r="CM118" s="196">
        <f t="shared" si="332"/>
        <v>2984.9158160548386</v>
      </c>
      <c r="CN118" s="197">
        <f t="shared" si="312"/>
        <v>878.46733102388896</v>
      </c>
      <c r="CO118" s="197">
        <f t="shared" si="312"/>
        <v>3997.1404438238183</v>
      </c>
      <c r="CP118" s="197">
        <f t="shared" si="312"/>
        <v>-1012.2246277689787</v>
      </c>
      <c r="CQ118" s="199">
        <f t="shared" si="312"/>
        <v>-133.7572967450896</v>
      </c>
      <c r="CR118" s="197"/>
      <c r="CT118" s="204">
        <f t="shared" si="333"/>
        <v>6</v>
      </c>
      <c r="CU118" s="760">
        <f>'Energy NPV'!$D44</f>
        <v>12.54</v>
      </c>
      <c r="CV118" s="197">
        <f>'Energy margins'!$L$12</f>
        <v>72</v>
      </c>
      <c r="CW118" s="197">
        <f t="shared" si="334"/>
        <v>902.87999999999988</v>
      </c>
      <c r="CX118" s="197">
        <f>'Margins summary'!$S$14</f>
        <v>175.95</v>
      </c>
      <c r="CY118" s="197">
        <f t="shared" si="313"/>
        <v>1078.83</v>
      </c>
      <c r="CZ118" s="197"/>
      <c r="DA118" s="918">
        <f>'Energy NPV'!U44</f>
        <v>393.31078400000001</v>
      </c>
      <c r="DB118" s="197"/>
      <c r="DC118" s="197">
        <f t="shared" si="314"/>
        <v>393.31078400000001</v>
      </c>
      <c r="DD118" s="197">
        <f t="shared" si="279"/>
        <v>509.56921599999987</v>
      </c>
      <c r="DE118" s="197">
        <f t="shared" si="280"/>
        <v>685.51921599999991</v>
      </c>
      <c r="DF118" s="196">
        <f t="shared" si="315"/>
        <v>902.87999999999988</v>
      </c>
      <c r="DG118" s="197">
        <f t="shared" si="316"/>
        <v>175.95</v>
      </c>
      <c r="DH118" s="197">
        <f t="shared" si="317"/>
        <v>393.31078400000001</v>
      </c>
      <c r="DI118" s="197">
        <f t="shared" si="318"/>
        <v>509.56921599999987</v>
      </c>
      <c r="DJ118" s="199">
        <f t="shared" si="319"/>
        <v>685.51921599999991</v>
      </c>
      <c r="DK118" s="196">
        <f t="shared" si="335"/>
        <v>3833.6399999999994</v>
      </c>
      <c r="DL118" s="197">
        <f t="shared" si="320"/>
        <v>1055.7</v>
      </c>
      <c r="DM118" s="197">
        <f t="shared" si="320"/>
        <v>4417.8879040000002</v>
      </c>
      <c r="DN118" s="197">
        <f t="shared" si="320"/>
        <v>-584.24790400000074</v>
      </c>
      <c r="DO118" s="199">
        <f t="shared" si="320"/>
        <v>471.45209599999998</v>
      </c>
    </row>
    <row r="119" spans="2:119" x14ac:dyDescent="0.3">
      <c r="B119" s="204">
        <f t="shared" si="321"/>
        <v>7</v>
      </c>
      <c r="C119" s="760">
        <f>'Energy NPV'!$D45</f>
        <v>12.54</v>
      </c>
      <c r="D119" s="197">
        <f>'Energy margins'!$L$12</f>
        <v>72</v>
      </c>
      <c r="E119" s="197">
        <f t="shared" si="322"/>
        <v>902.87999999999988</v>
      </c>
      <c r="F119" s="197">
        <f>'Margins summary'!$S$14</f>
        <v>175.95</v>
      </c>
      <c r="G119" s="197">
        <f t="shared" si="281"/>
        <v>1078.83</v>
      </c>
      <c r="H119" s="197"/>
      <c r="I119" s="918">
        <f>'Energy NPV'!U45</f>
        <v>393.31078400000001</v>
      </c>
      <c r="J119" s="197"/>
      <c r="K119" s="197">
        <f t="shared" si="282"/>
        <v>393.31078400000001</v>
      </c>
      <c r="L119" s="197">
        <f t="shared" si="271"/>
        <v>509.56921599999987</v>
      </c>
      <c r="M119" s="197">
        <f t="shared" si="272"/>
        <v>685.51921599999991</v>
      </c>
      <c r="N119" s="196">
        <f t="shared" si="283"/>
        <v>713.55917899123392</v>
      </c>
      <c r="O119" s="197">
        <f t="shared" si="284"/>
        <v>139.05584080221914</v>
      </c>
      <c r="P119" s="197">
        <f t="shared" si="285"/>
        <v>310.83922572151181</v>
      </c>
      <c r="Q119" s="197">
        <f t="shared" si="286"/>
        <v>402.71995326972205</v>
      </c>
      <c r="R119" s="199">
        <f t="shared" si="287"/>
        <v>541.77579407194128</v>
      </c>
      <c r="S119" s="196">
        <f t="shared" si="323"/>
        <v>4083.9394601303875</v>
      </c>
      <c r="T119" s="197">
        <f t="shared" si="288"/>
        <v>1098.3039799445205</v>
      </c>
      <c r="U119" s="197">
        <f t="shared" si="288"/>
        <v>4500.2104510213749</v>
      </c>
      <c r="V119" s="197">
        <f t="shared" si="288"/>
        <v>-416.2709908909876</v>
      </c>
      <c r="W119" s="199">
        <f t="shared" si="288"/>
        <v>682.03298905353336</v>
      </c>
      <c r="X119" s="197"/>
      <c r="Z119" s="204">
        <f t="shared" si="324"/>
        <v>7</v>
      </c>
      <c r="AA119" s="760">
        <f>'Energy NPV'!$D45</f>
        <v>12.54</v>
      </c>
      <c r="AB119" s="197">
        <f>'Energy margins'!$L$12</f>
        <v>72</v>
      </c>
      <c r="AC119" s="197">
        <f t="shared" si="325"/>
        <v>902.87999999999988</v>
      </c>
      <c r="AD119" s="197">
        <f>'Margins summary'!$S$14</f>
        <v>175.95</v>
      </c>
      <c r="AE119" s="197">
        <f t="shared" si="289"/>
        <v>1078.83</v>
      </c>
      <c r="AF119" s="197"/>
      <c r="AG119" s="918">
        <f>'Energy NPV'!U45</f>
        <v>393.31078400000001</v>
      </c>
      <c r="AH119" s="197"/>
      <c r="AI119" s="197">
        <f t="shared" si="290"/>
        <v>393.31078400000001</v>
      </c>
      <c r="AJ119" s="197">
        <f t="shared" si="273"/>
        <v>509.56921599999987</v>
      </c>
      <c r="AK119" s="197">
        <f t="shared" si="274"/>
        <v>685.51921599999991</v>
      </c>
      <c r="AL119" s="196">
        <f t="shared" si="291"/>
        <v>636.49477275217487</v>
      </c>
      <c r="AM119" s="197">
        <f t="shared" si="292"/>
        <v>124.03780709036103</v>
      </c>
      <c r="AN119" s="197">
        <f t="shared" si="293"/>
        <v>277.26858284939277</v>
      </c>
      <c r="AO119" s="197">
        <f t="shared" si="294"/>
        <v>359.22618990278204</v>
      </c>
      <c r="AP119" s="199">
        <f t="shared" si="295"/>
        <v>483.26399699314311</v>
      </c>
      <c r="AQ119" s="196">
        <f t="shared" si="326"/>
        <v>3805.5091452423144</v>
      </c>
      <c r="AR119" s="197">
        <f t="shared" si="296"/>
        <v>1041.1532151606482</v>
      </c>
      <c r="AS119" s="197">
        <f t="shared" si="296"/>
        <v>4366.4837959381475</v>
      </c>
      <c r="AT119" s="197">
        <f t="shared" si="296"/>
        <v>-560.97465069583268</v>
      </c>
      <c r="AU119" s="199">
        <f t="shared" si="296"/>
        <v>480.17856446481619</v>
      </c>
      <c r="AV119" s="197"/>
      <c r="AX119" s="204">
        <f t="shared" si="327"/>
        <v>7</v>
      </c>
      <c r="AY119" s="760">
        <f>'Energy NPV'!$D45</f>
        <v>12.54</v>
      </c>
      <c r="AZ119" s="197">
        <f>'Energy margins'!$L$12</f>
        <v>72</v>
      </c>
      <c r="BA119" s="197">
        <f t="shared" si="328"/>
        <v>902.87999999999988</v>
      </c>
      <c r="BB119" s="197">
        <f>'Margins summary'!$S$14</f>
        <v>175.95</v>
      </c>
      <c r="BC119" s="197">
        <f t="shared" si="297"/>
        <v>1078.83</v>
      </c>
      <c r="BD119" s="197"/>
      <c r="BE119" s="918">
        <f>'Energy NPV'!U45</f>
        <v>393.31078400000001</v>
      </c>
      <c r="BF119" s="197"/>
      <c r="BG119" s="197">
        <f t="shared" si="298"/>
        <v>393.31078400000001</v>
      </c>
      <c r="BH119" s="197">
        <f t="shared" si="275"/>
        <v>509.56921599999987</v>
      </c>
      <c r="BI119" s="197">
        <f t="shared" si="276"/>
        <v>685.51921599999991</v>
      </c>
      <c r="BJ119" s="196">
        <f t="shared" si="299"/>
        <v>801.73160154826894</v>
      </c>
      <c r="BK119" s="197">
        <f t="shared" si="300"/>
        <v>156.23856469566047</v>
      </c>
      <c r="BL119" s="197">
        <f t="shared" si="301"/>
        <v>349.24872049721483</v>
      </c>
      <c r="BM119" s="197">
        <f t="shared" si="302"/>
        <v>452.48288105105411</v>
      </c>
      <c r="BN119" s="199">
        <f t="shared" si="303"/>
        <v>608.72144574671461</v>
      </c>
      <c r="BO119" s="196">
        <f t="shared" si="329"/>
        <v>4392.8482962889675</v>
      </c>
      <c r="BP119" s="197">
        <f t="shared" si="304"/>
        <v>1161.5217652169754</v>
      </c>
      <c r="BQ119" s="197">
        <f t="shared" si="304"/>
        <v>4647.812413579858</v>
      </c>
      <c r="BR119" s="197">
        <f t="shared" si="304"/>
        <v>-254.96411729089147</v>
      </c>
      <c r="BS119" s="199">
        <f t="shared" si="304"/>
        <v>906.55764792608488</v>
      </c>
      <c r="BT119" s="197"/>
      <c r="BV119" s="204">
        <f t="shared" si="330"/>
        <v>7</v>
      </c>
      <c r="BW119" s="760">
        <f>'Energy NPV'!$D45</f>
        <v>12.54</v>
      </c>
      <c r="BX119" s="197">
        <f>'Energy margins'!$L$12</f>
        <v>72</v>
      </c>
      <c r="BY119" s="197">
        <f t="shared" si="331"/>
        <v>902.87999999999988</v>
      </c>
      <c r="BZ119" s="197">
        <f>'Margins summary'!$S$14</f>
        <v>175.95</v>
      </c>
      <c r="CA119" s="197">
        <f t="shared" si="305"/>
        <v>1078.83</v>
      </c>
      <c r="CB119" s="197"/>
      <c r="CC119" s="918">
        <f>'Energy NPV'!U45</f>
        <v>393.31078400000001</v>
      </c>
      <c r="CD119" s="197"/>
      <c r="CE119" s="197">
        <f t="shared" si="306"/>
        <v>393.31078400000001</v>
      </c>
      <c r="CF119" s="197">
        <f t="shared" si="277"/>
        <v>509.56921599999987</v>
      </c>
      <c r="CG119" s="197">
        <f t="shared" si="278"/>
        <v>685.51921599999991</v>
      </c>
      <c r="CH119" s="196">
        <f t="shared" si="307"/>
        <v>568.96755272021733</v>
      </c>
      <c r="CI119" s="197">
        <f t="shared" si="308"/>
        <v>110.87834585008224</v>
      </c>
      <c r="CJ119" s="197">
        <f t="shared" si="309"/>
        <v>247.85251000238134</v>
      </c>
      <c r="CK119" s="197">
        <f t="shared" si="310"/>
        <v>321.11504271783605</v>
      </c>
      <c r="CL119" s="199">
        <f t="shared" si="311"/>
        <v>431.99338856791832</v>
      </c>
      <c r="CM119" s="196">
        <f t="shared" si="332"/>
        <v>3553.8833687750557</v>
      </c>
      <c r="CN119" s="197">
        <f t="shared" si="312"/>
        <v>989.34567687397123</v>
      </c>
      <c r="CO119" s="197">
        <f t="shared" si="312"/>
        <v>4244.9929538261995</v>
      </c>
      <c r="CP119" s="197">
        <f t="shared" si="312"/>
        <v>-691.10958505114263</v>
      </c>
      <c r="CQ119" s="199">
        <f t="shared" si="312"/>
        <v>298.23609182282871</v>
      </c>
      <c r="CR119" s="197"/>
      <c r="CT119" s="204">
        <f t="shared" si="333"/>
        <v>7</v>
      </c>
      <c r="CU119" s="760">
        <f>'Energy NPV'!$D45</f>
        <v>12.54</v>
      </c>
      <c r="CV119" s="197">
        <f>'Energy margins'!$L$12</f>
        <v>72</v>
      </c>
      <c r="CW119" s="197">
        <f t="shared" si="334"/>
        <v>902.87999999999988</v>
      </c>
      <c r="CX119" s="197">
        <f>'Margins summary'!$S$14</f>
        <v>175.95</v>
      </c>
      <c r="CY119" s="197">
        <f t="shared" si="313"/>
        <v>1078.83</v>
      </c>
      <c r="CZ119" s="197"/>
      <c r="DA119" s="918">
        <f>'Energy NPV'!U45</f>
        <v>393.31078400000001</v>
      </c>
      <c r="DB119" s="197"/>
      <c r="DC119" s="197">
        <f t="shared" si="314"/>
        <v>393.31078400000001</v>
      </c>
      <c r="DD119" s="197">
        <f t="shared" si="279"/>
        <v>509.56921599999987</v>
      </c>
      <c r="DE119" s="197">
        <f t="shared" si="280"/>
        <v>685.51921599999991</v>
      </c>
      <c r="DF119" s="196">
        <f t="shared" si="315"/>
        <v>902.87999999999988</v>
      </c>
      <c r="DG119" s="197">
        <f t="shared" si="316"/>
        <v>175.95</v>
      </c>
      <c r="DH119" s="197">
        <f t="shared" si="317"/>
        <v>393.31078400000001</v>
      </c>
      <c r="DI119" s="197">
        <f t="shared" si="318"/>
        <v>509.56921599999987</v>
      </c>
      <c r="DJ119" s="199">
        <f t="shared" si="319"/>
        <v>685.51921599999991</v>
      </c>
      <c r="DK119" s="196">
        <f t="shared" si="335"/>
        <v>4736.5199999999995</v>
      </c>
      <c r="DL119" s="197">
        <f t="shared" si="320"/>
        <v>1231.6500000000001</v>
      </c>
      <c r="DM119" s="197">
        <f t="shared" si="320"/>
        <v>4811.1986880000004</v>
      </c>
      <c r="DN119" s="197">
        <f t="shared" si="320"/>
        <v>-74.678688000000875</v>
      </c>
      <c r="DO119" s="199">
        <f t="shared" si="320"/>
        <v>1156.9713119999999</v>
      </c>
    </row>
    <row r="120" spans="2:119" x14ac:dyDescent="0.3">
      <c r="B120" s="204">
        <f t="shared" si="321"/>
        <v>8</v>
      </c>
      <c r="C120" s="760">
        <f>'Energy NPV'!$D46</f>
        <v>12.54</v>
      </c>
      <c r="D120" s="197">
        <f>'Energy margins'!$L$12</f>
        <v>72</v>
      </c>
      <c r="E120" s="197">
        <f t="shared" si="322"/>
        <v>902.87999999999988</v>
      </c>
      <c r="F120" s="197">
        <f>'Margins summary'!$S$14</f>
        <v>175.95</v>
      </c>
      <c r="G120" s="197">
        <f t="shared" si="281"/>
        <v>1078.83</v>
      </c>
      <c r="H120" s="197"/>
      <c r="I120" s="918">
        <f>'Energy NPV'!U46</f>
        <v>393.31078400000001</v>
      </c>
      <c r="J120" s="197"/>
      <c r="K120" s="197">
        <f t="shared" si="282"/>
        <v>393.31078400000001</v>
      </c>
      <c r="L120" s="197">
        <f t="shared" si="271"/>
        <v>509.56921599999987</v>
      </c>
      <c r="M120" s="197">
        <f t="shared" si="272"/>
        <v>685.51921599999991</v>
      </c>
      <c r="N120" s="196">
        <f t="shared" si="283"/>
        <v>686.11459518387881</v>
      </c>
      <c r="O120" s="197">
        <f t="shared" si="284"/>
        <v>133.70753923290303</v>
      </c>
      <c r="P120" s="197">
        <f t="shared" si="285"/>
        <v>298.88387088606908</v>
      </c>
      <c r="Q120" s="197">
        <f t="shared" si="286"/>
        <v>387.23072429780973</v>
      </c>
      <c r="R120" s="199">
        <f t="shared" si="287"/>
        <v>520.93826353071279</v>
      </c>
      <c r="S120" s="196">
        <f t="shared" si="323"/>
        <v>4770.0540553142664</v>
      </c>
      <c r="T120" s="197">
        <f t="shared" si="288"/>
        <v>1232.0115191774235</v>
      </c>
      <c r="U120" s="197">
        <f t="shared" si="288"/>
        <v>4799.0943219074443</v>
      </c>
      <c r="V120" s="197">
        <f t="shared" si="288"/>
        <v>-29.040266593177876</v>
      </c>
      <c r="W120" s="199">
        <f t="shared" si="288"/>
        <v>1202.971252584246</v>
      </c>
      <c r="X120" s="197"/>
      <c r="Z120" s="204">
        <f t="shared" si="324"/>
        <v>8</v>
      </c>
      <c r="AA120" s="760">
        <f>'Energy NPV'!$D46</f>
        <v>12.54</v>
      </c>
      <c r="AB120" s="197">
        <f>'Energy margins'!$L$12</f>
        <v>72</v>
      </c>
      <c r="AC120" s="197">
        <f t="shared" si="325"/>
        <v>902.87999999999988</v>
      </c>
      <c r="AD120" s="197">
        <f>'Margins summary'!$S$14</f>
        <v>175.95</v>
      </c>
      <c r="AE120" s="197">
        <f t="shared" si="289"/>
        <v>1078.83</v>
      </c>
      <c r="AF120" s="197"/>
      <c r="AG120" s="918">
        <f>'Energy NPV'!U46</f>
        <v>393.31078400000001</v>
      </c>
      <c r="AH120" s="197"/>
      <c r="AI120" s="197">
        <f t="shared" si="290"/>
        <v>393.31078400000001</v>
      </c>
      <c r="AJ120" s="197">
        <f t="shared" si="273"/>
        <v>509.56921599999987</v>
      </c>
      <c r="AK120" s="197">
        <f t="shared" si="274"/>
        <v>685.51921599999991</v>
      </c>
      <c r="AL120" s="196">
        <f t="shared" si="291"/>
        <v>600.46676674733465</v>
      </c>
      <c r="AM120" s="197">
        <f t="shared" si="292"/>
        <v>117.01679914185002</v>
      </c>
      <c r="AN120" s="197">
        <f t="shared" si="293"/>
        <v>261.57413476357806</v>
      </c>
      <c r="AO120" s="197">
        <f t="shared" si="294"/>
        <v>338.89263198375659</v>
      </c>
      <c r="AP120" s="199">
        <f t="shared" si="295"/>
        <v>455.90943112560666</v>
      </c>
      <c r="AQ120" s="196">
        <f t="shared" si="326"/>
        <v>4405.9759119896489</v>
      </c>
      <c r="AR120" s="197">
        <f t="shared" si="296"/>
        <v>1158.1700143024982</v>
      </c>
      <c r="AS120" s="197">
        <f t="shared" si="296"/>
        <v>4628.0579307017251</v>
      </c>
      <c r="AT120" s="197">
        <f t="shared" si="296"/>
        <v>-222.08201871207609</v>
      </c>
      <c r="AU120" s="199">
        <f t="shared" si="296"/>
        <v>936.08799559042291</v>
      </c>
      <c r="AV120" s="197"/>
      <c r="AX120" s="204">
        <f t="shared" si="327"/>
        <v>8</v>
      </c>
      <c r="AY120" s="760">
        <f>'Energy NPV'!$D46</f>
        <v>12.54</v>
      </c>
      <c r="AZ120" s="197">
        <f>'Energy margins'!$L$12</f>
        <v>72</v>
      </c>
      <c r="BA120" s="197">
        <f t="shared" si="328"/>
        <v>902.87999999999988</v>
      </c>
      <c r="BB120" s="197">
        <f>'Margins summary'!$S$14</f>
        <v>175.95</v>
      </c>
      <c r="BC120" s="197">
        <f t="shared" si="297"/>
        <v>1078.83</v>
      </c>
      <c r="BD120" s="197"/>
      <c r="BE120" s="918">
        <f>'Energy NPV'!U46</f>
        <v>393.31078400000001</v>
      </c>
      <c r="BF120" s="197"/>
      <c r="BG120" s="197">
        <f t="shared" si="298"/>
        <v>393.31078400000001</v>
      </c>
      <c r="BH120" s="197">
        <f t="shared" si="275"/>
        <v>509.56921599999987</v>
      </c>
      <c r="BI120" s="197">
        <f t="shared" si="276"/>
        <v>685.51921599999991</v>
      </c>
      <c r="BJ120" s="196">
        <f t="shared" si="299"/>
        <v>786.01137406693044</v>
      </c>
      <c r="BK120" s="197">
        <f t="shared" si="300"/>
        <v>153.17506342711815</v>
      </c>
      <c r="BL120" s="197">
        <f t="shared" si="301"/>
        <v>342.40070636981852</v>
      </c>
      <c r="BM120" s="197">
        <f t="shared" si="302"/>
        <v>443.61066769711198</v>
      </c>
      <c r="BN120" s="199">
        <f t="shared" si="303"/>
        <v>596.78573112423021</v>
      </c>
      <c r="BO120" s="196">
        <f t="shared" si="329"/>
        <v>5178.8596703558978</v>
      </c>
      <c r="BP120" s="197">
        <f t="shared" si="304"/>
        <v>1314.6968286440936</v>
      </c>
      <c r="BQ120" s="197">
        <f t="shared" si="304"/>
        <v>4990.2131199496762</v>
      </c>
      <c r="BR120" s="197">
        <f t="shared" si="304"/>
        <v>188.64655040622051</v>
      </c>
      <c r="BS120" s="199">
        <f t="shared" si="304"/>
        <v>1503.343379050315</v>
      </c>
      <c r="BT120" s="197"/>
      <c r="BV120" s="204">
        <f t="shared" si="330"/>
        <v>8</v>
      </c>
      <c r="BW120" s="760">
        <f>'Energy NPV'!$D46</f>
        <v>12.54</v>
      </c>
      <c r="BX120" s="197">
        <f>'Energy margins'!$L$12</f>
        <v>72</v>
      </c>
      <c r="BY120" s="197">
        <f t="shared" si="331"/>
        <v>902.87999999999988</v>
      </c>
      <c r="BZ120" s="197">
        <f>'Margins summary'!$S$14</f>
        <v>175.95</v>
      </c>
      <c r="CA120" s="197">
        <f t="shared" si="305"/>
        <v>1078.83</v>
      </c>
      <c r="CB120" s="197"/>
      <c r="CC120" s="918">
        <f>'Energy NPV'!U46</f>
        <v>393.31078400000001</v>
      </c>
      <c r="CD120" s="197"/>
      <c r="CE120" s="197">
        <f t="shared" si="306"/>
        <v>393.31078400000001</v>
      </c>
      <c r="CF120" s="197">
        <f t="shared" si="277"/>
        <v>509.56921599999987</v>
      </c>
      <c r="CG120" s="197">
        <f t="shared" si="278"/>
        <v>685.51921599999991</v>
      </c>
      <c r="CH120" s="196">
        <f t="shared" si="307"/>
        <v>526.82180807427528</v>
      </c>
      <c r="CI120" s="197">
        <f t="shared" si="308"/>
        <v>102.66513504637244</v>
      </c>
      <c r="CJ120" s="197">
        <f t="shared" si="309"/>
        <v>229.49306481701976</v>
      </c>
      <c r="CK120" s="197">
        <f t="shared" si="310"/>
        <v>297.32874325725555</v>
      </c>
      <c r="CL120" s="199">
        <f t="shared" si="311"/>
        <v>399.99387830362804</v>
      </c>
      <c r="CM120" s="196">
        <f t="shared" si="332"/>
        <v>4080.7051768493311</v>
      </c>
      <c r="CN120" s="197">
        <f t="shared" si="312"/>
        <v>1092.0108119203437</v>
      </c>
      <c r="CO120" s="197">
        <f t="shared" si="312"/>
        <v>4474.4860186432188</v>
      </c>
      <c r="CP120" s="197">
        <f t="shared" si="312"/>
        <v>-393.78084179388708</v>
      </c>
      <c r="CQ120" s="199">
        <f t="shared" si="312"/>
        <v>698.22997012645669</v>
      </c>
      <c r="CR120" s="197"/>
      <c r="CT120" s="204">
        <f t="shared" si="333"/>
        <v>8</v>
      </c>
      <c r="CU120" s="760">
        <f>'Energy NPV'!$D46</f>
        <v>12.54</v>
      </c>
      <c r="CV120" s="197">
        <f>'Energy margins'!$L$12</f>
        <v>72</v>
      </c>
      <c r="CW120" s="197">
        <f t="shared" si="334"/>
        <v>902.87999999999988</v>
      </c>
      <c r="CX120" s="197">
        <f>'Margins summary'!$S$14</f>
        <v>175.95</v>
      </c>
      <c r="CY120" s="197">
        <f t="shared" si="313"/>
        <v>1078.83</v>
      </c>
      <c r="CZ120" s="197"/>
      <c r="DA120" s="918">
        <f>'Energy NPV'!U46</f>
        <v>393.31078400000001</v>
      </c>
      <c r="DB120" s="197"/>
      <c r="DC120" s="197">
        <f t="shared" si="314"/>
        <v>393.31078400000001</v>
      </c>
      <c r="DD120" s="197">
        <f t="shared" si="279"/>
        <v>509.56921599999987</v>
      </c>
      <c r="DE120" s="197">
        <f t="shared" si="280"/>
        <v>685.51921599999991</v>
      </c>
      <c r="DF120" s="196">
        <f t="shared" si="315"/>
        <v>902.87999999999988</v>
      </c>
      <c r="DG120" s="197">
        <f t="shared" si="316"/>
        <v>175.95</v>
      </c>
      <c r="DH120" s="197">
        <f t="shared" si="317"/>
        <v>393.31078400000001</v>
      </c>
      <c r="DI120" s="197">
        <f t="shared" si="318"/>
        <v>509.56921599999987</v>
      </c>
      <c r="DJ120" s="199">
        <f t="shared" si="319"/>
        <v>685.51921599999991</v>
      </c>
      <c r="DK120" s="196">
        <f t="shared" si="335"/>
        <v>5639.4</v>
      </c>
      <c r="DL120" s="197">
        <f t="shared" si="320"/>
        <v>1407.6000000000001</v>
      </c>
      <c r="DM120" s="197">
        <f t="shared" si="320"/>
        <v>5204.5094720000006</v>
      </c>
      <c r="DN120" s="197">
        <f t="shared" si="320"/>
        <v>434.89052799999899</v>
      </c>
      <c r="DO120" s="199">
        <f t="shared" si="320"/>
        <v>1842.4905279999998</v>
      </c>
    </row>
    <row r="121" spans="2:119" x14ac:dyDescent="0.3">
      <c r="B121" s="204">
        <f t="shared" si="321"/>
        <v>9</v>
      </c>
      <c r="C121" s="760">
        <f>'Energy NPV'!$D47</f>
        <v>12.54</v>
      </c>
      <c r="D121" s="197">
        <f>'Energy margins'!$L$12</f>
        <v>72</v>
      </c>
      <c r="E121" s="197">
        <f t="shared" si="322"/>
        <v>902.87999999999988</v>
      </c>
      <c r="F121" s="197">
        <f>'Margins summary'!$S$14</f>
        <v>175.95</v>
      </c>
      <c r="G121" s="197">
        <f t="shared" si="281"/>
        <v>1078.83</v>
      </c>
      <c r="H121" s="197"/>
      <c r="I121" s="918">
        <f>'Energy NPV'!U47</f>
        <v>393.31078400000001</v>
      </c>
      <c r="J121" s="197"/>
      <c r="K121" s="197">
        <f t="shared" si="282"/>
        <v>393.31078400000001</v>
      </c>
      <c r="L121" s="197">
        <f t="shared" si="271"/>
        <v>509.56921599999987</v>
      </c>
      <c r="M121" s="197">
        <f t="shared" si="272"/>
        <v>685.51921599999991</v>
      </c>
      <c r="N121" s="196">
        <f t="shared" si="283"/>
        <v>659.72557229219103</v>
      </c>
      <c r="O121" s="197">
        <f t="shared" si="284"/>
        <v>128.56494157009902</v>
      </c>
      <c r="P121" s="197">
        <f t="shared" si="285"/>
        <v>287.38833739045094</v>
      </c>
      <c r="Q121" s="197">
        <f t="shared" si="286"/>
        <v>372.33723490174003</v>
      </c>
      <c r="R121" s="199">
        <f t="shared" si="287"/>
        <v>500.90217647183914</v>
      </c>
      <c r="S121" s="196">
        <f t="shared" si="323"/>
        <v>5429.7796276064573</v>
      </c>
      <c r="T121" s="197">
        <f t="shared" si="288"/>
        <v>1360.5764607475226</v>
      </c>
      <c r="U121" s="197">
        <f t="shared" si="288"/>
        <v>5086.4826592978952</v>
      </c>
      <c r="V121" s="197">
        <f t="shared" si="288"/>
        <v>343.29696830856216</v>
      </c>
      <c r="W121" s="199">
        <f t="shared" si="288"/>
        <v>1703.8734290560851</v>
      </c>
      <c r="X121" s="197"/>
      <c r="Z121" s="204">
        <f t="shared" si="324"/>
        <v>9</v>
      </c>
      <c r="AA121" s="760">
        <f>'Energy NPV'!$D47</f>
        <v>12.54</v>
      </c>
      <c r="AB121" s="197">
        <f>'Energy margins'!$L$12</f>
        <v>72</v>
      </c>
      <c r="AC121" s="197">
        <f t="shared" si="325"/>
        <v>902.87999999999988</v>
      </c>
      <c r="AD121" s="197">
        <f>'Margins summary'!$S$14</f>
        <v>175.95</v>
      </c>
      <c r="AE121" s="197">
        <f t="shared" si="289"/>
        <v>1078.83</v>
      </c>
      <c r="AF121" s="197"/>
      <c r="AG121" s="918">
        <f>'Energy NPV'!U47</f>
        <v>393.31078400000001</v>
      </c>
      <c r="AH121" s="197"/>
      <c r="AI121" s="197">
        <f t="shared" si="290"/>
        <v>393.31078400000001</v>
      </c>
      <c r="AJ121" s="197">
        <f t="shared" si="273"/>
        <v>509.56921599999987</v>
      </c>
      <c r="AK121" s="197">
        <f t="shared" si="274"/>
        <v>685.51921599999991</v>
      </c>
      <c r="AL121" s="196">
        <f t="shared" si="291"/>
        <v>566.47808183710822</v>
      </c>
      <c r="AM121" s="197">
        <f t="shared" si="292"/>
        <v>110.39320673759437</v>
      </c>
      <c r="AN121" s="197">
        <f t="shared" si="293"/>
        <v>246.76805166375291</v>
      </c>
      <c r="AO121" s="197">
        <f t="shared" si="294"/>
        <v>319.71003017335534</v>
      </c>
      <c r="AP121" s="199">
        <f t="shared" si="295"/>
        <v>430.1032369109497</v>
      </c>
      <c r="AQ121" s="196">
        <f t="shared" si="326"/>
        <v>4972.4539938267571</v>
      </c>
      <c r="AR121" s="197">
        <f t="shared" si="296"/>
        <v>1268.5632210400927</v>
      </c>
      <c r="AS121" s="197">
        <f t="shared" si="296"/>
        <v>4874.825982365478</v>
      </c>
      <c r="AT121" s="197">
        <f t="shared" si="296"/>
        <v>97.628011461279243</v>
      </c>
      <c r="AU121" s="199">
        <f t="shared" si="296"/>
        <v>1366.1912325013727</v>
      </c>
      <c r="AV121" s="197"/>
      <c r="AX121" s="204">
        <f t="shared" si="327"/>
        <v>9</v>
      </c>
      <c r="AY121" s="760">
        <f>'Energy NPV'!$D47</f>
        <v>12.54</v>
      </c>
      <c r="AZ121" s="197">
        <f>'Energy margins'!$L$12</f>
        <v>72</v>
      </c>
      <c r="BA121" s="197">
        <f t="shared" si="328"/>
        <v>902.87999999999988</v>
      </c>
      <c r="BB121" s="197">
        <f>'Margins summary'!$S$14</f>
        <v>175.95</v>
      </c>
      <c r="BC121" s="197">
        <f t="shared" si="297"/>
        <v>1078.83</v>
      </c>
      <c r="BD121" s="197"/>
      <c r="BE121" s="918">
        <f>'Energy NPV'!U47</f>
        <v>393.31078400000001</v>
      </c>
      <c r="BF121" s="197"/>
      <c r="BG121" s="197">
        <f t="shared" si="298"/>
        <v>393.31078400000001</v>
      </c>
      <c r="BH121" s="197">
        <f t="shared" si="275"/>
        <v>509.56921599999987</v>
      </c>
      <c r="BI121" s="197">
        <f t="shared" si="276"/>
        <v>685.51921599999991</v>
      </c>
      <c r="BJ121" s="196">
        <f t="shared" si="299"/>
        <v>770.59938634012792</v>
      </c>
      <c r="BK121" s="197">
        <f t="shared" si="300"/>
        <v>150.17163081090013</v>
      </c>
      <c r="BL121" s="197">
        <f t="shared" si="301"/>
        <v>335.68696702923381</v>
      </c>
      <c r="BM121" s="197">
        <f t="shared" si="302"/>
        <v>434.91241931089405</v>
      </c>
      <c r="BN121" s="199">
        <f t="shared" si="303"/>
        <v>585.08405012179423</v>
      </c>
      <c r="BO121" s="196">
        <f t="shared" si="329"/>
        <v>5949.459056696026</v>
      </c>
      <c r="BP121" s="197">
        <f t="shared" si="304"/>
        <v>1464.8684594549936</v>
      </c>
      <c r="BQ121" s="197">
        <f t="shared" si="304"/>
        <v>5325.9000869789097</v>
      </c>
      <c r="BR121" s="197">
        <f t="shared" si="304"/>
        <v>623.55896971711456</v>
      </c>
      <c r="BS121" s="199">
        <f t="shared" si="304"/>
        <v>2088.4274291721094</v>
      </c>
      <c r="BT121" s="197"/>
      <c r="BV121" s="204">
        <f t="shared" si="330"/>
        <v>9</v>
      </c>
      <c r="BW121" s="760">
        <f>'Energy NPV'!$D47</f>
        <v>12.54</v>
      </c>
      <c r="BX121" s="197">
        <f>'Energy margins'!$L$12</f>
        <v>72</v>
      </c>
      <c r="BY121" s="197">
        <f t="shared" si="331"/>
        <v>902.87999999999988</v>
      </c>
      <c r="BZ121" s="197">
        <f>'Margins summary'!$S$14</f>
        <v>175.95</v>
      </c>
      <c r="CA121" s="197">
        <f t="shared" si="305"/>
        <v>1078.83</v>
      </c>
      <c r="CB121" s="197"/>
      <c r="CC121" s="918">
        <f>'Energy NPV'!U47</f>
        <v>393.31078400000001</v>
      </c>
      <c r="CD121" s="197"/>
      <c r="CE121" s="197">
        <f t="shared" si="306"/>
        <v>393.31078400000001</v>
      </c>
      <c r="CF121" s="197">
        <f t="shared" si="277"/>
        <v>509.56921599999987</v>
      </c>
      <c r="CG121" s="197">
        <f t="shared" si="278"/>
        <v>685.51921599999991</v>
      </c>
      <c r="CH121" s="196">
        <f t="shared" si="307"/>
        <v>487.7979704391438</v>
      </c>
      <c r="CI121" s="197">
        <f t="shared" si="308"/>
        <v>95.060310228122631</v>
      </c>
      <c r="CJ121" s="197">
        <f t="shared" si="309"/>
        <v>212.49357853427753</v>
      </c>
      <c r="CK121" s="197">
        <f t="shared" si="310"/>
        <v>275.30439190486629</v>
      </c>
      <c r="CL121" s="199">
        <f t="shared" si="311"/>
        <v>370.36470213298895</v>
      </c>
      <c r="CM121" s="196">
        <f t="shared" si="332"/>
        <v>4568.5031472884748</v>
      </c>
      <c r="CN121" s="197">
        <f t="shared" si="312"/>
        <v>1187.0711221484664</v>
      </c>
      <c r="CO121" s="197">
        <f t="shared" si="312"/>
        <v>4686.9795971774965</v>
      </c>
      <c r="CP121" s="197">
        <f t="shared" si="312"/>
        <v>-118.47644988902078</v>
      </c>
      <c r="CQ121" s="199">
        <f t="shared" si="312"/>
        <v>1068.5946722594456</v>
      </c>
      <c r="CR121" s="197"/>
      <c r="CT121" s="204">
        <f t="shared" si="333"/>
        <v>9</v>
      </c>
      <c r="CU121" s="760">
        <f>'Energy NPV'!$D47</f>
        <v>12.54</v>
      </c>
      <c r="CV121" s="197">
        <f>'Energy margins'!$L$12</f>
        <v>72</v>
      </c>
      <c r="CW121" s="197">
        <f t="shared" si="334"/>
        <v>902.87999999999988</v>
      </c>
      <c r="CX121" s="197">
        <f>'Margins summary'!$S$14</f>
        <v>175.95</v>
      </c>
      <c r="CY121" s="197">
        <f t="shared" si="313"/>
        <v>1078.83</v>
      </c>
      <c r="CZ121" s="197"/>
      <c r="DA121" s="918">
        <f>'Energy NPV'!U47</f>
        <v>393.31078400000001</v>
      </c>
      <c r="DB121" s="197"/>
      <c r="DC121" s="197">
        <f t="shared" si="314"/>
        <v>393.31078400000001</v>
      </c>
      <c r="DD121" s="197">
        <f t="shared" si="279"/>
        <v>509.56921599999987</v>
      </c>
      <c r="DE121" s="197">
        <f t="shared" si="280"/>
        <v>685.51921599999991</v>
      </c>
      <c r="DF121" s="196">
        <f t="shared" si="315"/>
        <v>902.87999999999988</v>
      </c>
      <c r="DG121" s="197">
        <f t="shared" si="316"/>
        <v>175.95</v>
      </c>
      <c r="DH121" s="197">
        <f t="shared" si="317"/>
        <v>393.31078400000001</v>
      </c>
      <c r="DI121" s="197">
        <f t="shared" si="318"/>
        <v>509.56921599999987</v>
      </c>
      <c r="DJ121" s="199">
        <f t="shared" si="319"/>
        <v>685.51921599999991</v>
      </c>
      <c r="DK121" s="196">
        <f t="shared" si="335"/>
        <v>6542.28</v>
      </c>
      <c r="DL121" s="197">
        <f t="shared" si="320"/>
        <v>1583.5500000000002</v>
      </c>
      <c r="DM121" s="197">
        <f t="shared" si="320"/>
        <v>5597.8202560000009</v>
      </c>
      <c r="DN121" s="197">
        <f t="shared" si="320"/>
        <v>944.45974399999886</v>
      </c>
      <c r="DO121" s="199">
        <f t="shared" si="320"/>
        <v>2528.009744</v>
      </c>
    </row>
    <row r="122" spans="2:119" x14ac:dyDescent="0.3">
      <c r="B122" s="204">
        <f t="shared" si="321"/>
        <v>10</v>
      </c>
      <c r="C122" s="760">
        <f>'Energy NPV'!$D48</f>
        <v>12.54</v>
      </c>
      <c r="D122" s="197">
        <f>'Energy margins'!$L$12</f>
        <v>72</v>
      </c>
      <c r="E122" s="197">
        <f t="shared" si="322"/>
        <v>902.87999999999988</v>
      </c>
      <c r="F122" s="197">
        <f>'Margins summary'!$S$14</f>
        <v>175.95</v>
      </c>
      <c r="G122" s="197">
        <f t="shared" si="281"/>
        <v>1078.83</v>
      </c>
      <c r="H122" s="197"/>
      <c r="I122" s="918">
        <f>'Energy NPV'!U48</f>
        <v>393.31078400000001</v>
      </c>
      <c r="J122" s="197"/>
      <c r="K122" s="197">
        <f t="shared" si="282"/>
        <v>393.31078400000001</v>
      </c>
      <c r="L122" s="197">
        <f t="shared" si="271"/>
        <v>509.56921599999987</v>
      </c>
      <c r="M122" s="197">
        <f t="shared" si="272"/>
        <v>685.51921599999991</v>
      </c>
      <c r="N122" s="196">
        <f t="shared" si="283"/>
        <v>634.35151181941444</v>
      </c>
      <c r="O122" s="197">
        <f t="shared" si="284"/>
        <v>123.62013612509521</v>
      </c>
      <c r="P122" s="197">
        <f t="shared" si="285"/>
        <v>276.3349397985105</v>
      </c>
      <c r="Q122" s="197">
        <f t="shared" si="286"/>
        <v>358.01657202090388</v>
      </c>
      <c r="R122" s="199">
        <f t="shared" si="287"/>
        <v>481.63670814599914</v>
      </c>
      <c r="S122" s="196">
        <f t="shared" si="323"/>
        <v>6064.1311394258719</v>
      </c>
      <c r="T122" s="197">
        <f t="shared" si="288"/>
        <v>1484.1965968726179</v>
      </c>
      <c r="U122" s="197">
        <f t="shared" si="288"/>
        <v>5362.8175990964055</v>
      </c>
      <c r="V122" s="197">
        <f t="shared" si="288"/>
        <v>701.31354032946604</v>
      </c>
      <c r="W122" s="199">
        <f t="shared" si="288"/>
        <v>2185.5101372020845</v>
      </c>
      <c r="X122" s="197"/>
      <c r="Z122" s="204">
        <f t="shared" si="324"/>
        <v>10</v>
      </c>
      <c r="AA122" s="760">
        <f>'Energy NPV'!$D48</f>
        <v>12.54</v>
      </c>
      <c r="AB122" s="197">
        <f>'Energy margins'!$L$12</f>
        <v>72</v>
      </c>
      <c r="AC122" s="197">
        <f t="shared" si="325"/>
        <v>902.87999999999988</v>
      </c>
      <c r="AD122" s="197">
        <f>'Margins summary'!$S$14</f>
        <v>175.95</v>
      </c>
      <c r="AE122" s="197">
        <f t="shared" si="289"/>
        <v>1078.83</v>
      </c>
      <c r="AF122" s="197"/>
      <c r="AG122" s="918">
        <f>'Energy NPV'!U48</f>
        <v>393.31078400000001</v>
      </c>
      <c r="AH122" s="197"/>
      <c r="AI122" s="197">
        <f t="shared" si="290"/>
        <v>393.31078400000001</v>
      </c>
      <c r="AJ122" s="197">
        <f t="shared" si="273"/>
        <v>509.56921599999987</v>
      </c>
      <c r="AK122" s="197">
        <f t="shared" si="274"/>
        <v>685.51921599999991</v>
      </c>
      <c r="AL122" s="196">
        <f t="shared" si="291"/>
        <v>534.41328475198895</v>
      </c>
      <c r="AM122" s="197">
        <f t="shared" si="292"/>
        <v>104.14453465810789</v>
      </c>
      <c r="AN122" s="197">
        <f t="shared" si="293"/>
        <v>232.80004873938955</v>
      </c>
      <c r="AO122" s="197">
        <f t="shared" si="294"/>
        <v>301.61323601259937</v>
      </c>
      <c r="AP122" s="199">
        <f t="shared" si="295"/>
        <v>405.75777067070726</v>
      </c>
      <c r="AQ122" s="196">
        <f t="shared" si="326"/>
        <v>5506.8672785787458</v>
      </c>
      <c r="AR122" s="197">
        <f t="shared" si="296"/>
        <v>1372.7077556982006</v>
      </c>
      <c r="AS122" s="197">
        <f t="shared" si="296"/>
        <v>5107.6260311048673</v>
      </c>
      <c r="AT122" s="197">
        <f t="shared" si="296"/>
        <v>399.24124747387862</v>
      </c>
      <c r="AU122" s="199">
        <f t="shared" si="296"/>
        <v>1771.94900317208</v>
      </c>
      <c r="AV122" s="197"/>
      <c r="AX122" s="204">
        <f t="shared" si="327"/>
        <v>10</v>
      </c>
      <c r="AY122" s="760">
        <f>'Energy NPV'!$D48</f>
        <v>12.54</v>
      </c>
      <c r="AZ122" s="197">
        <f>'Energy margins'!$L$12</f>
        <v>72</v>
      </c>
      <c r="BA122" s="197">
        <f t="shared" si="328"/>
        <v>902.87999999999988</v>
      </c>
      <c r="BB122" s="197">
        <f>'Margins summary'!$S$14</f>
        <v>175.95</v>
      </c>
      <c r="BC122" s="197">
        <f t="shared" si="297"/>
        <v>1078.83</v>
      </c>
      <c r="BD122" s="197"/>
      <c r="BE122" s="918">
        <f>'Energy NPV'!U48</f>
        <v>393.31078400000001</v>
      </c>
      <c r="BF122" s="197"/>
      <c r="BG122" s="197">
        <f t="shared" si="298"/>
        <v>393.31078400000001</v>
      </c>
      <c r="BH122" s="197">
        <f t="shared" si="275"/>
        <v>509.56921599999987</v>
      </c>
      <c r="BI122" s="197">
        <f t="shared" si="276"/>
        <v>685.51921599999991</v>
      </c>
      <c r="BJ122" s="196">
        <f t="shared" si="299"/>
        <v>755.48959445110575</v>
      </c>
      <c r="BK122" s="197">
        <f t="shared" si="300"/>
        <v>147.22708903029425</v>
      </c>
      <c r="BL122" s="197">
        <f t="shared" si="301"/>
        <v>329.10486963650374</v>
      </c>
      <c r="BM122" s="197">
        <f t="shared" si="302"/>
        <v>426.38472481460201</v>
      </c>
      <c r="BN122" s="199">
        <f t="shared" si="303"/>
        <v>573.61181384489635</v>
      </c>
      <c r="BO122" s="196">
        <f t="shared" si="329"/>
        <v>6704.9486511471314</v>
      </c>
      <c r="BP122" s="197">
        <f t="shared" si="304"/>
        <v>1612.095548485288</v>
      </c>
      <c r="BQ122" s="197">
        <f t="shared" si="304"/>
        <v>5655.0049566154139</v>
      </c>
      <c r="BR122" s="197">
        <f t="shared" si="304"/>
        <v>1049.9436945317166</v>
      </c>
      <c r="BS122" s="199">
        <f t="shared" si="304"/>
        <v>2662.0392430170059</v>
      </c>
      <c r="BT122" s="197"/>
      <c r="BV122" s="204">
        <f t="shared" si="330"/>
        <v>10</v>
      </c>
      <c r="BW122" s="760">
        <f>'Energy NPV'!$D48</f>
        <v>12.54</v>
      </c>
      <c r="BX122" s="197">
        <f>'Energy margins'!$L$12</f>
        <v>72</v>
      </c>
      <c r="BY122" s="197">
        <f t="shared" si="331"/>
        <v>902.87999999999988</v>
      </c>
      <c r="BZ122" s="197">
        <f>'Margins summary'!$S$14</f>
        <v>175.95</v>
      </c>
      <c r="CA122" s="197">
        <f t="shared" si="305"/>
        <v>1078.83</v>
      </c>
      <c r="CB122" s="197"/>
      <c r="CC122" s="918">
        <f>'Energy NPV'!U48</f>
        <v>393.31078400000001</v>
      </c>
      <c r="CD122" s="197"/>
      <c r="CE122" s="197">
        <f t="shared" si="306"/>
        <v>393.31078400000001</v>
      </c>
      <c r="CF122" s="197">
        <f t="shared" si="277"/>
        <v>509.56921599999987</v>
      </c>
      <c r="CG122" s="197">
        <f t="shared" si="278"/>
        <v>685.51921599999991</v>
      </c>
      <c r="CH122" s="196">
        <f t="shared" si="307"/>
        <v>451.66478744365168</v>
      </c>
      <c r="CI122" s="197">
        <f t="shared" si="308"/>
        <v>88.018805766780204</v>
      </c>
      <c r="CJ122" s="197">
        <f t="shared" si="309"/>
        <v>196.75331345766438</v>
      </c>
      <c r="CK122" s="197">
        <f t="shared" si="310"/>
        <v>254.91147398598727</v>
      </c>
      <c r="CL122" s="199">
        <f t="shared" si="311"/>
        <v>342.93027975276749</v>
      </c>
      <c r="CM122" s="196">
        <f t="shared" si="332"/>
        <v>5020.167934732126</v>
      </c>
      <c r="CN122" s="197">
        <f t="shared" si="312"/>
        <v>1275.0899279152466</v>
      </c>
      <c r="CO122" s="197">
        <f t="shared" si="312"/>
        <v>4883.7329106351608</v>
      </c>
      <c r="CP122" s="197">
        <f t="shared" si="312"/>
        <v>136.43502409696649</v>
      </c>
      <c r="CQ122" s="199">
        <f t="shared" si="312"/>
        <v>1411.5249520122131</v>
      </c>
      <c r="CR122" s="197"/>
      <c r="CT122" s="204">
        <f t="shared" si="333"/>
        <v>10</v>
      </c>
      <c r="CU122" s="760">
        <f>'Energy NPV'!$D48</f>
        <v>12.54</v>
      </c>
      <c r="CV122" s="197">
        <f>'Energy margins'!$L$12</f>
        <v>72</v>
      </c>
      <c r="CW122" s="197">
        <f t="shared" si="334"/>
        <v>902.87999999999988</v>
      </c>
      <c r="CX122" s="197">
        <f>'Margins summary'!$S$14</f>
        <v>175.95</v>
      </c>
      <c r="CY122" s="197">
        <f t="shared" si="313"/>
        <v>1078.83</v>
      </c>
      <c r="CZ122" s="197"/>
      <c r="DA122" s="918">
        <f>'Energy NPV'!U48</f>
        <v>393.31078400000001</v>
      </c>
      <c r="DB122" s="197"/>
      <c r="DC122" s="197">
        <f t="shared" si="314"/>
        <v>393.31078400000001</v>
      </c>
      <c r="DD122" s="197">
        <f t="shared" si="279"/>
        <v>509.56921599999987</v>
      </c>
      <c r="DE122" s="197">
        <f t="shared" si="280"/>
        <v>685.51921599999991</v>
      </c>
      <c r="DF122" s="196">
        <f t="shared" si="315"/>
        <v>902.87999999999988</v>
      </c>
      <c r="DG122" s="197">
        <f t="shared" si="316"/>
        <v>175.95</v>
      </c>
      <c r="DH122" s="197">
        <f t="shared" si="317"/>
        <v>393.31078400000001</v>
      </c>
      <c r="DI122" s="197">
        <f t="shared" si="318"/>
        <v>509.56921599999987</v>
      </c>
      <c r="DJ122" s="199">
        <f t="shared" si="319"/>
        <v>685.51921599999991</v>
      </c>
      <c r="DK122" s="196">
        <f t="shared" si="335"/>
        <v>7445.16</v>
      </c>
      <c r="DL122" s="197">
        <f t="shared" si="320"/>
        <v>1759.5000000000002</v>
      </c>
      <c r="DM122" s="197">
        <f t="shared" si="320"/>
        <v>5991.1310400000011</v>
      </c>
      <c r="DN122" s="197">
        <f t="shared" si="320"/>
        <v>1454.0289599999987</v>
      </c>
      <c r="DO122" s="199">
        <f t="shared" si="320"/>
        <v>3213.5289599999996</v>
      </c>
    </row>
    <row r="123" spans="2:119" x14ac:dyDescent="0.3">
      <c r="B123" s="204">
        <f t="shared" si="321"/>
        <v>11</v>
      </c>
      <c r="C123" s="760">
        <f>'Energy NPV'!$D49</f>
        <v>12.54</v>
      </c>
      <c r="D123" s="197">
        <f>'Energy margins'!$L$12</f>
        <v>72</v>
      </c>
      <c r="E123" s="197">
        <f t="shared" si="322"/>
        <v>902.87999999999988</v>
      </c>
      <c r="F123" s="197">
        <f>'Margins summary'!$S$14</f>
        <v>175.95</v>
      </c>
      <c r="G123" s="197">
        <f t="shared" si="281"/>
        <v>1078.83</v>
      </c>
      <c r="H123" s="197"/>
      <c r="I123" s="918">
        <f>'Energy NPV'!U49</f>
        <v>393.31078400000001</v>
      </c>
      <c r="J123" s="197"/>
      <c r="K123" s="197">
        <f t="shared" si="282"/>
        <v>393.31078400000001</v>
      </c>
      <c r="L123" s="197">
        <f t="shared" si="271"/>
        <v>509.56921599999987</v>
      </c>
      <c r="M123" s="197">
        <f t="shared" si="272"/>
        <v>685.51921599999991</v>
      </c>
      <c r="N123" s="196">
        <f t="shared" si="283"/>
        <v>609.95337674943687</v>
      </c>
      <c r="O123" s="197">
        <f t="shared" si="284"/>
        <v>118.86551550489925</v>
      </c>
      <c r="P123" s="197">
        <f t="shared" si="285"/>
        <v>265.70667288318322</v>
      </c>
      <c r="Q123" s="197">
        <f t="shared" si="286"/>
        <v>344.24670386625371</v>
      </c>
      <c r="R123" s="199">
        <f t="shared" si="287"/>
        <v>463.112219371153</v>
      </c>
      <c r="S123" s="196">
        <f t="shared" si="323"/>
        <v>6674.0845161753086</v>
      </c>
      <c r="T123" s="197">
        <f t="shared" si="288"/>
        <v>1603.0621123775172</v>
      </c>
      <c r="U123" s="197">
        <f t="shared" si="288"/>
        <v>5628.5242719795888</v>
      </c>
      <c r="V123" s="197">
        <f t="shared" si="288"/>
        <v>1045.5602441957199</v>
      </c>
      <c r="W123" s="199">
        <f t="shared" si="288"/>
        <v>2648.6223565732375</v>
      </c>
      <c r="X123" s="197"/>
      <c r="Z123" s="204">
        <f t="shared" si="324"/>
        <v>11</v>
      </c>
      <c r="AA123" s="760">
        <f>'Energy NPV'!$D49</f>
        <v>12.54</v>
      </c>
      <c r="AB123" s="197">
        <f>'Energy margins'!$L$12</f>
        <v>72</v>
      </c>
      <c r="AC123" s="197">
        <f t="shared" si="325"/>
        <v>902.87999999999988</v>
      </c>
      <c r="AD123" s="197">
        <f>'Margins summary'!$S$14</f>
        <v>175.95</v>
      </c>
      <c r="AE123" s="197">
        <f t="shared" si="289"/>
        <v>1078.83</v>
      </c>
      <c r="AF123" s="197"/>
      <c r="AG123" s="918">
        <f>'Energy NPV'!U49</f>
        <v>393.31078400000001</v>
      </c>
      <c r="AH123" s="197"/>
      <c r="AI123" s="197">
        <f t="shared" si="290"/>
        <v>393.31078400000001</v>
      </c>
      <c r="AJ123" s="197">
        <f t="shared" si="273"/>
        <v>509.56921599999987</v>
      </c>
      <c r="AK123" s="197">
        <f t="shared" si="274"/>
        <v>685.51921599999991</v>
      </c>
      <c r="AL123" s="196">
        <f t="shared" si="291"/>
        <v>504.16347618112155</v>
      </c>
      <c r="AM123" s="197">
        <f t="shared" si="292"/>
        <v>98.249560998214989</v>
      </c>
      <c r="AN123" s="197">
        <f t="shared" si="293"/>
        <v>219.62268748999011</v>
      </c>
      <c r="AO123" s="197">
        <f t="shared" si="294"/>
        <v>284.54078869113147</v>
      </c>
      <c r="AP123" s="199">
        <f t="shared" si="295"/>
        <v>382.79034968934644</v>
      </c>
      <c r="AQ123" s="196">
        <f t="shared" si="326"/>
        <v>6011.0307547598677</v>
      </c>
      <c r="AR123" s="197">
        <f t="shared" si="296"/>
        <v>1470.9573166964155</v>
      </c>
      <c r="AS123" s="197">
        <f t="shared" si="296"/>
        <v>5327.2487185948576</v>
      </c>
      <c r="AT123" s="197">
        <f t="shared" si="296"/>
        <v>683.78203616501014</v>
      </c>
      <c r="AU123" s="199">
        <f t="shared" si="296"/>
        <v>2154.7393528614266</v>
      </c>
      <c r="AV123" s="197"/>
      <c r="AX123" s="204">
        <f t="shared" si="327"/>
        <v>11</v>
      </c>
      <c r="AY123" s="760">
        <f>'Energy NPV'!$D49</f>
        <v>12.54</v>
      </c>
      <c r="AZ123" s="197">
        <f>'Energy margins'!$L$12</f>
        <v>72</v>
      </c>
      <c r="BA123" s="197">
        <f t="shared" si="328"/>
        <v>902.87999999999988</v>
      </c>
      <c r="BB123" s="197">
        <f>'Margins summary'!$S$14</f>
        <v>175.95</v>
      </c>
      <c r="BC123" s="197">
        <f t="shared" si="297"/>
        <v>1078.83</v>
      </c>
      <c r="BD123" s="197"/>
      <c r="BE123" s="918">
        <f>'Energy NPV'!U49</f>
        <v>393.31078400000001</v>
      </c>
      <c r="BF123" s="197"/>
      <c r="BG123" s="197">
        <f t="shared" si="298"/>
        <v>393.31078400000001</v>
      </c>
      <c r="BH123" s="197">
        <f t="shared" si="275"/>
        <v>509.56921599999987</v>
      </c>
      <c r="BI123" s="197">
        <f t="shared" si="276"/>
        <v>685.51921599999991</v>
      </c>
      <c r="BJ123" s="196">
        <f t="shared" si="299"/>
        <v>740.67607299128008</v>
      </c>
      <c r="BK123" s="197">
        <f t="shared" si="300"/>
        <v>144.34028336303356</v>
      </c>
      <c r="BL123" s="197">
        <f t="shared" si="301"/>
        <v>322.65183297696444</v>
      </c>
      <c r="BM123" s="197">
        <f t="shared" si="302"/>
        <v>418.02424001431569</v>
      </c>
      <c r="BN123" s="199">
        <f t="shared" si="303"/>
        <v>562.36452337734931</v>
      </c>
      <c r="BO123" s="196">
        <f t="shared" si="329"/>
        <v>7445.6247241384117</v>
      </c>
      <c r="BP123" s="197">
        <f t="shared" si="304"/>
        <v>1756.4358318483214</v>
      </c>
      <c r="BQ123" s="197">
        <f t="shared" si="304"/>
        <v>5977.6567895923781</v>
      </c>
      <c r="BR123" s="197">
        <f t="shared" si="304"/>
        <v>1467.9679345460322</v>
      </c>
      <c r="BS123" s="199">
        <f t="shared" si="304"/>
        <v>3224.4037663943554</v>
      </c>
      <c r="BT123" s="197"/>
      <c r="BV123" s="204">
        <f t="shared" si="330"/>
        <v>11</v>
      </c>
      <c r="BW123" s="760">
        <f>'Energy NPV'!$D49</f>
        <v>12.54</v>
      </c>
      <c r="BX123" s="197">
        <f>'Energy margins'!$L$12</f>
        <v>72</v>
      </c>
      <c r="BY123" s="197">
        <f t="shared" si="331"/>
        <v>902.87999999999988</v>
      </c>
      <c r="BZ123" s="197">
        <f>'Margins summary'!$S$14</f>
        <v>175.95</v>
      </c>
      <c r="CA123" s="197">
        <f t="shared" si="305"/>
        <v>1078.83</v>
      </c>
      <c r="CB123" s="197"/>
      <c r="CC123" s="918">
        <f>'Energy NPV'!U49</f>
        <v>393.31078400000001</v>
      </c>
      <c r="CD123" s="197"/>
      <c r="CE123" s="197">
        <f t="shared" si="306"/>
        <v>393.31078400000001</v>
      </c>
      <c r="CF123" s="197">
        <f t="shared" si="277"/>
        <v>509.56921599999987</v>
      </c>
      <c r="CG123" s="197">
        <f t="shared" si="278"/>
        <v>685.51921599999991</v>
      </c>
      <c r="CH123" s="196">
        <f t="shared" si="307"/>
        <v>418.20813652189969</v>
      </c>
      <c r="CI123" s="197">
        <f t="shared" si="308"/>
        <v>81.498894228500191</v>
      </c>
      <c r="CJ123" s="197">
        <f t="shared" si="309"/>
        <v>182.17899394228183</v>
      </c>
      <c r="CK123" s="197">
        <f t="shared" si="310"/>
        <v>236.02914257961783</v>
      </c>
      <c r="CL123" s="199">
        <f t="shared" si="311"/>
        <v>317.52803680811803</v>
      </c>
      <c r="CM123" s="196">
        <f t="shared" si="332"/>
        <v>5438.3760712540261</v>
      </c>
      <c r="CN123" s="197">
        <f t="shared" si="312"/>
        <v>1356.5888221437467</v>
      </c>
      <c r="CO123" s="197">
        <f t="shared" si="312"/>
        <v>5065.9119045774423</v>
      </c>
      <c r="CP123" s="197">
        <f t="shared" si="312"/>
        <v>372.46416667658434</v>
      </c>
      <c r="CQ123" s="199">
        <f t="shared" si="312"/>
        <v>1729.0529888203312</v>
      </c>
      <c r="CR123" s="197"/>
      <c r="CT123" s="204">
        <f t="shared" si="333"/>
        <v>11</v>
      </c>
      <c r="CU123" s="760">
        <f>'Energy NPV'!$D49</f>
        <v>12.54</v>
      </c>
      <c r="CV123" s="197">
        <f>'Energy margins'!$L$12</f>
        <v>72</v>
      </c>
      <c r="CW123" s="197">
        <f t="shared" si="334"/>
        <v>902.87999999999988</v>
      </c>
      <c r="CX123" s="197">
        <f>'Margins summary'!$S$14</f>
        <v>175.95</v>
      </c>
      <c r="CY123" s="197">
        <f t="shared" si="313"/>
        <v>1078.83</v>
      </c>
      <c r="CZ123" s="197"/>
      <c r="DA123" s="918">
        <f>'Energy NPV'!U49</f>
        <v>393.31078400000001</v>
      </c>
      <c r="DB123" s="197"/>
      <c r="DC123" s="197">
        <f t="shared" si="314"/>
        <v>393.31078400000001</v>
      </c>
      <c r="DD123" s="197">
        <f t="shared" si="279"/>
        <v>509.56921599999987</v>
      </c>
      <c r="DE123" s="197">
        <f t="shared" si="280"/>
        <v>685.51921599999991</v>
      </c>
      <c r="DF123" s="196">
        <f t="shared" si="315"/>
        <v>902.87999999999988</v>
      </c>
      <c r="DG123" s="197">
        <f t="shared" si="316"/>
        <v>175.95</v>
      </c>
      <c r="DH123" s="197">
        <f t="shared" si="317"/>
        <v>393.31078400000001</v>
      </c>
      <c r="DI123" s="197">
        <f t="shared" si="318"/>
        <v>509.56921599999987</v>
      </c>
      <c r="DJ123" s="199">
        <f t="shared" si="319"/>
        <v>685.51921599999991</v>
      </c>
      <c r="DK123" s="196">
        <f t="shared" si="335"/>
        <v>8348.0399999999991</v>
      </c>
      <c r="DL123" s="197">
        <f t="shared" si="320"/>
        <v>1935.4500000000003</v>
      </c>
      <c r="DM123" s="197">
        <f t="shared" si="320"/>
        <v>6384.4418240000014</v>
      </c>
      <c r="DN123" s="197">
        <f t="shared" si="320"/>
        <v>1963.5981759999986</v>
      </c>
      <c r="DO123" s="199">
        <f t="shared" si="320"/>
        <v>3899.0481759999993</v>
      </c>
    </row>
    <row r="124" spans="2:119" x14ac:dyDescent="0.3">
      <c r="B124" s="204">
        <f t="shared" si="321"/>
        <v>12</v>
      </c>
      <c r="C124" s="760">
        <f>'Energy NPV'!$D50</f>
        <v>12.54</v>
      </c>
      <c r="D124" s="197">
        <f>'Energy margins'!$L$12</f>
        <v>72</v>
      </c>
      <c r="E124" s="197">
        <f t="shared" si="322"/>
        <v>902.87999999999988</v>
      </c>
      <c r="F124" s="197">
        <f>'Margins summary'!$S$14</f>
        <v>175.95</v>
      </c>
      <c r="G124" s="197">
        <f t="shared" si="281"/>
        <v>1078.83</v>
      </c>
      <c r="H124" s="197"/>
      <c r="I124" s="918">
        <f>'Energy NPV'!U50</f>
        <v>393.31078400000001</v>
      </c>
      <c r="J124" s="197"/>
      <c r="K124" s="197">
        <f t="shared" si="282"/>
        <v>393.31078400000001</v>
      </c>
      <c r="L124" s="197">
        <f t="shared" si="271"/>
        <v>509.56921599999987</v>
      </c>
      <c r="M124" s="197">
        <f t="shared" si="272"/>
        <v>685.51921599999991</v>
      </c>
      <c r="N124" s="196">
        <f t="shared" si="283"/>
        <v>586.49363148984321</v>
      </c>
      <c r="O124" s="197">
        <f t="shared" si="284"/>
        <v>114.29376490855698</v>
      </c>
      <c r="P124" s="197">
        <f t="shared" si="285"/>
        <v>255.48718546459924</v>
      </c>
      <c r="Q124" s="197">
        <f t="shared" si="286"/>
        <v>331.00644602524397</v>
      </c>
      <c r="R124" s="199">
        <f t="shared" si="287"/>
        <v>445.300210933801</v>
      </c>
      <c r="S124" s="196">
        <f t="shared" si="323"/>
        <v>7260.5781476651518</v>
      </c>
      <c r="T124" s="197">
        <f t="shared" si="288"/>
        <v>1717.3558772860742</v>
      </c>
      <c r="U124" s="197">
        <f t="shared" si="288"/>
        <v>5884.0114574441877</v>
      </c>
      <c r="V124" s="197">
        <f t="shared" si="288"/>
        <v>1376.5666902209639</v>
      </c>
      <c r="W124" s="199">
        <f t="shared" si="288"/>
        <v>3093.9225675070384</v>
      </c>
      <c r="X124" s="197"/>
      <c r="Z124" s="204">
        <f t="shared" si="324"/>
        <v>12</v>
      </c>
      <c r="AA124" s="760">
        <f>'Energy NPV'!$D50</f>
        <v>12.54</v>
      </c>
      <c r="AB124" s="197">
        <f>'Energy margins'!$L$12</f>
        <v>72</v>
      </c>
      <c r="AC124" s="197">
        <f t="shared" si="325"/>
        <v>902.87999999999988</v>
      </c>
      <c r="AD124" s="197">
        <f>'Margins summary'!$S$14</f>
        <v>175.95</v>
      </c>
      <c r="AE124" s="197">
        <f t="shared" si="289"/>
        <v>1078.83</v>
      </c>
      <c r="AF124" s="197"/>
      <c r="AG124" s="918">
        <f>'Energy NPV'!U50</f>
        <v>393.31078400000001</v>
      </c>
      <c r="AH124" s="197"/>
      <c r="AI124" s="197">
        <f t="shared" si="290"/>
        <v>393.31078400000001</v>
      </c>
      <c r="AJ124" s="197">
        <f t="shared" si="273"/>
        <v>509.56921599999987</v>
      </c>
      <c r="AK124" s="197">
        <f t="shared" si="274"/>
        <v>685.51921599999991</v>
      </c>
      <c r="AL124" s="196">
        <f t="shared" si="291"/>
        <v>475.62592092558629</v>
      </c>
      <c r="AM124" s="197">
        <f t="shared" si="292"/>
        <v>92.688265092655627</v>
      </c>
      <c r="AN124" s="197">
        <f t="shared" si="293"/>
        <v>207.19121461319818</v>
      </c>
      <c r="AO124" s="197">
        <f t="shared" si="294"/>
        <v>268.43470631238813</v>
      </c>
      <c r="AP124" s="199">
        <f t="shared" si="295"/>
        <v>361.12297140504376</v>
      </c>
      <c r="AQ124" s="196">
        <f t="shared" si="326"/>
        <v>6486.6566756854536</v>
      </c>
      <c r="AR124" s="197">
        <f t="shared" si="296"/>
        <v>1563.6455817890712</v>
      </c>
      <c r="AS124" s="197">
        <f t="shared" si="296"/>
        <v>5534.4399332080557</v>
      </c>
      <c r="AT124" s="197">
        <f t="shared" si="296"/>
        <v>952.21674247739827</v>
      </c>
      <c r="AU124" s="199">
        <f t="shared" si="296"/>
        <v>2515.8623242664703</v>
      </c>
      <c r="AV124" s="197"/>
      <c r="AX124" s="204">
        <f t="shared" si="327"/>
        <v>12</v>
      </c>
      <c r="AY124" s="760">
        <f>'Energy NPV'!$D50</f>
        <v>12.54</v>
      </c>
      <c r="AZ124" s="197">
        <f>'Energy margins'!$L$12</f>
        <v>72</v>
      </c>
      <c r="BA124" s="197">
        <f t="shared" si="328"/>
        <v>902.87999999999988</v>
      </c>
      <c r="BB124" s="197">
        <f>'Margins summary'!$S$14</f>
        <v>175.95</v>
      </c>
      <c r="BC124" s="197">
        <f t="shared" si="297"/>
        <v>1078.83</v>
      </c>
      <c r="BD124" s="197"/>
      <c r="BE124" s="918">
        <f>'Energy NPV'!U50</f>
        <v>393.31078400000001</v>
      </c>
      <c r="BF124" s="197"/>
      <c r="BG124" s="197">
        <f t="shared" si="298"/>
        <v>393.31078400000001</v>
      </c>
      <c r="BH124" s="197">
        <f t="shared" si="275"/>
        <v>509.56921599999987</v>
      </c>
      <c r="BI124" s="197">
        <f t="shared" si="276"/>
        <v>685.51921599999991</v>
      </c>
      <c r="BJ124" s="196">
        <f t="shared" si="299"/>
        <v>726.15301273654927</v>
      </c>
      <c r="BK124" s="197">
        <f t="shared" si="300"/>
        <v>141.51008172846431</v>
      </c>
      <c r="BL124" s="197">
        <f t="shared" si="301"/>
        <v>316.32532644800443</v>
      </c>
      <c r="BM124" s="197">
        <f t="shared" si="302"/>
        <v>409.82768628854484</v>
      </c>
      <c r="BN124" s="199">
        <f t="shared" si="303"/>
        <v>551.33776801700924</v>
      </c>
      <c r="BO124" s="196">
        <f t="shared" si="329"/>
        <v>8171.7777368749612</v>
      </c>
      <c r="BP124" s="197">
        <f t="shared" si="304"/>
        <v>1897.9459135767856</v>
      </c>
      <c r="BQ124" s="197">
        <f t="shared" si="304"/>
        <v>6293.9821160403826</v>
      </c>
      <c r="BR124" s="197">
        <f t="shared" si="304"/>
        <v>1877.795620834577</v>
      </c>
      <c r="BS124" s="199">
        <f t="shared" si="304"/>
        <v>3775.7415344113647</v>
      </c>
      <c r="BT124" s="197"/>
      <c r="BV124" s="204">
        <f t="shared" si="330"/>
        <v>12</v>
      </c>
      <c r="BW124" s="760">
        <f>'Energy NPV'!$D50</f>
        <v>12.54</v>
      </c>
      <c r="BX124" s="197">
        <f>'Energy margins'!$L$12</f>
        <v>72</v>
      </c>
      <c r="BY124" s="197">
        <f t="shared" si="331"/>
        <v>902.87999999999988</v>
      </c>
      <c r="BZ124" s="197">
        <f>'Margins summary'!$S$14</f>
        <v>175.95</v>
      </c>
      <c r="CA124" s="197">
        <f t="shared" si="305"/>
        <v>1078.83</v>
      </c>
      <c r="CB124" s="197"/>
      <c r="CC124" s="918">
        <f>'Energy NPV'!U50</f>
        <v>393.31078400000001</v>
      </c>
      <c r="CD124" s="197"/>
      <c r="CE124" s="197">
        <f t="shared" si="306"/>
        <v>393.31078400000001</v>
      </c>
      <c r="CF124" s="197">
        <f t="shared" si="277"/>
        <v>509.56921599999987</v>
      </c>
      <c r="CG124" s="197">
        <f t="shared" si="278"/>
        <v>685.51921599999991</v>
      </c>
      <c r="CH124" s="196">
        <f t="shared" si="307"/>
        <v>387.22975603879598</v>
      </c>
      <c r="CI124" s="197">
        <f t="shared" si="308"/>
        <v>75.461939100463141</v>
      </c>
      <c r="CJ124" s="197">
        <f t="shared" si="309"/>
        <v>168.68425365026096</v>
      </c>
      <c r="CK124" s="197">
        <f t="shared" si="310"/>
        <v>218.54550238853503</v>
      </c>
      <c r="CL124" s="199">
        <f t="shared" si="311"/>
        <v>294.00744148899821</v>
      </c>
      <c r="CM124" s="196">
        <f t="shared" si="332"/>
        <v>5825.6058272928221</v>
      </c>
      <c r="CN124" s="197">
        <f t="shared" si="312"/>
        <v>1432.0507612442098</v>
      </c>
      <c r="CO124" s="197">
        <f t="shared" si="312"/>
        <v>5234.5961582277032</v>
      </c>
      <c r="CP124" s="197">
        <f t="shared" si="312"/>
        <v>591.0096690651194</v>
      </c>
      <c r="CQ124" s="199">
        <f t="shared" si="312"/>
        <v>2023.0604303093294</v>
      </c>
      <c r="CR124" s="197"/>
      <c r="CT124" s="204">
        <f t="shared" si="333"/>
        <v>12</v>
      </c>
      <c r="CU124" s="760">
        <f>'Energy NPV'!$D50</f>
        <v>12.54</v>
      </c>
      <c r="CV124" s="197">
        <f>'Energy margins'!$L$12</f>
        <v>72</v>
      </c>
      <c r="CW124" s="197">
        <f t="shared" si="334"/>
        <v>902.87999999999988</v>
      </c>
      <c r="CX124" s="197">
        <f>'Margins summary'!$S$14</f>
        <v>175.95</v>
      </c>
      <c r="CY124" s="197">
        <f t="shared" si="313"/>
        <v>1078.83</v>
      </c>
      <c r="CZ124" s="197"/>
      <c r="DA124" s="918">
        <f>'Energy NPV'!U50</f>
        <v>393.31078400000001</v>
      </c>
      <c r="DB124" s="197"/>
      <c r="DC124" s="197">
        <f t="shared" si="314"/>
        <v>393.31078400000001</v>
      </c>
      <c r="DD124" s="197">
        <f t="shared" si="279"/>
        <v>509.56921599999987</v>
      </c>
      <c r="DE124" s="197">
        <f t="shared" si="280"/>
        <v>685.51921599999991</v>
      </c>
      <c r="DF124" s="196">
        <f t="shared" si="315"/>
        <v>902.87999999999988</v>
      </c>
      <c r="DG124" s="197">
        <f t="shared" si="316"/>
        <v>175.95</v>
      </c>
      <c r="DH124" s="197">
        <f t="shared" si="317"/>
        <v>393.31078400000001</v>
      </c>
      <c r="DI124" s="197">
        <f t="shared" si="318"/>
        <v>509.56921599999987</v>
      </c>
      <c r="DJ124" s="199">
        <f t="shared" si="319"/>
        <v>685.51921599999991</v>
      </c>
      <c r="DK124" s="196">
        <f t="shared" si="335"/>
        <v>9250.9199999999983</v>
      </c>
      <c r="DL124" s="197">
        <f t="shared" si="320"/>
        <v>2111.4</v>
      </c>
      <c r="DM124" s="197">
        <f t="shared" si="320"/>
        <v>6777.7526080000016</v>
      </c>
      <c r="DN124" s="197">
        <f t="shared" si="320"/>
        <v>2473.1673919999985</v>
      </c>
      <c r="DO124" s="199">
        <f t="shared" si="320"/>
        <v>4584.567391999999</v>
      </c>
    </row>
    <row r="125" spans="2:119" x14ac:dyDescent="0.3">
      <c r="B125" s="204">
        <f t="shared" si="321"/>
        <v>13</v>
      </c>
      <c r="C125" s="760">
        <f>'Energy NPV'!$D51</f>
        <v>12.54</v>
      </c>
      <c r="D125" s="197">
        <f>'Energy margins'!$L$12</f>
        <v>72</v>
      </c>
      <c r="E125" s="197">
        <f t="shared" si="322"/>
        <v>902.87999999999988</v>
      </c>
      <c r="F125" s="197">
        <f>'Margins summary'!$S$14</f>
        <v>175.95</v>
      </c>
      <c r="G125" s="197">
        <f t="shared" si="281"/>
        <v>1078.83</v>
      </c>
      <c r="H125" s="197"/>
      <c r="I125" s="918">
        <f>'Energy NPV'!U51</f>
        <v>393.31078400000001</v>
      </c>
      <c r="J125" s="197"/>
      <c r="K125" s="197">
        <f t="shared" si="282"/>
        <v>393.31078400000001</v>
      </c>
      <c r="L125" s="197">
        <f t="shared" si="271"/>
        <v>509.56921599999987</v>
      </c>
      <c r="M125" s="197">
        <f t="shared" si="272"/>
        <v>685.51921599999991</v>
      </c>
      <c r="N125" s="196">
        <f t="shared" si="283"/>
        <v>563.93618412484909</v>
      </c>
      <c r="O125" s="197">
        <f t="shared" si="284"/>
        <v>109.89785087361246</v>
      </c>
      <c r="P125" s="197">
        <f t="shared" si="285"/>
        <v>245.6607552544223</v>
      </c>
      <c r="Q125" s="197">
        <f t="shared" si="286"/>
        <v>318.27542887042682</v>
      </c>
      <c r="R125" s="199">
        <f t="shared" si="287"/>
        <v>428.17327974403935</v>
      </c>
      <c r="S125" s="196">
        <f t="shared" si="323"/>
        <v>7824.5143317900011</v>
      </c>
      <c r="T125" s="197">
        <f t="shared" si="288"/>
        <v>1827.2537281596867</v>
      </c>
      <c r="U125" s="197">
        <f t="shared" si="288"/>
        <v>6129.6722126986097</v>
      </c>
      <c r="V125" s="197">
        <f t="shared" si="288"/>
        <v>1694.8421190913907</v>
      </c>
      <c r="W125" s="199">
        <f t="shared" si="288"/>
        <v>3522.0958472510779</v>
      </c>
      <c r="X125" s="197"/>
      <c r="Z125" s="204">
        <f t="shared" si="324"/>
        <v>13</v>
      </c>
      <c r="AA125" s="760">
        <f>'Energy NPV'!$D51</f>
        <v>12.54</v>
      </c>
      <c r="AB125" s="197">
        <f>'Energy margins'!$L$12</f>
        <v>72</v>
      </c>
      <c r="AC125" s="197">
        <f t="shared" si="325"/>
        <v>902.87999999999988</v>
      </c>
      <c r="AD125" s="197">
        <f>'Margins summary'!$S$14</f>
        <v>175.95</v>
      </c>
      <c r="AE125" s="197">
        <f t="shared" si="289"/>
        <v>1078.83</v>
      </c>
      <c r="AF125" s="197"/>
      <c r="AG125" s="918">
        <f>'Energy NPV'!U51</f>
        <v>393.31078400000001</v>
      </c>
      <c r="AH125" s="197"/>
      <c r="AI125" s="197">
        <f t="shared" si="290"/>
        <v>393.31078400000001</v>
      </c>
      <c r="AJ125" s="197">
        <f t="shared" si="273"/>
        <v>509.56921599999987</v>
      </c>
      <c r="AK125" s="197">
        <f t="shared" si="274"/>
        <v>685.51921599999991</v>
      </c>
      <c r="AL125" s="196">
        <f t="shared" si="291"/>
        <v>448.70369898640217</v>
      </c>
      <c r="AM125" s="197">
        <f t="shared" si="292"/>
        <v>87.441759521373228</v>
      </c>
      <c r="AN125" s="197">
        <f t="shared" si="293"/>
        <v>195.46341001245111</v>
      </c>
      <c r="AO125" s="197">
        <f t="shared" si="294"/>
        <v>253.24028897395104</v>
      </c>
      <c r="AP125" s="199">
        <f t="shared" si="295"/>
        <v>340.6820484953243</v>
      </c>
      <c r="AQ125" s="196">
        <f t="shared" si="326"/>
        <v>6935.3603746718554</v>
      </c>
      <c r="AR125" s="197">
        <f t="shared" si="296"/>
        <v>1651.0873413104446</v>
      </c>
      <c r="AS125" s="197">
        <f t="shared" si="296"/>
        <v>5729.9033432205069</v>
      </c>
      <c r="AT125" s="197">
        <f t="shared" si="296"/>
        <v>1205.4570314513494</v>
      </c>
      <c r="AU125" s="199">
        <f t="shared" si="296"/>
        <v>2856.5443727617944</v>
      </c>
      <c r="AV125" s="197"/>
      <c r="AX125" s="204">
        <f t="shared" si="327"/>
        <v>13</v>
      </c>
      <c r="AY125" s="760">
        <f>'Energy NPV'!$D51</f>
        <v>12.54</v>
      </c>
      <c r="AZ125" s="197">
        <f>'Energy margins'!$L$12</f>
        <v>72</v>
      </c>
      <c r="BA125" s="197">
        <f t="shared" si="328"/>
        <v>902.87999999999988</v>
      </c>
      <c r="BB125" s="197">
        <f>'Margins summary'!$S$14</f>
        <v>175.95</v>
      </c>
      <c r="BC125" s="197">
        <f t="shared" si="297"/>
        <v>1078.83</v>
      </c>
      <c r="BD125" s="197"/>
      <c r="BE125" s="918">
        <f>'Energy NPV'!U51</f>
        <v>393.31078400000001</v>
      </c>
      <c r="BF125" s="197"/>
      <c r="BG125" s="197">
        <f t="shared" si="298"/>
        <v>393.31078400000001</v>
      </c>
      <c r="BH125" s="197">
        <f t="shared" si="275"/>
        <v>509.56921599999987</v>
      </c>
      <c r="BI125" s="197">
        <f t="shared" si="276"/>
        <v>685.51921599999991</v>
      </c>
      <c r="BJ125" s="196">
        <f t="shared" si="299"/>
        <v>711.91471836916583</v>
      </c>
      <c r="BK125" s="197">
        <f t="shared" si="300"/>
        <v>138.73537424359245</v>
      </c>
      <c r="BL125" s="197">
        <f t="shared" si="301"/>
        <v>310.12286906667094</v>
      </c>
      <c r="BM125" s="197">
        <f t="shared" si="302"/>
        <v>401.79184930249488</v>
      </c>
      <c r="BN125" s="199">
        <f t="shared" si="303"/>
        <v>540.52722354608738</v>
      </c>
      <c r="BO125" s="196">
        <f t="shared" si="329"/>
        <v>8883.6924552441269</v>
      </c>
      <c r="BP125" s="197">
        <f t="shared" si="304"/>
        <v>2036.6812878203782</v>
      </c>
      <c r="BQ125" s="197">
        <f t="shared" si="304"/>
        <v>6604.1049851070538</v>
      </c>
      <c r="BR125" s="197">
        <f t="shared" si="304"/>
        <v>2279.5874701370717</v>
      </c>
      <c r="BS125" s="199">
        <f t="shared" si="304"/>
        <v>4316.2687579574522</v>
      </c>
      <c r="BT125" s="197"/>
      <c r="BV125" s="204">
        <f t="shared" si="330"/>
        <v>13</v>
      </c>
      <c r="BW125" s="760">
        <f>'Energy NPV'!$D51</f>
        <v>12.54</v>
      </c>
      <c r="BX125" s="197">
        <f>'Energy margins'!$L$12</f>
        <v>72</v>
      </c>
      <c r="BY125" s="197">
        <f t="shared" si="331"/>
        <v>902.87999999999988</v>
      </c>
      <c r="BZ125" s="197">
        <f>'Margins summary'!$S$14</f>
        <v>175.95</v>
      </c>
      <c r="CA125" s="197">
        <f t="shared" si="305"/>
        <v>1078.83</v>
      </c>
      <c r="CB125" s="197"/>
      <c r="CC125" s="918">
        <f>'Energy NPV'!U51</f>
        <v>393.31078400000001</v>
      </c>
      <c r="CD125" s="197"/>
      <c r="CE125" s="197">
        <f t="shared" si="306"/>
        <v>393.31078400000001</v>
      </c>
      <c r="CF125" s="197">
        <f t="shared" si="277"/>
        <v>509.56921599999987</v>
      </c>
      <c r="CG125" s="197">
        <f t="shared" si="278"/>
        <v>685.51921599999991</v>
      </c>
      <c r="CH125" s="196">
        <f t="shared" si="307"/>
        <v>358.54607040629253</v>
      </c>
      <c r="CI125" s="197">
        <f t="shared" si="308"/>
        <v>69.872165833762153</v>
      </c>
      <c r="CJ125" s="197">
        <f t="shared" si="309"/>
        <v>156.18912375024161</v>
      </c>
      <c r="CK125" s="197">
        <f t="shared" si="310"/>
        <v>202.35694665605095</v>
      </c>
      <c r="CL125" s="199">
        <f t="shared" si="311"/>
        <v>272.22911248981313</v>
      </c>
      <c r="CM125" s="196">
        <f t="shared" si="332"/>
        <v>6184.1518976991147</v>
      </c>
      <c r="CN125" s="197">
        <f t="shared" si="312"/>
        <v>1501.922927077972</v>
      </c>
      <c r="CO125" s="197">
        <f t="shared" si="312"/>
        <v>5390.7852819779446</v>
      </c>
      <c r="CP125" s="197">
        <f t="shared" si="312"/>
        <v>793.36661572117032</v>
      </c>
      <c r="CQ125" s="199">
        <f t="shared" si="312"/>
        <v>2295.2895427991425</v>
      </c>
      <c r="CR125" s="197"/>
      <c r="CT125" s="204">
        <f t="shared" si="333"/>
        <v>13</v>
      </c>
      <c r="CU125" s="760">
        <f>'Energy NPV'!$D51</f>
        <v>12.54</v>
      </c>
      <c r="CV125" s="197">
        <f>'Energy margins'!$L$12</f>
        <v>72</v>
      </c>
      <c r="CW125" s="197">
        <f t="shared" si="334"/>
        <v>902.87999999999988</v>
      </c>
      <c r="CX125" s="197">
        <f>'Margins summary'!$S$14</f>
        <v>175.95</v>
      </c>
      <c r="CY125" s="197">
        <f t="shared" si="313"/>
        <v>1078.83</v>
      </c>
      <c r="CZ125" s="197"/>
      <c r="DA125" s="918">
        <f>'Energy NPV'!U51</f>
        <v>393.31078400000001</v>
      </c>
      <c r="DB125" s="197"/>
      <c r="DC125" s="197">
        <f t="shared" si="314"/>
        <v>393.31078400000001</v>
      </c>
      <c r="DD125" s="197">
        <f t="shared" si="279"/>
        <v>509.56921599999987</v>
      </c>
      <c r="DE125" s="197">
        <f t="shared" si="280"/>
        <v>685.51921599999991</v>
      </c>
      <c r="DF125" s="196">
        <f t="shared" si="315"/>
        <v>902.87999999999988</v>
      </c>
      <c r="DG125" s="197">
        <f t="shared" si="316"/>
        <v>175.95</v>
      </c>
      <c r="DH125" s="197">
        <f t="shared" si="317"/>
        <v>393.31078400000001</v>
      </c>
      <c r="DI125" s="197">
        <f t="shared" si="318"/>
        <v>509.56921599999987</v>
      </c>
      <c r="DJ125" s="199">
        <f t="shared" si="319"/>
        <v>685.51921599999991</v>
      </c>
      <c r="DK125" s="196">
        <f t="shared" si="335"/>
        <v>10153.799999999997</v>
      </c>
      <c r="DL125" s="197">
        <f t="shared" si="320"/>
        <v>2287.35</v>
      </c>
      <c r="DM125" s="197">
        <f t="shared" si="320"/>
        <v>7171.0633920000018</v>
      </c>
      <c r="DN125" s="197">
        <f t="shared" si="320"/>
        <v>2982.7366079999983</v>
      </c>
      <c r="DO125" s="199">
        <f t="shared" si="320"/>
        <v>5270.0866079999987</v>
      </c>
    </row>
    <row r="126" spans="2:119" x14ac:dyDescent="0.3">
      <c r="B126" s="204">
        <f t="shared" si="321"/>
        <v>14</v>
      </c>
      <c r="C126" s="760">
        <f>'Energy NPV'!$D52</f>
        <v>12.54</v>
      </c>
      <c r="D126" s="197">
        <f>'Energy margins'!$L$12</f>
        <v>72</v>
      </c>
      <c r="E126" s="197">
        <f t="shared" si="322"/>
        <v>902.87999999999988</v>
      </c>
      <c r="F126" s="197">
        <f>'Margins summary'!$S$14</f>
        <v>175.95</v>
      </c>
      <c r="G126" s="197">
        <f t="shared" si="281"/>
        <v>1078.83</v>
      </c>
      <c r="H126" s="197"/>
      <c r="I126" s="918">
        <f>'Energy NPV'!U52</f>
        <v>393.31078400000001</v>
      </c>
      <c r="J126" s="197"/>
      <c r="K126" s="197">
        <f t="shared" si="282"/>
        <v>393.31078400000001</v>
      </c>
      <c r="L126" s="197">
        <f t="shared" si="271"/>
        <v>509.56921599999987</v>
      </c>
      <c r="M126" s="197">
        <f t="shared" si="272"/>
        <v>685.51921599999991</v>
      </c>
      <c r="N126" s="196">
        <f t="shared" si="283"/>
        <v>542.24633088927806</v>
      </c>
      <c r="O126" s="197">
        <f t="shared" si="284"/>
        <v>105.67101045539658</v>
      </c>
      <c r="P126" s="197">
        <f t="shared" si="285"/>
        <v>236.21226466771375</v>
      </c>
      <c r="Q126" s="197">
        <f t="shared" si="286"/>
        <v>306.03406622156427</v>
      </c>
      <c r="R126" s="199">
        <f t="shared" si="287"/>
        <v>411.70507667696086</v>
      </c>
      <c r="S126" s="196">
        <f t="shared" si="323"/>
        <v>8366.7606626792785</v>
      </c>
      <c r="T126" s="197">
        <f t="shared" si="288"/>
        <v>1932.9247386150832</v>
      </c>
      <c r="U126" s="197">
        <f t="shared" si="288"/>
        <v>6365.8844773663232</v>
      </c>
      <c r="V126" s="197">
        <f t="shared" si="288"/>
        <v>2000.8761853129549</v>
      </c>
      <c r="W126" s="199">
        <f t="shared" si="288"/>
        <v>3933.8009239280386</v>
      </c>
      <c r="X126" s="197"/>
      <c r="Z126" s="204">
        <f t="shared" si="324"/>
        <v>14</v>
      </c>
      <c r="AA126" s="760">
        <f>'Energy NPV'!$D52</f>
        <v>12.54</v>
      </c>
      <c r="AB126" s="197">
        <f>'Energy margins'!$L$12</f>
        <v>72</v>
      </c>
      <c r="AC126" s="197">
        <f t="shared" si="325"/>
        <v>902.87999999999988</v>
      </c>
      <c r="AD126" s="197">
        <f>'Margins summary'!$S$14</f>
        <v>175.95</v>
      </c>
      <c r="AE126" s="197">
        <f t="shared" si="289"/>
        <v>1078.83</v>
      </c>
      <c r="AF126" s="197"/>
      <c r="AG126" s="918">
        <f>'Energy NPV'!U52</f>
        <v>393.31078400000001</v>
      </c>
      <c r="AH126" s="197"/>
      <c r="AI126" s="197">
        <f t="shared" si="290"/>
        <v>393.31078400000001</v>
      </c>
      <c r="AJ126" s="197">
        <f t="shared" si="273"/>
        <v>509.56921599999987</v>
      </c>
      <c r="AK126" s="197">
        <f t="shared" si="274"/>
        <v>685.51921599999991</v>
      </c>
      <c r="AL126" s="196">
        <f t="shared" si="291"/>
        <v>423.30537640226612</v>
      </c>
      <c r="AM126" s="197">
        <f t="shared" si="292"/>
        <v>82.492225963559648</v>
      </c>
      <c r="AN126" s="197">
        <f t="shared" si="293"/>
        <v>184.39944340797274</v>
      </c>
      <c r="AO126" s="197">
        <f t="shared" si="294"/>
        <v>238.90593299429341</v>
      </c>
      <c r="AP126" s="199">
        <f t="shared" si="295"/>
        <v>321.39815895785307</v>
      </c>
      <c r="AQ126" s="196">
        <f t="shared" si="326"/>
        <v>7358.6657510741215</v>
      </c>
      <c r="AR126" s="197">
        <f t="shared" si="296"/>
        <v>1733.5795672740041</v>
      </c>
      <c r="AS126" s="197">
        <f t="shared" si="296"/>
        <v>5914.3027866284792</v>
      </c>
      <c r="AT126" s="197">
        <f t="shared" si="296"/>
        <v>1444.3629644456428</v>
      </c>
      <c r="AU126" s="199">
        <f t="shared" si="296"/>
        <v>3177.9425317196474</v>
      </c>
      <c r="AV126" s="197"/>
      <c r="AX126" s="204">
        <f t="shared" si="327"/>
        <v>14</v>
      </c>
      <c r="AY126" s="760">
        <f>'Energy NPV'!$D52</f>
        <v>12.54</v>
      </c>
      <c r="AZ126" s="197">
        <f>'Energy margins'!$L$12</f>
        <v>72</v>
      </c>
      <c r="BA126" s="197">
        <f t="shared" si="328"/>
        <v>902.87999999999988</v>
      </c>
      <c r="BB126" s="197">
        <f>'Margins summary'!$S$14</f>
        <v>175.95</v>
      </c>
      <c r="BC126" s="197">
        <f t="shared" si="297"/>
        <v>1078.83</v>
      </c>
      <c r="BD126" s="197"/>
      <c r="BE126" s="918">
        <f>'Energy NPV'!U52</f>
        <v>393.31078400000001</v>
      </c>
      <c r="BF126" s="197"/>
      <c r="BG126" s="197">
        <f t="shared" si="298"/>
        <v>393.31078400000001</v>
      </c>
      <c r="BH126" s="197">
        <f t="shared" si="275"/>
        <v>509.56921599999987</v>
      </c>
      <c r="BI126" s="197">
        <f t="shared" si="276"/>
        <v>685.51921599999991</v>
      </c>
      <c r="BJ126" s="196">
        <f t="shared" si="299"/>
        <v>697.95560624428026</v>
      </c>
      <c r="BK126" s="197">
        <f t="shared" si="300"/>
        <v>136.01507278783572</v>
      </c>
      <c r="BL126" s="197">
        <f t="shared" si="301"/>
        <v>304.04202849673624</v>
      </c>
      <c r="BM126" s="197">
        <f t="shared" si="302"/>
        <v>393.91357774754402</v>
      </c>
      <c r="BN126" s="199">
        <f t="shared" si="303"/>
        <v>529.9286505353798</v>
      </c>
      <c r="BO126" s="196">
        <f t="shared" si="329"/>
        <v>9581.6480614884076</v>
      </c>
      <c r="BP126" s="197">
        <f t="shared" si="304"/>
        <v>2172.696360608214</v>
      </c>
      <c r="BQ126" s="197">
        <f t="shared" si="304"/>
        <v>6908.1470136037897</v>
      </c>
      <c r="BR126" s="197">
        <f t="shared" si="304"/>
        <v>2673.5010478846157</v>
      </c>
      <c r="BS126" s="199">
        <f t="shared" si="304"/>
        <v>4846.1974084928315</v>
      </c>
      <c r="BT126" s="197"/>
      <c r="BV126" s="204">
        <f t="shared" si="330"/>
        <v>14</v>
      </c>
      <c r="BW126" s="760">
        <f>'Energy NPV'!$D52</f>
        <v>12.54</v>
      </c>
      <c r="BX126" s="197">
        <f>'Energy margins'!$L$12</f>
        <v>72</v>
      </c>
      <c r="BY126" s="197">
        <f t="shared" si="331"/>
        <v>902.87999999999988</v>
      </c>
      <c r="BZ126" s="197">
        <f>'Margins summary'!$S$14</f>
        <v>175.95</v>
      </c>
      <c r="CA126" s="197">
        <f t="shared" si="305"/>
        <v>1078.83</v>
      </c>
      <c r="CB126" s="197"/>
      <c r="CC126" s="918">
        <f>'Energy NPV'!U52</f>
        <v>393.31078400000001</v>
      </c>
      <c r="CD126" s="197"/>
      <c r="CE126" s="197">
        <f t="shared" si="306"/>
        <v>393.31078400000001</v>
      </c>
      <c r="CF126" s="197">
        <f t="shared" si="277"/>
        <v>509.56921599999987</v>
      </c>
      <c r="CG126" s="197">
        <f t="shared" si="278"/>
        <v>685.51921599999991</v>
      </c>
      <c r="CH126" s="196">
        <f t="shared" si="307"/>
        <v>331.98710222804868</v>
      </c>
      <c r="CI126" s="197">
        <f t="shared" si="308"/>
        <v>64.696449846076078</v>
      </c>
      <c r="CJ126" s="197">
        <f t="shared" si="309"/>
        <v>144.6195590280015</v>
      </c>
      <c r="CK126" s="197">
        <f t="shared" si="310"/>
        <v>187.36754320004718</v>
      </c>
      <c r="CL126" s="199">
        <f t="shared" si="311"/>
        <v>252.06399304612327</v>
      </c>
      <c r="CM126" s="196">
        <f t="shared" si="332"/>
        <v>6516.1389999271632</v>
      </c>
      <c r="CN126" s="197">
        <f t="shared" si="312"/>
        <v>1566.6193769240481</v>
      </c>
      <c r="CO126" s="197">
        <f t="shared" si="312"/>
        <v>5535.4048410059459</v>
      </c>
      <c r="CP126" s="197">
        <f t="shared" si="312"/>
        <v>980.7341589212175</v>
      </c>
      <c r="CQ126" s="199">
        <f t="shared" si="312"/>
        <v>2547.3535358452659</v>
      </c>
      <c r="CR126" s="197"/>
      <c r="CT126" s="204">
        <f t="shared" si="333"/>
        <v>14</v>
      </c>
      <c r="CU126" s="760">
        <f>'Energy NPV'!$D52</f>
        <v>12.54</v>
      </c>
      <c r="CV126" s="197">
        <f>'Energy margins'!$L$12</f>
        <v>72</v>
      </c>
      <c r="CW126" s="197">
        <f t="shared" si="334"/>
        <v>902.87999999999988</v>
      </c>
      <c r="CX126" s="197">
        <f>'Margins summary'!$S$14</f>
        <v>175.95</v>
      </c>
      <c r="CY126" s="197">
        <f t="shared" si="313"/>
        <v>1078.83</v>
      </c>
      <c r="CZ126" s="197"/>
      <c r="DA126" s="918">
        <f>'Energy NPV'!U52</f>
        <v>393.31078400000001</v>
      </c>
      <c r="DB126" s="197"/>
      <c r="DC126" s="197">
        <f t="shared" si="314"/>
        <v>393.31078400000001</v>
      </c>
      <c r="DD126" s="197">
        <f t="shared" si="279"/>
        <v>509.56921599999987</v>
      </c>
      <c r="DE126" s="197">
        <f t="shared" si="280"/>
        <v>685.51921599999991</v>
      </c>
      <c r="DF126" s="196">
        <f t="shared" si="315"/>
        <v>902.87999999999988</v>
      </c>
      <c r="DG126" s="197">
        <f t="shared" si="316"/>
        <v>175.95</v>
      </c>
      <c r="DH126" s="197">
        <f t="shared" si="317"/>
        <v>393.31078400000001</v>
      </c>
      <c r="DI126" s="197">
        <f t="shared" si="318"/>
        <v>509.56921599999987</v>
      </c>
      <c r="DJ126" s="199">
        <f t="shared" si="319"/>
        <v>685.51921599999991</v>
      </c>
      <c r="DK126" s="196">
        <f t="shared" si="335"/>
        <v>11056.679999999997</v>
      </c>
      <c r="DL126" s="197">
        <f t="shared" si="320"/>
        <v>2463.2999999999997</v>
      </c>
      <c r="DM126" s="197">
        <f t="shared" si="320"/>
        <v>7564.3741760000021</v>
      </c>
      <c r="DN126" s="197">
        <f t="shared" si="320"/>
        <v>3492.3058239999982</v>
      </c>
      <c r="DO126" s="199">
        <f t="shared" si="320"/>
        <v>5955.6058239999984</v>
      </c>
    </row>
    <row r="127" spans="2:119" x14ac:dyDescent="0.3">
      <c r="B127" s="204">
        <f t="shared" si="321"/>
        <v>15</v>
      </c>
      <c r="C127" s="760">
        <f>'Energy NPV'!$D53</f>
        <v>12.54</v>
      </c>
      <c r="D127" s="197">
        <f>'Energy margins'!$L$12</f>
        <v>72</v>
      </c>
      <c r="E127" s="197">
        <f t="shared" si="322"/>
        <v>902.87999999999988</v>
      </c>
      <c r="F127" s="197">
        <f>'Margins summary'!$S$14</f>
        <v>175.95</v>
      </c>
      <c r="G127" s="197">
        <f t="shared" si="281"/>
        <v>1078.83</v>
      </c>
      <c r="H127" s="197"/>
      <c r="I127" s="918">
        <f>'Energy NPV'!U53</f>
        <v>393.31078400000001</v>
      </c>
      <c r="J127" s="197"/>
      <c r="K127" s="197">
        <f t="shared" si="282"/>
        <v>393.31078400000001</v>
      </c>
      <c r="L127" s="197">
        <f t="shared" si="271"/>
        <v>509.56921599999987</v>
      </c>
      <c r="M127" s="197">
        <f t="shared" si="272"/>
        <v>685.51921599999991</v>
      </c>
      <c r="N127" s="196">
        <f t="shared" si="283"/>
        <v>521.39070277815199</v>
      </c>
      <c r="O127" s="197">
        <f t="shared" si="284"/>
        <v>101.60674082249672</v>
      </c>
      <c r="P127" s="197">
        <f t="shared" si="285"/>
        <v>227.12717756510938</v>
      </c>
      <c r="Q127" s="197">
        <f t="shared" si="286"/>
        <v>294.26352521304256</v>
      </c>
      <c r="R127" s="199">
        <f t="shared" si="287"/>
        <v>395.87026603553932</v>
      </c>
      <c r="S127" s="196">
        <f t="shared" si="323"/>
        <v>8888.1513654574301</v>
      </c>
      <c r="T127" s="197">
        <f t="shared" si="288"/>
        <v>2034.5314794375799</v>
      </c>
      <c r="U127" s="197">
        <f t="shared" si="288"/>
        <v>6593.0116549314325</v>
      </c>
      <c r="V127" s="197">
        <f t="shared" si="288"/>
        <v>2295.1397105259975</v>
      </c>
      <c r="W127" s="199">
        <f t="shared" si="288"/>
        <v>4329.6711899635775</v>
      </c>
      <c r="X127" s="197"/>
      <c r="Z127" s="204">
        <f t="shared" si="324"/>
        <v>15</v>
      </c>
      <c r="AA127" s="760">
        <f>'Energy NPV'!$D53</f>
        <v>12.54</v>
      </c>
      <c r="AB127" s="197">
        <f>'Energy margins'!$L$12</f>
        <v>72</v>
      </c>
      <c r="AC127" s="197">
        <f t="shared" si="325"/>
        <v>902.87999999999988</v>
      </c>
      <c r="AD127" s="197">
        <f>'Margins summary'!$S$14</f>
        <v>175.95</v>
      </c>
      <c r="AE127" s="197">
        <f t="shared" si="289"/>
        <v>1078.83</v>
      </c>
      <c r="AF127" s="197"/>
      <c r="AG127" s="918">
        <f>'Energy NPV'!U53</f>
        <v>393.31078400000001</v>
      </c>
      <c r="AH127" s="197"/>
      <c r="AI127" s="197">
        <f t="shared" si="290"/>
        <v>393.31078400000001</v>
      </c>
      <c r="AJ127" s="197">
        <f t="shared" si="273"/>
        <v>509.56921599999987</v>
      </c>
      <c r="AK127" s="197">
        <f t="shared" si="274"/>
        <v>685.51921599999991</v>
      </c>
      <c r="AL127" s="196">
        <f t="shared" si="291"/>
        <v>399.34469471911899</v>
      </c>
      <c r="AM127" s="197">
        <f t="shared" si="292"/>
        <v>77.822854682603449</v>
      </c>
      <c r="AN127" s="197">
        <f t="shared" si="293"/>
        <v>173.96173906412523</v>
      </c>
      <c r="AO127" s="197">
        <f t="shared" si="294"/>
        <v>225.38295565499379</v>
      </c>
      <c r="AP127" s="199">
        <f t="shared" si="295"/>
        <v>303.20581033759726</v>
      </c>
      <c r="AQ127" s="196">
        <f t="shared" si="326"/>
        <v>7758.0104457932403</v>
      </c>
      <c r="AR127" s="197">
        <f t="shared" si="296"/>
        <v>1811.4024219566077</v>
      </c>
      <c r="AS127" s="197">
        <f t="shared" si="296"/>
        <v>6088.2645256926044</v>
      </c>
      <c r="AT127" s="197">
        <f t="shared" si="296"/>
        <v>1669.7459201006366</v>
      </c>
      <c r="AU127" s="199">
        <f t="shared" si="296"/>
        <v>3481.1483420572445</v>
      </c>
      <c r="AV127" s="197"/>
      <c r="AX127" s="204">
        <f t="shared" si="327"/>
        <v>15</v>
      </c>
      <c r="AY127" s="760">
        <f>'Energy NPV'!$D53</f>
        <v>12.54</v>
      </c>
      <c r="AZ127" s="197">
        <f>'Energy margins'!$L$12</f>
        <v>72</v>
      </c>
      <c r="BA127" s="197">
        <f t="shared" si="328"/>
        <v>902.87999999999988</v>
      </c>
      <c r="BB127" s="197">
        <f>'Margins summary'!$S$14</f>
        <v>175.95</v>
      </c>
      <c r="BC127" s="197">
        <f t="shared" si="297"/>
        <v>1078.83</v>
      </c>
      <c r="BD127" s="197"/>
      <c r="BE127" s="918">
        <f>'Energy NPV'!U53</f>
        <v>393.31078400000001</v>
      </c>
      <c r="BF127" s="197"/>
      <c r="BG127" s="197">
        <f t="shared" si="298"/>
        <v>393.31078400000001</v>
      </c>
      <c r="BH127" s="197">
        <f t="shared" si="275"/>
        <v>509.56921599999987</v>
      </c>
      <c r="BI127" s="197">
        <f t="shared" si="276"/>
        <v>685.51921599999991</v>
      </c>
      <c r="BJ127" s="196">
        <f t="shared" si="299"/>
        <v>684.27020220027475</v>
      </c>
      <c r="BK127" s="197">
        <f t="shared" si="300"/>
        <v>133.34811057630952</v>
      </c>
      <c r="BL127" s="197">
        <f t="shared" si="301"/>
        <v>298.08042009483944</v>
      </c>
      <c r="BM127" s="197">
        <f t="shared" si="302"/>
        <v>386.18978210543531</v>
      </c>
      <c r="BN127" s="199">
        <f t="shared" si="303"/>
        <v>519.53789268174489</v>
      </c>
      <c r="BO127" s="196">
        <f t="shared" si="329"/>
        <v>10265.918263688682</v>
      </c>
      <c r="BP127" s="197">
        <f t="shared" si="304"/>
        <v>2306.0444711845234</v>
      </c>
      <c r="BQ127" s="197">
        <f t="shared" si="304"/>
        <v>7206.2274336986293</v>
      </c>
      <c r="BR127" s="197">
        <f t="shared" si="304"/>
        <v>3059.690829990051</v>
      </c>
      <c r="BS127" s="199">
        <f t="shared" si="304"/>
        <v>5365.7353011745763</v>
      </c>
      <c r="BT127" s="197"/>
      <c r="BV127" s="204">
        <f t="shared" si="330"/>
        <v>15</v>
      </c>
      <c r="BW127" s="760">
        <f>'Energy NPV'!$D53</f>
        <v>12.54</v>
      </c>
      <c r="BX127" s="197">
        <f>'Energy margins'!$L$12</f>
        <v>72</v>
      </c>
      <c r="BY127" s="197">
        <f t="shared" si="331"/>
        <v>902.87999999999988</v>
      </c>
      <c r="BZ127" s="197">
        <f>'Margins summary'!$S$14</f>
        <v>175.95</v>
      </c>
      <c r="CA127" s="197">
        <f t="shared" si="305"/>
        <v>1078.83</v>
      </c>
      <c r="CB127" s="197"/>
      <c r="CC127" s="918">
        <f>'Energy NPV'!U53</f>
        <v>393.31078400000001</v>
      </c>
      <c r="CD127" s="197"/>
      <c r="CE127" s="197">
        <f t="shared" si="306"/>
        <v>393.31078400000001</v>
      </c>
      <c r="CF127" s="197">
        <f t="shared" si="277"/>
        <v>509.56921599999987</v>
      </c>
      <c r="CG127" s="197">
        <f t="shared" si="278"/>
        <v>685.51921599999991</v>
      </c>
      <c r="CH127" s="196">
        <f t="shared" si="307"/>
        <v>307.39546502597091</v>
      </c>
      <c r="CI127" s="197">
        <f t="shared" si="308"/>
        <v>59.904120227848203</v>
      </c>
      <c r="CJ127" s="197">
        <f t="shared" si="309"/>
        <v>133.90699910000134</v>
      </c>
      <c r="CK127" s="197">
        <f t="shared" si="310"/>
        <v>173.48846592596956</v>
      </c>
      <c r="CL127" s="199">
        <f t="shared" si="311"/>
        <v>233.3925861538178</v>
      </c>
      <c r="CM127" s="196">
        <f t="shared" si="332"/>
        <v>6823.5344649531344</v>
      </c>
      <c r="CN127" s="197">
        <f t="shared" si="312"/>
        <v>1626.5234971518962</v>
      </c>
      <c r="CO127" s="197">
        <f t="shared" si="312"/>
        <v>5669.3118401059473</v>
      </c>
      <c r="CP127" s="197">
        <f t="shared" si="312"/>
        <v>1154.222624847187</v>
      </c>
      <c r="CQ127" s="199">
        <f t="shared" si="312"/>
        <v>2780.7461219990837</v>
      </c>
      <c r="CR127" s="197"/>
      <c r="CT127" s="204">
        <f t="shared" si="333"/>
        <v>15</v>
      </c>
      <c r="CU127" s="760">
        <f>'Energy NPV'!$D53</f>
        <v>12.54</v>
      </c>
      <c r="CV127" s="197">
        <f>'Energy margins'!$L$12</f>
        <v>72</v>
      </c>
      <c r="CW127" s="197">
        <f t="shared" si="334"/>
        <v>902.87999999999988</v>
      </c>
      <c r="CX127" s="197">
        <f>'Margins summary'!$S$14</f>
        <v>175.95</v>
      </c>
      <c r="CY127" s="197">
        <f t="shared" si="313"/>
        <v>1078.83</v>
      </c>
      <c r="CZ127" s="197"/>
      <c r="DA127" s="918">
        <f>'Energy NPV'!U53</f>
        <v>393.31078400000001</v>
      </c>
      <c r="DB127" s="197"/>
      <c r="DC127" s="197">
        <f t="shared" si="314"/>
        <v>393.31078400000001</v>
      </c>
      <c r="DD127" s="197">
        <f t="shared" si="279"/>
        <v>509.56921599999987</v>
      </c>
      <c r="DE127" s="197">
        <f t="shared" si="280"/>
        <v>685.51921599999991</v>
      </c>
      <c r="DF127" s="196">
        <f t="shared" si="315"/>
        <v>902.87999999999988</v>
      </c>
      <c r="DG127" s="197">
        <f t="shared" si="316"/>
        <v>175.95</v>
      </c>
      <c r="DH127" s="197">
        <f t="shared" si="317"/>
        <v>393.31078400000001</v>
      </c>
      <c r="DI127" s="197">
        <f t="shared" si="318"/>
        <v>509.56921599999987</v>
      </c>
      <c r="DJ127" s="199">
        <f t="shared" si="319"/>
        <v>685.51921599999991</v>
      </c>
      <c r="DK127" s="196">
        <f t="shared" si="335"/>
        <v>11959.559999999996</v>
      </c>
      <c r="DL127" s="197">
        <f t="shared" si="320"/>
        <v>2639.2499999999995</v>
      </c>
      <c r="DM127" s="197">
        <f t="shared" si="320"/>
        <v>7957.6849600000023</v>
      </c>
      <c r="DN127" s="197">
        <f t="shared" si="320"/>
        <v>4001.8750399999981</v>
      </c>
      <c r="DO127" s="199">
        <f t="shared" si="320"/>
        <v>6641.1250399999981</v>
      </c>
    </row>
    <row r="128" spans="2:119" x14ac:dyDescent="0.3">
      <c r="B128" s="206">
        <f t="shared" si="321"/>
        <v>16</v>
      </c>
      <c r="C128" s="761">
        <f>'Energy NPV'!$D54</f>
        <v>12.54</v>
      </c>
      <c r="D128" s="207">
        <f>'Energy margins'!$L$12</f>
        <v>72</v>
      </c>
      <c r="E128" s="207">
        <f t="shared" si="322"/>
        <v>902.87999999999988</v>
      </c>
      <c r="F128" s="207">
        <f>'Margins summary'!$S$14</f>
        <v>175.95</v>
      </c>
      <c r="G128" s="207">
        <f t="shared" si="281"/>
        <v>1078.83</v>
      </c>
      <c r="H128" s="207"/>
      <c r="I128" s="919">
        <f>'Energy NPV'!U54</f>
        <v>393.31078400000001</v>
      </c>
      <c r="J128" s="207">
        <f>'Energy margins'!$Q$67</f>
        <v>192.1</v>
      </c>
      <c r="K128" s="207">
        <f t="shared" si="282"/>
        <v>585.41078400000004</v>
      </c>
      <c r="L128" s="207">
        <f t="shared" si="271"/>
        <v>317.46921599999985</v>
      </c>
      <c r="M128" s="207">
        <f t="shared" si="272"/>
        <v>493.41921599999989</v>
      </c>
      <c r="N128" s="208">
        <f>E128/((1+$B$4)^(B128-1))</f>
        <v>501.3372142097615</v>
      </c>
      <c r="O128" s="207">
        <f>F128/((1+$B$4)^(B128-1))</f>
        <v>97.698789252400701</v>
      </c>
      <c r="P128" s="207">
        <f>K128/((1+$B$4)^(B128-1))</f>
        <v>325.05782786074838</v>
      </c>
      <c r="Q128" s="207">
        <f>L128/((1+$B$4)^(B128-1))</f>
        <v>176.27938634901315</v>
      </c>
      <c r="R128" s="209">
        <f>M128/((1+$B$4)^(B128-1))</f>
        <v>273.97817560141385</v>
      </c>
      <c r="S128" s="208">
        <f t="shared" si="323"/>
        <v>9389.4885796671915</v>
      </c>
      <c r="T128" s="207">
        <f t="shared" si="288"/>
        <v>2132.2302686899807</v>
      </c>
      <c r="U128" s="207">
        <f t="shared" si="288"/>
        <v>6918.0694827921807</v>
      </c>
      <c r="V128" s="207">
        <f t="shared" si="288"/>
        <v>2471.4190968750108</v>
      </c>
      <c r="W128" s="209">
        <f t="shared" si="288"/>
        <v>4603.6493655649911</v>
      </c>
      <c r="X128" s="197"/>
      <c r="Z128" s="206">
        <f t="shared" si="324"/>
        <v>16</v>
      </c>
      <c r="AA128" s="761">
        <f>'Energy NPV'!$D54</f>
        <v>12.54</v>
      </c>
      <c r="AB128" s="207">
        <f>'Energy margins'!$L$12</f>
        <v>72</v>
      </c>
      <c r="AC128" s="207">
        <f t="shared" si="325"/>
        <v>902.87999999999988</v>
      </c>
      <c r="AD128" s="207">
        <f>'Margins summary'!$S$14</f>
        <v>175.95</v>
      </c>
      <c r="AE128" s="207">
        <f t="shared" si="289"/>
        <v>1078.83</v>
      </c>
      <c r="AF128" s="207"/>
      <c r="AG128" s="918">
        <f>'Energy NPV'!U54</f>
        <v>393.31078400000001</v>
      </c>
      <c r="AH128" s="207">
        <f>'Energy margins'!$Q$67</f>
        <v>192.1</v>
      </c>
      <c r="AI128" s="207">
        <f t="shared" si="290"/>
        <v>585.41078400000004</v>
      </c>
      <c r="AJ128" s="207">
        <f t="shared" si="273"/>
        <v>317.46921599999985</v>
      </c>
      <c r="AK128" s="207">
        <f t="shared" si="274"/>
        <v>493.41921599999989</v>
      </c>
      <c r="AL128" s="208">
        <f t="shared" si="291"/>
        <v>376.74027803690461</v>
      </c>
      <c r="AM128" s="207">
        <f t="shared" si="292"/>
        <v>73.417787436418322</v>
      </c>
      <c r="AN128" s="207">
        <f t="shared" si="293"/>
        <v>244.27146634100032</v>
      </c>
      <c r="AO128" s="207">
        <f t="shared" si="294"/>
        <v>132.46881169590432</v>
      </c>
      <c r="AP128" s="209">
        <f t="shared" si="295"/>
        <v>205.88659913232266</v>
      </c>
      <c r="AQ128" s="208">
        <f>AQ127+AL128</f>
        <v>8134.750723830145</v>
      </c>
      <c r="AR128" s="207">
        <f t="shared" si="296"/>
        <v>1884.8202093930261</v>
      </c>
      <c r="AS128" s="207">
        <f t="shared" si="296"/>
        <v>6332.535992033605</v>
      </c>
      <c r="AT128" s="207">
        <f t="shared" si="296"/>
        <v>1802.2147317965409</v>
      </c>
      <c r="AU128" s="209">
        <f t="shared" si="296"/>
        <v>3687.0349411895672</v>
      </c>
      <c r="AV128" s="197"/>
      <c r="AX128" s="206">
        <f t="shared" si="327"/>
        <v>16</v>
      </c>
      <c r="AY128" s="761">
        <f>'Energy NPV'!$D54</f>
        <v>12.54</v>
      </c>
      <c r="AZ128" s="207">
        <f>'Energy margins'!$L$12</f>
        <v>72</v>
      </c>
      <c r="BA128" s="207">
        <f t="shared" si="328"/>
        <v>902.87999999999988</v>
      </c>
      <c r="BB128" s="207">
        <f>'Margins summary'!$S$14</f>
        <v>175.95</v>
      </c>
      <c r="BC128" s="207">
        <f t="shared" si="297"/>
        <v>1078.83</v>
      </c>
      <c r="BD128" s="207"/>
      <c r="BE128" s="918">
        <f>'Energy NPV'!U54</f>
        <v>393.31078400000001</v>
      </c>
      <c r="BF128" s="207">
        <f>'Energy margins'!$Q$67</f>
        <v>192.1</v>
      </c>
      <c r="BG128" s="207">
        <f t="shared" si="298"/>
        <v>585.41078400000004</v>
      </c>
      <c r="BH128" s="207">
        <f t="shared" si="275"/>
        <v>317.46921599999985</v>
      </c>
      <c r="BI128" s="207">
        <f t="shared" si="276"/>
        <v>493.41921599999989</v>
      </c>
      <c r="BJ128" s="208">
        <f t="shared" si="299"/>
        <v>670.85313941203424</v>
      </c>
      <c r="BK128" s="207">
        <f t="shared" si="300"/>
        <v>130.73344174147996</v>
      </c>
      <c r="BL128" s="207">
        <f t="shared" si="301"/>
        <v>434.96883560612741</v>
      </c>
      <c r="BM128" s="207">
        <f t="shared" si="302"/>
        <v>235.8843038059068</v>
      </c>
      <c r="BN128" s="209">
        <f t="shared" si="303"/>
        <v>366.61774554738679</v>
      </c>
      <c r="BO128" s="208">
        <f t="shared" si="329"/>
        <v>10936.771403100716</v>
      </c>
      <c r="BP128" s="207">
        <f t="shared" si="304"/>
        <v>2436.7779129260034</v>
      </c>
      <c r="BQ128" s="207">
        <f t="shared" si="304"/>
        <v>7641.1962693047572</v>
      </c>
      <c r="BR128" s="207">
        <f t="shared" si="304"/>
        <v>3295.5751337959578</v>
      </c>
      <c r="BS128" s="209">
        <f t="shared" si="304"/>
        <v>5732.3530467219634</v>
      </c>
      <c r="BT128" s="197"/>
      <c r="BV128" s="206">
        <f t="shared" si="330"/>
        <v>16</v>
      </c>
      <c r="BW128" s="761">
        <f>'Energy NPV'!$D54</f>
        <v>12.54</v>
      </c>
      <c r="BX128" s="207">
        <f>'Energy margins'!$L$12</f>
        <v>72</v>
      </c>
      <c r="BY128" s="207">
        <f t="shared" si="331"/>
        <v>902.87999999999988</v>
      </c>
      <c r="BZ128" s="207">
        <f>'Margins summary'!$S$14</f>
        <v>175.95</v>
      </c>
      <c r="CA128" s="207">
        <f t="shared" si="305"/>
        <v>1078.83</v>
      </c>
      <c r="CB128" s="207"/>
      <c r="CC128" s="918">
        <f>'Energy NPV'!U54</f>
        <v>393.31078400000001</v>
      </c>
      <c r="CD128" s="207">
        <f>'Energy margins'!$Q$67</f>
        <v>192.1</v>
      </c>
      <c r="CE128" s="207">
        <f t="shared" si="306"/>
        <v>585.41078400000004</v>
      </c>
      <c r="CF128" s="207">
        <f t="shared" si="277"/>
        <v>317.46921599999985</v>
      </c>
      <c r="CG128" s="207">
        <f t="shared" si="278"/>
        <v>493.41921599999989</v>
      </c>
      <c r="CH128" s="208">
        <f t="shared" si="307"/>
        <v>284.62543057960266</v>
      </c>
      <c r="CI128" s="207">
        <f t="shared" si="308"/>
        <v>55.466777988748333</v>
      </c>
      <c r="CJ128" s="207">
        <f t="shared" si="309"/>
        <v>184.54589365357833</v>
      </c>
      <c r="CK128" s="207">
        <f t="shared" si="310"/>
        <v>100.07953692602435</v>
      </c>
      <c r="CL128" s="209">
        <f t="shared" si="311"/>
        <v>155.54631491477269</v>
      </c>
      <c r="CM128" s="208">
        <f t="shared" si="332"/>
        <v>7108.1598955327372</v>
      </c>
      <c r="CN128" s="207">
        <f t="shared" si="312"/>
        <v>1681.9902751406446</v>
      </c>
      <c r="CO128" s="207">
        <f t="shared" si="312"/>
        <v>5853.8577337595252</v>
      </c>
      <c r="CP128" s="207">
        <f t="shared" si="312"/>
        <v>1254.3021617732113</v>
      </c>
      <c r="CQ128" s="209">
        <f t="shared" si="312"/>
        <v>2936.2924369138564</v>
      </c>
      <c r="CR128" s="197"/>
      <c r="CT128" s="206">
        <f t="shared" si="333"/>
        <v>16</v>
      </c>
      <c r="CU128" s="761">
        <f>'Energy NPV'!$D54</f>
        <v>12.54</v>
      </c>
      <c r="CV128" s="207">
        <f>'Energy margins'!$L$12</f>
        <v>72</v>
      </c>
      <c r="CW128" s="207">
        <f t="shared" si="334"/>
        <v>902.87999999999988</v>
      </c>
      <c r="CX128" s="207">
        <f>'Margins summary'!$S$14</f>
        <v>175.95</v>
      </c>
      <c r="CY128" s="207">
        <f t="shared" si="313"/>
        <v>1078.83</v>
      </c>
      <c r="CZ128" s="207"/>
      <c r="DA128" s="918">
        <f>'Energy NPV'!U54</f>
        <v>393.31078400000001</v>
      </c>
      <c r="DB128" s="207">
        <f>'Energy margins'!$Q$67</f>
        <v>192.1</v>
      </c>
      <c r="DC128" s="207">
        <f t="shared" si="314"/>
        <v>585.41078400000004</v>
      </c>
      <c r="DD128" s="207">
        <f t="shared" si="279"/>
        <v>317.46921599999985</v>
      </c>
      <c r="DE128" s="207">
        <f t="shared" si="280"/>
        <v>493.41921599999989</v>
      </c>
      <c r="DF128" s="208">
        <f t="shared" si="315"/>
        <v>902.87999999999988</v>
      </c>
      <c r="DG128" s="207">
        <f t="shared" si="316"/>
        <v>175.95</v>
      </c>
      <c r="DH128" s="207">
        <f t="shared" si="317"/>
        <v>585.41078400000004</v>
      </c>
      <c r="DI128" s="207">
        <f t="shared" si="318"/>
        <v>317.46921599999985</v>
      </c>
      <c r="DJ128" s="209">
        <f t="shared" si="319"/>
        <v>493.41921599999989</v>
      </c>
      <c r="DK128" s="208">
        <f t="shared" si="335"/>
        <v>12862.439999999995</v>
      </c>
      <c r="DL128" s="207">
        <f t="shared" si="320"/>
        <v>2815.1999999999994</v>
      </c>
      <c r="DM128" s="207">
        <f t="shared" si="320"/>
        <v>8543.095744000002</v>
      </c>
      <c r="DN128" s="207">
        <f t="shared" si="320"/>
        <v>4319.3442559999976</v>
      </c>
      <c r="DO128" s="209">
        <f t="shared" si="320"/>
        <v>7134.5442559999983</v>
      </c>
    </row>
    <row r="134" spans="2:118" x14ac:dyDescent="0.3">
      <c r="B134" s="212" t="s">
        <v>260</v>
      </c>
      <c r="C134" s="763" t="s">
        <v>420</v>
      </c>
      <c r="D134" s="269" t="s">
        <v>405</v>
      </c>
      <c r="E134" s="913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Z134" s="212" t="s">
        <v>260</v>
      </c>
      <c r="AA134" s="211" t="s">
        <v>428</v>
      </c>
      <c r="AB134" s="269"/>
      <c r="AC134" s="913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X134" s="212" t="s">
        <v>260</v>
      </c>
      <c r="AY134" s="211" t="s">
        <v>427</v>
      </c>
      <c r="AZ134" s="269"/>
      <c r="BA134" s="913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V134" s="212" t="s">
        <v>260</v>
      </c>
      <c r="BW134" s="211" t="s">
        <v>426</v>
      </c>
      <c r="BX134" s="269"/>
      <c r="BY134" s="913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T134" s="212" t="s">
        <v>260</v>
      </c>
      <c r="CU134" s="211" t="s">
        <v>425</v>
      </c>
      <c r="CV134" s="269"/>
      <c r="CW134" s="913"/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</row>
    <row r="135" spans="2:118" x14ac:dyDescent="0.3">
      <c r="B135" s="203"/>
      <c r="D135" s="158"/>
      <c r="E135" s="758"/>
      <c r="F135" s="758"/>
      <c r="G135" s="758"/>
      <c r="H135" s="148"/>
      <c r="I135" s="148"/>
      <c r="J135" s="758"/>
      <c r="K135" s="148"/>
      <c r="L135" s="148"/>
      <c r="M135" s="894" t="s">
        <v>275</v>
      </c>
      <c r="N135" s="895"/>
      <c r="O135" s="895"/>
      <c r="P135" s="895"/>
      <c r="Q135" s="896"/>
      <c r="R135" s="894" t="s">
        <v>276</v>
      </c>
      <c r="S135" s="895"/>
      <c r="T135" s="895"/>
      <c r="U135" s="895"/>
      <c r="V135" s="896"/>
      <c r="Z135" s="203"/>
      <c r="AB135" s="158"/>
      <c r="AC135" s="758"/>
      <c r="AD135" s="758"/>
      <c r="AE135" s="758"/>
      <c r="AF135" s="148"/>
      <c r="AG135" s="148"/>
      <c r="AH135" s="758"/>
      <c r="AI135" s="148"/>
      <c r="AJ135" s="148"/>
      <c r="AK135" s="894" t="s">
        <v>275</v>
      </c>
      <c r="AL135" s="895"/>
      <c r="AM135" s="895"/>
      <c r="AN135" s="895"/>
      <c r="AO135" s="896"/>
      <c r="AP135" s="894" t="s">
        <v>276</v>
      </c>
      <c r="AQ135" s="895"/>
      <c r="AR135" s="895"/>
      <c r="AS135" s="895"/>
      <c r="AT135" s="896"/>
      <c r="AX135" s="203"/>
      <c r="AZ135" s="158"/>
      <c r="BA135" s="758"/>
      <c r="BB135" s="758"/>
      <c r="BC135" s="758"/>
      <c r="BD135" s="148"/>
      <c r="BE135" s="148"/>
      <c r="BF135" s="758"/>
      <c r="BG135" s="148"/>
      <c r="BH135" s="148"/>
      <c r="BI135" s="894" t="s">
        <v>275</v>
      </c>
      <c r="BJ135" s="895"/>
      <c r="BK135" s="895"/>
      <c r="BL135" s="895"/>
      <c r="BM135" s="896"/>
      <c r="BN135" s="894" t="s">
        <v>276</v>
      </c>
      <c r="BO135" s="895"/>
      <c r="BP135" s="895"/>
      <c r="BQ135" s="895"/>
      <c r="BR135" s="896"/>
      <c r="BV135" s="203"/>
      <c r="BX135" s="158"/>
      <c r="BY135" s="758"/>
      <c r="BZ135" s="758"/>
      <c r="CA135" s="758"/>
      <c r="CB135" s="148"/>
      <c r="CC135" s="148"/>
      <c r="CD135" s="758"/>
      <c r="CE135" s="148"/>
      <c r="CF135" s="148"/>
      <c r="CG135" s="894" t="s">
        <v>275</v>
      </c>
      <c r="CH135" s="895"/>
      <c r="CI135" s="895"/>
      <c r="CJ135" s="895"/>
      <c r="CK135" s="896"/>
      <c r="CL135" s="894" t="s">
        <v>276</v>
      </c>
      <c r="CM135" s="895"/>
      <c r="CN135" s="895"/>
      <c r="CO135" s="895"/>
      <c r="CP135" s="896"/>
      <c r="CT135" s="203"/>
      <c r="CV135" s="158"/>
      <c r="CW135" s="758"/>
      <c r="CX135" s="758"/>
      <c r="CY135" s="758"/>
      <c r="CZ135" s="148"/>
      <c r="DA135" s="148"/>
      <c r="DB135" s="758"/>
      <c r="DC135" s="148"/>
      <c r="DD135" s="148"/>
      <c r="DE135" s="894" t="s">
        <v>275</v>
      </c>
      <c r="DF135" s="895"/>
      <c r="DG135" s="895"/>
      <c r="DH135" s="895"/>
      <c r="DI135" s="896"/>
      <c r="DJ135" s="894" t="s">
        <v>276</v>
      </c>
      <c r="DK135" s="895"/>
      <c r="DL135" s="895"/>
      <c r="DM135" s="895"/>
      <c r="DN135" s="896"/>
    </row>
    <row r="136" spans="2:118" ht="51" x14ac:dyDescent="0.3">
      <c r="B136" s="204" t="s">
        <v>277</v>
      </c>
      <c r="C136" s="205" t="s">
        <v>303</v>
      </c>
      <c r="D136" s="205" t="s">
        <v>304</v>
      </c>
      <c r="E136" s="171" t="s">
        <v>675</v>
      </c>
      <c r="F136" s="171" t="s">
        <v>666</v>
      </c>
      <c r="G136" s="171" t="s">
        <v>676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283</v>
      </c>
      <c r="K136" s="171" t="s">
        <v>677</v>
      </c>
      <c r="L136" s="171" t="s">
        <v>678</v>
      </c>
      <c r="M136" s="195" t="s">
        <v>286</v>
      </c>
      <c r="N136" s="171" t="s">
        <v>679</v>
      </c>
      <c r="O136" s="171" t="s">
        <v>288</v>
      </c>
      <c r="P136" s="171" t="s">
        <v>680</v>
      </c>
      <c r="Q136" s="198" t="s">
        <v>290</v>
      </c>
      <c r="R136" s="195" t="s">
        <v>291</v>
      </c>
      <c r="S136" s="171" t="s">
        <v>681</v>
      </c>
      <c r="T136" s="171" t="s">
        <v>293</v>
      </c>
      <c r="U136" s="171" t="s">
        <v>682</v>
      </c>
      <c r="V136" s="198" t="s">
        <v>295</v>
      </c>
      <c r="Z136" s="204" t="s">
        <v>277</v>
      </c>
      <c r="AA136" s="205" t="s">
        <v>303</v>
      </c>
      <c r="AB136" s="205" t="s">
        <v>304</v>
      </c>
      <c r="AC136" s="171" t="s">
        <v>675</v>
      </c>
      <c r="AD136" s="171" t="s">
        <v>666</v>
      </c>
      <c r="AE136" s="171" t="s">
        <v>676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283</v>
      </c>
      <c r="AI136" s="171" t="s">
        <v>677</v>
      </c>
      <c r="AJ136" s="171" t="s">
        <v>678</v>
      </c>
      <c r="AK136" s="195" t="s">
        <v>286</v>
      </c>
      <c r="AL136" s="171" t="s">
        <v>679</v>
      </c>
      <c r="AM136" s="171" t="s">
        <v>288</v>
      </c>
      <c r="AN136" s="171" t="s">
        <v>680</v>
      </c>
      <c r="AO136" s="198" t="s">
        <v>290</v>
      </c>
      <c r="AP136" s="195" t="s">
        <v>291</v>
      </c>
      <c r="AQ136" s="171" t="s">
        <v>681</v>
      </c>
      <c r="AR136" s="171" t="s">
        <v>293</v>
      </c>
      <c r="AS136" s="171" t="s">
        <v>682</v>
      </c>
      <c r="AT136" s="198" t="s">
        <v>295</v>
      </c>
      <c r="AX136" s="204" t="s">
        <v>277</v>
      </c>
      <c r="AY136" s="205" t="s">
        <v>303</v>
      </c>
      <c r="AZ136" s="205" t="s">
        <v>304</v>
      </c>
      <c r="BA136" s="171" t="s">
        <v>675</v>
      </c>
      <c r="BB136" s="171" t="s">
        <v>666</v>
      </c>
      <c r="BC136" s="171" t="s">
        <v>676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283</v>
      </c>
      <c r="BG136" s="171" t="s">
        <v>677</v>
      </c>
      <c r="BH136" s="171" t="s">
        <v>678</v>
      </c>
      <c r="BI136" s="195" t="s">
        <v>286</v>
      </c>
      <c r="BJ136" s="171" t="s">
        <v>679</v>
      </c>
      <c r="BK136" s="171" t="s">
        <v>288</v>
      </c>
      <c r="BL136" s="171" t="s">
        <v>680</v>
      </c>
      <c r="BM136" s="198" t="s">
        <v>290</v>
      </c>
      <c r="BN136" s="195" t="s">
        <v>291</v>
      </c>
      <c r="BO136" s="171" t="s">
        <v>681</v>
      </c>
      <c r="BP136" s="171" t="s">
        <v>293</v>
      </c>
      <c r="BQ136" s="171" t="s">
        <v>682</v>
      </c>
      <c r="BR136" s="198" t="s">
        <v>295</v>
      </c>
      <c r="BV136" s="204" t="s">
        <v>277</v>
      </c>
      <c r="BW136" s="205" t="s">
        <v>303</v>
      </c>
      <c r="BX136" s="205" t="s">
        <v>304</v>
      </c>
      <c r="BY136" s="171" t="s">
        <v>675</v>
      </c>
      <c r="BZ136" s="171" t="s">
        <v>666</v>
      </c>
      <c r="CA136" s="171" t="s">
        <v>676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283</v>
      </c>
      <c r="CE136" s="171" t="s">
        <v>677</v>
      </c>
      <c r="CF136" s="171" t="s">
        <v>678</v>
      </c>
      <c r="CG136" s="195" t="s">
        <v>286</v>
      </c>
      <c r="CH136" s="171" t="s">
        <v>679</v>
      </c>
      <c r="CI136" s="171" t="s">
        <v>288</v>
      </c>
      <c r="CJ136" s="171" t="s">
        <v>680</v>
      </c>
      <c r="CK136" s="198" t="s">
        <v>290</v>
      </c>
      <c r="CL136" s="195" t="s">
        <v>291</v>
      </c>
      <c r="CM136" s="171" t="s">
        <v>681</v>
      </c>
      <c r="CN136" s="171" t="s">
        <v>293</v>
      </c>
      <c r="CO136" s="171" t="s">
        <v>682</v>
      </c>
      <c r="CP136" s="198" t="s">
        <v>295</v>
      </c>
      <c r="CT136" s="204" t="s">
        <v>277</v>
      </c>
      <c r="CU136" s="205" t="s">
        <v>303</v>
      </c>
      <c r="CV136" s="205" t="s">
        <v>304</v>
      </c>
      <c r="CW136" s="171" t="s">
        <v>675</v>
      </c>
      <c r="CX136" s="171" t="s">
        <v>666</v>
      </c>
      <c r="CY136" s="171" t="s">
        <v>676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283</v>
      </c>
      <c r="DC136" s="171" t="s">
        <v>677</v>
      </c>
      <c r="DD136" s="171" t="s">
        <v>678</v>
      </c>
      <c r="DE136" s="195" t="s">
        <v>286</v>
      </c>
      <c r="DF136" s="171" t="s">
        <v>679</v>
      </c>
      <c r="DG136" s="171" t="s">
        <v>288</v>
      </c>
      <c r="DH136" s="171" t="s">
        <v>680</v>
      </c>
      <c r="DI136" s="198" t="s">
        <v>290</v>
      </c>
      <c r="DJ136" s="195" t="s">
        <v>291</v>
      </c>
      <c r="DK136" s="171" t="s">
        <v>681</v>
      </c>
      <c r="DL136" s="171" t="s">
        <v>293</v>
      </c>
      <c r="DM136" s="171" t="s">
        <v>682</v>
      </c>
      <c r="DN136" s="198" t="s">
        <v>295</v>
      </c>
    </row>
    <row r="137" spans="2:118" x14ac:dyDescent="0.3">
      <c r="B137" s="173"/>
      <c r="C137" s="226" t="s">
        <v>341</v>
      </c>
      <c r="D137" s="226" t="s">
        <v>601</v>
      </c>
      <c r="E137" s="201" t="s">
        <v>599</v>
      </c>
      <c r="F137" s="201" t="s">
        <v>599</v>
      </c>
      <c r="G137" s="201" t="s">
        <v>599</v>
      </c>
      <c r="H137" s="201" t="s">
        <v>599</v>
      </c>
      <c r="I137" s="201" t="s">
        <v>599</v>
      </c>
      <c r="J137" s="201" t="s">
        <v>599</v>
      </c>
      <c r="K137" s="201" t="s">
        <v>599</v>
      </c>
      <c r="L137" s="202" t="s">
        <v>599</v>
      </c>
      <c r="M137" s="201" t="s">
        <v>599</v>
      </c>
      <c r="N137" s="201" t="s">
        <v>599</v>
      </c>
      <c r="O137" s="201" t="s">
        <v>599</v>
      </c>
      <c r="P137" s="201" t="s">
        <v>599</v>
      </c>
      <c r="Q137" s="202" t="s">
        <v>599</v>
      </c>
      <c r="R137" s="201" t="s">
        <v>599</v>
      </c>
      <c r="S137" s="201" t="s">
        <v>599</v>
      </c>
      <c r="T137" s="201" t="s">
        <v>599</v>
      </c>
      <c r="U137" s="201" t="s">
        <v>599</v>
      </c>
      <c r="V137" s="202" t="s">
        <v>599</v>
      </c>
      <c r="Z137" s="173"/>
      <c r="AA137" s="226" t="s">
        <v>341</v>
      </c>
      <c r="AB137" s="226" t="s">
        <v>601</v>
      </c>
      <c r="AC137" s="201" t="s">
        <v>599</v>
      </c>
      <c r="AD137" s="201" t="s">
        <v>599</v>
      </c>
      <c r="AE137" s="201" t="s">
        <v>599</v>
      </c>
      <c r="AF137" s="201" t="s">
        <v>599</v>
      </c>
      <c r="AG137" s="201" t="s">
        <v>599</v>
      </c>
      <c r="AH137" s="201" t="s">
        <v>599</v>
      </c>
      <c r="AI137" s="201" t="s">
        <v>599</v>
      </c>
      <c r="AJ137" s="202" t="s">
        <v>599</v>
      </c>
      <c r="AK137" s="201" t="s">
        <v>599</v>
      </c>
      <c r="AL137" s="201" t="s">
        <v>599</v>
      </c>
      <c r="AM137" s="201" t="s">
        <v>599</v>
      </c>
      <c r="AN137" s="201" t="s">
        <v>599</v>
      </c>
      <c r="AO137" s="202" t="s">
        <v>599</v>
      </c>
      <c r="AP137" s="201" t="s">
        <v>599</v>
      </c>
      <c r="AQ137" s="201" t="s">
        <v>599</v>
      </c>
      <c r="AR137" s="201" t="s">
        <v>599</v>
      </c>
      <c r="AS137" s="201" t="s">
        <v>599</v>
      </c>
      <c r="AT137" s="202" t="s">
        <v>599</v>
      </c>
      <c r="AX137" s="173"/>
      <c r="AY137" s="226" t="s">
        <v>341</v>
      </c>
      <c r="AZ137" s="226" t="s">
        <v>601</v>
      </c>
      <c r="BA137" s="201" t="s">
        <v>599</v>
      </c>
      <c r="BB137" s="201" t="s">
        <v>599</v>
      </c>
      <c r="BC137" s="201" t="s">
        <v>599</v>
      </c>
      <c r="BD137" s="201" t="s">
        <v>599</v>
      </c>
      <c r="BE137" s="201" t="s">
        <v>599</v>
      </c>
      <c r="BF137" s="201" t="s">
        <v>599</v>
      </c>
      <c r="BG137" s="201" t="s">
        <v>599</v>
      </c>
      <c r="BH137" s="202" t="s">
        <v>599</v>
      </c>
      <c r="BI137" s="201" t="s">
        <v>599</v>
      </c>
      <c r="BJ137" s="201" t="s">
        <v>599</v>
      </c>
      <c r="BK137" s="201" t="s">
        <v>599</v>
      </c>
      <c r="BL137" s="201" t="s">
        <v>599</v>
      </c>
      <c r="BM137" s="202" t="s">
        <v>599</v>
      </c>
      <c r="BN137" s="201" t="s">
        <v>599</v>
      </c>
      <c r="BO137" s="201" t="s">
        <v>599</v>
      </c>
      <c r="BP137" s="201" t="s">
        <v>599</v>
      </c>
      <c r="BQ137" s="201" t="s">
        <v>599</v>
      </c>
      <c r="BR137" s="202" t="s">
        <v>599</v>
      </c>
      <c r="BV137" s="173"/>
      <c r="BW137" s="226" t="s">
        <v>341</v>
      </c>
      <c r="BX137" s="226" t="s">
        <v>601</v>
      </c>
      <c r="BY137" s="201" t="s">
        <v>599</v>
      </c>
      <c r="BZ137" s="201" t="s">
        <v>599</v>
      </c>
      <c r="CA137" s="201" t="s">
        <v>599</v>
      </c>
      <c r="CB137" s="201" t="s">
        <v>599</v>
      </c>
      <c r="CC137" s="201" t="s">
        <v>599</v>
      </c>
      <c r="CD137" s="201" t="s">
        <v>599</v>
      </c>
      <c r="CE137" s="201" t="s">
        <v>599</v>
      </c>
      <c r="CF137" s="202" t="s">
        <v>599</v>
      </c>
      <c r="CG137" s="201" t="s">
        <v>599</v>
      </c>
      <c r="CH137" s="201" t="s">
        <v>599</v>
      </c>
      <c r="CI137" s="201" t="s">
        <v>599</v>
      </c>
      <c r="CJ137" s="201" t="s">
        <v>599</v>
      </c>
      <c r="CK137" s="202" t="s">
        <v>599</v>
      </c>
      <c r="CL137" s="201" t="s">
        <v>599</v>
      </c>
      <c r="CM137" s="201" t="s">
        <v>599</v>
      </c>
      <c r="CN137" s="201" t="s">
        <v>599</v>
      </c>
      <c r="CO137" s="201" t="s">
        <v>599</v>
      </c>
      <c r="CP137" s="202" t="s">
        <v>599</v>
      </c>
      <c r="CT137" s="173"/>
      <c r="CU137" s="226" t="s">
        <v>341</v>
      </c>
      <c r="CV137" s="226" t="s">
        <v>601</v>
      </c>
      <c r="CW137" s="201" t="s">
        <v>599</v>
      </c>
      <c r="CX137" s="201" t="s">
        <v>599</v>
      </c>
      <c r="CY137" s="201" t="s">
        <v>599</v>
      </c>
      <c r="CZ137" s="201" t="s">
        <v>599</v>
      </c>
      <c r="DA137" s="201" t="s">
        <v>599</v>
      </c>
      <c r="DB137" s="201" t="s">
        <v>599</v>
      </c>
      <c r="DC137" s="201" t="s">
        <v>599</v>
      </c>
      <c r="DD137" s="202" t="s">
        <v>599</v>
      </c>
      <c r="DE137" s="201" t="s">
        <v>599</v>
      </c>
      <c r="DF137" s="201" t="s">
        <v>599</v>
      </c>
      <c r="DG137" s="201" t="s">
        <v>599</v>
      </c>
      <c r="DH137" s="201" t="s">
        <v>599</v>
      </c>
      <c r="DI137" s="202" t="s">
        <v>599</v>
      </c>
      <c r="DJ137" s="201" t="s">
        <v>599</v>
      </c>
      <c r="DK137" s="201" t="s">
        <v>599</v>
      </c>
      <c r="DL137" s="201" t="s">
        <v>599</v>
      </c>
      <c r="DM137" s="201" t="s">
        <v>599</v>
      </c>
      <c r="DN137" s="202" t="s">
        <v>599</v>
      </c>
    </row>
    <row r="138" spans="2:118" x14ac:dyDescent="0.3">
      <c r="B138" s="899">
        <v>1</v>
      </c>
      <c r="C138" s="911">
        <f>'Arable Inputs'!$H$18</f>
        <v>8.14</v>
      </c>
      <c r="D138" s="760">
        <f>'Arable Inputs'!$H$25</f>
        <v>182.8</v>
      </c>
      <c r="E138" s="762">
        <f>C138*D138</f>
        <v>1487.9920000000002</v>
      </c>
      <c r="F138" s="197">
        <f>'Arable NPV'!$D117</f>
        <v>175.95</v>
      </c>
      <c r="G138" s="197">
        <f>E138+F138</f>
        <v>1663.9420000000002</v>
      </c>
      <c r="H138" s="197">
        <f>'Arable NPV'!$F117</f>
        <v>574.23049999999989</v>
      </c>
      <c r="I138" s="197">
        <f>'Arable NPV'!$G117</f>
        <v>636.366536</v>
      </c>
      <c r="J138" s="197">
        <f>(H138+I138)</f>
        <v>1210.5970359999999</v>
      </c>
      <c r="K138" s="197">
        <f>E138-J138</f>
        <v>277.3949640000003</v>
      </c>
      <c r="L138" s="197">
        <f>G138-J138</f>
        <v>453.34496400000035</v>
      </c>
      <c r="M138" s="196">
        <f>E138/(1+$B$4)^(B138-1)</f>
        <v>1487.9920000000002</v>
      </c>
      <c r="N138" s="197">
        <f>F138/(1+$B$4)^(B138-1)</f>
        <v>175.95</v>
      </c>
      <c r="O138" s="197">
        <f>J138/(1+$B$4)^(B138-1)</f>
        <v>1210.5970359999999</v>
      </c>
      <c r="P138" s="197">
        <f>K138/(1+$B$4)^(B138-1)</f>
        <v>277.3949640000003</v>
      </c>
      <c r="Q138" s="197">
        <f>L138/(1+$B$4)^(B138-1)</f>
        <v>453.34496400000035</v>
      </c>
      <c r="R138" s="196">
        <f>M138</f>
        <v>1487.9920000000002</v>
      </c>
      <c r="S138" s="197">
        <f>N138</f>
        <v>175.95</v>
      </c>
      <c r="T138" s="197">
        <f>O138</f>
        <v>1210.5970359999999</v>
      </c>
      <c r="U138" s="197">
        <f>P138</f>
        <v>277.3949640000003</v>
      </c>
      <c r="V138" s="199">
        <f>Q138</f>
        <v>453.34496400000035</v>
      </c>
      <c r="Z138" s="899">
        <v>1</v>
      </c>
      <c r="AA138" s="911">
        <f>'Arable Inputs'!$H$18</f>
        <v>8.14</v>
      </c>
      <c r="AB138" s="760">
        <f>'Arable Inputs'!$H$25</f>
        <v>182.8</v>
      </c>
      <c r="AC138" s="762">
        <f>AA138*AB138</f>
        <v>1487.9920000000002</v>
      </c>
      <c r="AD138" s="197">
        <f>'Arable NPV'!$D117</f>
        <v>175.95</v>
      </c>
      <c r="AE138" s="197">
        <f>AC138+AD138</f>
        <v>1663.9420000000002</v>
      </c>
      <c r="AF138" s="197">
        <f>'Arable NPV'!$F117</f>
        <v>574.23049999999989</v>
      </c>
      <c r="AG138" s="197">
        <f>'Arable NPV'!$G117</f>
        <v>636.366536</v>
      </c>
      <c r="AH138" s="197">
        <f>(AF138+AG138)</f>
        <v>1210.5970359999999</v>
      </c>
      <c r="AI138" s="197">
        <f>AC138-AH138</f>
        <v>277.3949640000003</v>
      </c>
      <c r="AJ138" s="197">
        <f>AE138-AH138</f>
        <v>453.34496400000035</v>
      </c>
      <c r="AK138" s="1018">
        <f>AC138/(1+$C$4)^(Z138-1)</f>
        <v>1487.9920000000002</v>
      </c>
      <c r="AL138" s="213">
        <f>AD138/(1+$C$4)^(Z138-1)</f>
        <v>175.95</v>
      </c>
      <c r="AM138" s="213">
        <f>AH138/(1+$C$4)^(Z138-1)</f>
        <v>1210.5970359999999</v>
      </c>
      <c r="AN138" s="213">
        <f>AI138/(1+$C$4)^(Z138-1)</f>
        <v>277.3949640000003</v>
      </c>
      <c r="AO138" s="929">
        <f>AJ138/(1+$C$4)^(Z138-1)</f>
        <v>453.34496400000035</v>
      </c>
      <c r="AP138" s="196">
        <f>AK138</f>
        <v>1487.9920000000002</v>
      </c>
      <c r="AQ138" s="197">
        <f>AL138</f>
        <v>175.95</v>
      </c>
      <c r="AR138" s="197">
        <f>AM138</f>
        <v>1210.5970359999999</v>
      </c>
      <c r="AS138" s="197">
        <f>AN138</f>
        <v>277.3949640000003</v>
      </c>
      <c r="AT138" s="199">
        <f>AO138</f>
        <v>453.34496400000035</v>
      </c>
      <c r="AX138" s="899">
        <v>1</v>
      </c>
      <c r="AY138" s="911">
        <f>'Arable Inputs'!$H$18</f>
        <v>8.14</v>
      </c>
      <c r="AZ138" s="760">
        <f>'Arable Inputs'!$H$25</f>
        <v>182.8</v>
      </c>
      <c r="BA138" s="762">
        <f>AY138*AZ138</f>
        <v>1487.9920000000002</v>
      </c>
      <c r="BB138" s="197">
        <f>'Arable NPV'!$D117</f>
        <v>175.95</v>
      </c>
      <c r="BC138" s="197">
        <f>BA138+BB138</f>
        <v>1663.9420000000002</v>
      </c>
      <c r="BD138" s="197">
        <f>'Arable NPV'!$F117</f>
        <v>574.23049999999989</v>
      </c>
      <c r="BE138" s="197">
        <f>'Arable NPV'!$G117</f>
        <v>636.366536</v>
      </c>
      <c r="BF138" s="197">
        <f>(BD138+BE138)</f>
        <v>1210.5970359999999</v>
      </c>
      <c r="BG138" s="197">
        <f>BA138-BF138</f>
        <v>277.3949640000003</v>
      </c>
      <c r="BH138" s="197">
        <f>BC138-BF138</f>
        <v>453.34496400000035</v>
      </c>
      <c r="BI138" s="1018">
        <f>BA138/(1+$D$4)^(AX138-1)</f>
        <v>1487.9920000000002</v>
      </c>
      <c r="BJ138" s="213">
        <f>BB138/(1+$D$4)^(AX138-1)</f>
        <v>175.95</v>
      </c>
      <c r="BK138" s="213">
        <f>BF138/(1+$D$4)^(AX138-1)</f>
        <v>1210.5970359999999</v>
      </c>
      <c r="BL138" s="213">
        <f>BG138/(1+$D$4)^(AX138-1)</f>
        <v>277.3949640000003</v>
      </c>
      <c r="BM138" s="929">
        <f>BH138/(1+$D$4)^(AX138-1)</f>
        <v>453.34496400000035</v>
      </c>
      <c r="BN138" s="196">
        <f>BI138</f>
        <v>1487.9920000000002</v>
      </c>
      <c r="BO138" s="197">
        <f>BJ138</f>
        <v>175.95</v>
      </c>
      <c r="BP138" s="197">
        <f>BK138</f>
        <v>1210.5970359999999</v>
      </c>
      <c r="BQ138" s="197">
        <f>BL138</f>
        <v>277.3949640000003</v>
      </c>
      <c r="BR138" s="199">
        <f>BM138</f>
        <v>453.34496400000035</v>
      </c>
      <c r="BV138" s="899">
        <v>1</v>
      </c>
      <c r="BW138" s="911">
        <f>'Arable Inputs'!$H$18</f>
        <v>8.14</v>
      </c>
      <c r="BX138" s="760">
        <f>'Arable Inputs'!$H$25</f>
        <v>182.8</v>
      </c>
      <c r="BY138" s="762">
        <f>BW138*BX138</f>
        <v>1487.9920000000002</v>
      </c>
      <c r="BZ138" s="197">
        <f>'Arable NPV'!$D117</f>
        <v>175.95</v>
      </c>
      <c r="CA138" s="197">
        <f>BY138+BZ138</f>
        <v>1663.9420000000002</v>
      </c>
      <c r="CB138" s="197">
        <f>'Arable NPV'!$F117</f>
        <v>574.23049999999989</v>
      </c>
      <c r="CC138" s="197">
        <f>'Arable NPV'!$G117</f>
        <v>636.366536</v>
      </c>
      <c r="CD138" s="197">
        <f>(CB138+CC138)</f>
        <v>1210.5970359999999</v>
      </c>
      <c r="CE138" s="197">
        <f>BY138-CD138</f>
        <v>277.3949640000003</v>
      </c>
      <c r="CF138" s="197">
        <f>CA138-CD138</f>
        <v>453.34496400000035</v>
      </c>
      <c r="CG138" s="196">
        <f>BY138/(1+$E$4)^(BV138-1)</f>
        <v>1487.9920000000002</v>
      </c>
      <c r="CH138" s="197">
        <f>BZ138/(1+$E$4)^(BV138-1)</f>
        <v>175.95</v>
      </c>
      <c r="CI138" s="197">
        <f>CD138/(1+$E$4)^(BV138-1)</f>
        <v>1210.5970359999999</v>
      </c>
      <c r="CJ138" s="197">
        <f>CE138/(1+$E$4)^(BV138-1)</f>
        <v>277.3949640000003</v>
      </c>
      <c r="CK138" s="197">
        <f>CF138/(1+$E$4)^(BV138-1)</f>
        <v>453.34496400000035</v>
      </c>
      <c r="CL138" s="196">
        <f>CG138</f>
        <v>1487.9920000000002</v>
      </c>
      <c r="CM138" s="197">
        <f>CH138</f>
        <v>175.95</v>
      </c>
      <c r="CN138" s="197">
        <f>CI138</f>
        <v>1210.5970359999999</v>
      </c>
      <c r="CO138" s="197">
        <f>CJ138</f>
        <v>277.3949640000003</v>
      </c>
      <c r="CP138" s="199">
        <f>CK138</f>
        <v>453.34496400000035</v>
      </c>
      <c r="CT138" s="899">
        <v>1</v>
      </c>
      <c r="CU138" s="911">
        <f>'Arable Inputs'!$H$18</f>
        <v>8.14</v>
      </c>
      <c r="CV138" s="760">
        <f>'Arable Inputs'!$H$25</f>
        <v>182.8</v>
      </c>
      <c r="CW138" s="762">
        <f>CU138*CV138</f>
        <v>1487.9920000000002</v>
      </c>
      <c r="CX138" s="197">
        <f>'Arable NPV'!$D117</f>
        <v>175.95</v>
      </c>
      <c r="CY138" s="197">
        <f>CW138+CX138</f>
        <v>1663.9420000000002</v>
      </c>
      <c r="CZ138" s="197">
        <f>'Arable NPV'!$F117</f>
        <v>574.23049999999989</v>
      </c>
      <c r="DA138" s="197">
        <f>'Arable NPV'!$G117</f>
        <v>636.366536</v>
      </c>
      <c r="DB138" s="197">
        <f>(CZ138+DA138)</f>
        <v>1210.5970359999999</v>
      </c>
      <c r="DC138" s="197">
        <f>CW138-DB138</f>
        <v>277.3949640000003</v>
      </c>
      <c r="DD138" s="197">
        <f>CY138-DB138</f>
        <v>453.34496400000035</v>
      </c>
      <c r="DE138" s="196">
        <f>CW138/(1+$F$4)^(CT138-1)</f>
        <v>1487.9920000000002</v>
      </c>
      <c r="DF138" s="197">
        <f>CX138/(1+$F$4)^(CT138-1)</f>
        <v>175.95</v>
      </c>
      <c r="DG138" s="197">
        <f>DB138/(1+$F$4)^(CT138-1)</f>
        <v>1210.5970359999999</v>
      </c>
      <c r="DH138" s="197">
        <f>DC138/(1+$F$4)^(CT138-1)</f>
        <v>277.3949640000003</v>
      </c>
      <c r="DI138" s="197">
        <f>DD138/(1+$F$4)^(CT138-1)</f>
        <v>453.34496400000035</v>
      </c>
      <c r="DJ138" s="196">
        <f>DE138</f>
        <v>1487.9920000000002</v>
      </c>
      <c r="DK138" s="197">
        <f>DF138</f>
        <v>175.95</v>
      </c>
      <c r="DL138" s="197">
        <f>DG138</f>
        <v>1210.5970359999999</v>
      </c>
      <c r="DM138" s="197">
        <f>DH138</f>
        <v>277.3949640000003</v>
      </c>
      <c r="DN138" s="199">
        <f>DI138</f>
        <v>453.34496400000035</v>
      </c>
    </row>
    <row r="139" spans="2:118" x14ac:dyDescent="0.3">
      <c r="B139" s="900">
        <v>2</v>
      </c>
      <c r="C139" s="911">
        <f>'Arable Inputs'!$H$18</f>
        <v>8.14</v>
      </c>
      <c r="D139" s="760">
        <f>'Arable Inputs'!$H$25</f>
        <v>182.8</v>
      </c>
      <c r="E139" s="762">
        <f t="shared" ref="E139:E153" si="336">C139*D139</f>
        <v>1487.9920000000002</v>
      </c>
      <c r="F139" s="197">
        <f>'Arable NPV'!$D118</f>
        <v>175.95</v>
      </c>
      <c r="G139" s="197">
        <f>E139+F139</f>
        <v>1663.9420000000002</v>
      </c>
      <c r="H139" s="197">
        <f>'Arable NPV'!$F118</f>
        <v>574.23049999999989</v>
      </c>
      <c r="I139" s="197">
        <f>'Arable NPV'!$G118</f>
        <v>636.366536</v>
      </c>
      <c r="J139" s="197">
        <f t="shared" ref="J139:J153" si="337">(H139+I139)</f>
        <v>1210.5970359999999</v>
      </c>
      <c r="K139" s="197">
        <f t="shared" ref="K139:K153" si="338">E139-J139</f>
        <v>277.3949640000003</v>
      </c>
      <c r="L139" s="197">
        <f t="shared" ref="L139:L153" si="339">G139-J139</f>
        <v>453.34496400000035</v>
      </c>
      <c r="M139" s="196">
        <f t="shared" ref="M139:M153" si="340">E139/(1+$B$4)^(B139-1)</f>
        <v>1430.7615384615385</v>
      </c>
      <c r="N139" s="197">
        <f t="shared" ref="N139:N153" si="341">F139/(1+$B$4)^(B139-1)</f>
        <v>169.18269230769229</v>
      </c>
      <c r="O139" s="197">
        <f t="shared" ref="O139:O152" si="342">J139/(1+$B$4)^(B139-1)</f>
        <v>1164.0356115384614</v>
      </c>
      <c r="P139" s="197">
        <f t="shared" ref="P139:P152" si="343">K139/(1+$B$4)^(B139-1)</f>
        <v>266.72592692307722</v>
      </c>
      <c r="Q139" s="197">
        <f t="shared" ref="Q139:Q152" si="344">L139/(1+$B$4)^(B139-1)</f>
        <v>435.90861923076955</v>
      </c>
      <c r="R139" s="196">
        <f t="shared" ref="R139:V153" si="345">R138+M139</f>
        <v>2918.7535384615385</v>
      </c>
      <c r="S139" s="197">
        <f t="shared" si="345"/>
        <v>345.13269230769231</v>
      </c>
      <c r="T139" s="197">
        <f t="shared" si="345"/>
        <v>2374.6326475384612</v>
      </c>
      <c r="U139" s="197">
        <f t="shared" si="345"/>
        <v>544.12089092307747</v>
      </c>
      <c r="V139" s="199">
        <f t="shared" si="345"/>
        <v>889.25358323076989</v>
      </c>
      <c r="Z139" s="900">
        <v>2</v>
      </c>
      <c r="AA139" s="911">
        <f>'Arable Inputs'!$H$18</f>
        <v>8.14</v>
      </c>
      <c r="AB139" s="760">
        <f>'Arable Inputs'!$H$25</f>
        <v>182.8</v>
      </c>
      <c r="AC139" s="762">
        <f t="shared" ref="AC139:AC153" si="346">AA139*AB139</f>
        <v>1487.9920000000002</v>
      </c>
      <c r="AD139" s="197">
        <f>'Arable NPV'!$D118</f>
        <v>175.95</v>
      </c>
      <c r="AE139" s="197">
        <f>AC139+AD139</f>
        <v>1663.9420000000002</v>
      </c>
      <c r="AF139" s="197">
        <f>'Arable NPV'!$F118</f>
        <v>574.23049999999989</v>
      </c>
      <c r="AG139" s="197">
        <f>'Arable NPV'!$G118</f>
        <v>636.366536</v>
      </c>
      <c r="AH139" s="197">
        <f t="shared" ref="AH139:AH153" si="347">(AF139+AG139)</f>
        <v>1210.5970359999999</v>
      </c>
      <c r="AI139" s="197">
        <f t="shared" ref="AI139:AI153" si="348">AC139-AH139</f>
        <v>277.3949640000003</v>
      </c>
      <c r="AJ139" s="197">
        <f t="shared" ref="AJ139:AJ153" si="349">AE139-AH139</f>
        <v>453.34496400000035</v>
      </c>
      <c r="AK139" s="196">
        <f t="shared" ref="AK139:AK153" si="350">AC139/(1+$C$4)^(Z139-1)</f>
        <v>1403.7660377358491</v>
      </c>
      <c r="AL139" s="197">
        <f t="shared" ref="AL139:AL153" si="351">AD139/(1+$C$4)^(Z139-1)</f>
        <v>165.99056603773582</v>
      </c>
      <c r="AM139" s="197">
        <f t="shared" ref="AM139:AM153" si="352">AH139/(1+$C$4)^(Z139-1)</f>
        <v>1142.0726754716979</v>
      </c>
      <c r="AN139" s="197">
        <f t="shared" ref="AN139:AN153" si="353">AI139/(1+$C$4)^(Z139-1)</f>
        <v>261.69336226415123</v>
      </c>
      <c r="AO139" s="199">
        <f t="shared" ref="AO139:AO153" si="354">AJ139/(1+$C$4)^(Z139-1)</f>
        <v>427.68392830188708</v>
      </c>
      <c r="AP139" s="196">
        <f t="shared" ref="AP139:AP153" si="355">AP138+AK139</f>
        <v>2891.758037735849</v>
      </c>
      <c r="AQ139" s="197">
        <f t="shared" ref="AQ139:AQ153" si="356">AQ138+AL139</f>
        <v>341.94056603773583</v>
      </c>
      <c r="AR139" s="197">
        <f t="shared" ref="AR139:AR153" si="357">AR138+AM139</f>
        <v>2352.6697114716981</v>
      </c>
      <c r="AS139" s="197">
        <f t="shared" ref="AS139:AS153" si="358">AS138+AN139</f>
        <v>539.08832626415153</v>
      </c>
      <c r="AT139" s="199">
        <f t="shared" ref="AT139:AT153" si="359">AT138+AO139</f>
        <v>881.02889230188748</v>
      </c>
      <c r="AX139" s="900">
        <v>2</v>
      </c>
      <c r="AY139" s="911">
        <f>'Arable Inputs'!$H$18</f>
        <v>8.14</v>
      </c>
      <c r="AZ139" s="760">
        <f>'Arable Inputs'!$H$25</f>
        <v>182.8</v>
      </c>
      <c r="BA139" s="762">
        <f t="shared" ref="BA139:BA153" si="360">AY139*AZ139</f>
        <v>1487.9920000000002</v>
      </c>
      <c r="BB139" s="197">
        <f>'Arable NPV'!$D118</f>
        <v>175.95</v>
      </c>
      <c r="BC139" s="197">
        <f>BA139+BB139</f>
        <v>1663.9420000000002</v>
      </c>
      <c r="BD139" s="197">
        <f>'Arable NPV'!$F118</f>
        <v>574.23049999999989</v>
      </c>
      <c r="BE139" s="197">
        <f>'Arable NPV'!$G118</f>
        <v>636.366536</v>
      </c>
      <c r="BF139" s="197">
        <f t="shared" ref="BF139:BF153" si="361">(BD139+BE139)</f>
        <v>1210.5970359999999</v>
      </c>
      <c r="BG139" s="197">
        <f t="shared" ref="BG139:BG153" si="362">BA139-BF139</f>
        <v>277.3949640000003</v>
      </c>
      <c r="BH139" s="197">
        <f t="shared" ref="BH139:BH153" si="363">BC139-BF139</f>
        <v>453.34496400000035</v>
      </c>
      <c r="BI139" s="196">
        <f t="shared" ref="BI139:BI153" si="364">BA139/(1+$D$4)^(AX139-1)</f>
        <v>1458.81568627451</v>
      </c>
      <c r="BJ139" s="197">
        <f t="shared" ref="BJ139:BJ153" si="365">BB139/(1+$D$4)^(AX139-1)</f>
        <v>172.5</v>
      </c>
      <c r="BK139" s="197">
        <f t="shared" ref="BK139:BK153" si="366">BF139/(1+$D$4)^(AX139-1)</f>
        <v>1186.8598392156862</v>
      </c>
      <c r="BL139" s="197">
        <f t="shared" ref="BL139:BL153" si="367">BG139/(1+$D$4)^(AX139-1)</f>
        <v>271.95584705882379</v>
      </c>
      <c r="BM139" s="199">
        <f t="shared" ref="BM139:BM153" si="368">BH139/(1+$D$4)^(AX139-1)</f>
        <v>444.45584705882385</v>
      </c>
      <c r="BN139" s="196">
        <f t="shared" ref="BN139:BN153" si="369">BN138+BI139</f>
        <v>2946.8076862745102</v>
      </c>
      <c r="BO139" s="197">
        <f t="shared" ref="BO139:BO153" si="370">BO138+BJ139</f>
        <v>348.45</v>
      </c>
      <c r="BP139" s="197">
        <f t="shared" ref="BP139:BP153" si="371">BP138+BK139</f>
        <v>2397.4568752156861</v>
      </c>
      <c r="BQ139" s="197">
        <f t="shared" ref="BQ139:BQ153" si="372">BQ138+BL139</f>
        <v>549.35081105882409</v>
      </c>
      <c r="BR139" s="199">
        <f t="shared" ref="BR139:BR153" si="373">BR138+BM139</f>
        <v>897.80081105882414</v>
      </c>
      <c r="BV139" s="900">
        <v>2</v>
      </c>
      <c r="BW139" s="911">
        <f>'Arable Inputs'!$H$18</f>
        <v>8.14</v>
      </c>
      <c r="BX139" s="760">
        <f>'Arable Inputs'!$H$25</f>
        <v>182.8</v>
      </c>
      <c r="BY139" s="762">
        <f t="shared" ref="BY139:BY153" si="374">BW139*BX139</f>
        <v>1487.9920000000002</v>
      </c>
      <c r="BZ139" s="197">
        <f>'Arable NPV'!$D118</f>
        <v>175.95</v>
      </c>
      <c r="CA139" s="197">
        <f>BY139+BZ139</f>
        <v>1663.9420000000002</v>
      </c>
      <c r="CB139" s="197">
        <f>'Arable NPV'!$F118</f>
        <v>574.23049999999989</v>
      </c>
      <c r="CC139" s="197">
        <f>'Arable NPV'!$G118</f>
        <v>636.366536</v>
      </c>
      <c r="CD139" s="197">
        <f t="shared" ref="CD139:CD153" si="375">(CB139+CC139)</f>
        <v>1210.5970359999999</v>
      </c>
      <c r="CE139" s="197">
        <f t="shared" ref="CE139:CE153" si="376">BY139-CD139</f>
        <v>277.3949640000003</v>
      </c>
      <c r="CF139" s="197">
        <f t="shared" ref="CF139:CF153" si="377">CA139-CD139</f>
        <v>453.34496400000035</v>
      </c>
      <c r="CG139" s="196">
        <f t="shared" ref="CG139:CG153" si="378">BY139/(1+$E$4)^(BV139-1)</f>
        <v>1377.7703703703705</v>
      </c>
      <c r="CH139" s="197">
        <f t="shared" ref="CH139:CH153" si="379">BZ139/(1+$E$4)^(BV139-1)</f>
        <v>162.91666666666666</v>
      </c>
      <c r="CI139" s="197">
        <f t="shared" ref="CI139:CI153" si="380">CD139/(1+$E$4)^(BV139-1)</f>
        <v>1120.9231814814814</v>
      </c>
      <c r="CJ139" s="197">
        <f t="shared" ref="CJ139:CJ153" si="381">CE139/(1+$E$4)^(BV139-1)</f>
        <v>256.84718888888915</v>
      </c>
      <c r="CK139" s="197">
        <f t="shared" ref="CK139:CK153" si="382">CF139/(1+$E$4)^(BV139-1)</f>
        <v>419.76385555555584</v>
      </c>
      <c r="CL139" s="196">
        <f t="shared" ref="CL139:CL153" si="383">CL138+CG139</f>
        <v>2865.7623703703707</v>
      </c>
      <c r="CM139" s="197">
        <f t="shared" ref="CM139:CM153" si="384">CM138+CH139</f>
        <v>338.86666666666667</v>
      </c>
      <c r="CN139" s="197">
        <f t="shared" ref="CN139:CN153" si="385">CN138+CI139</f>
        <v>2331.5202174814813</v>
      </c>
      <c r="CO139" s="197">
        <f t="shared" ref="CO139:CO153" si="386">CO138+CJ139</f>
        <v>534.24215288888945</v>
      </c>
      <c r="CP139" s="199">
        <f t="shared" ref="CP139:CP153" si="387">CP138+CK139</f>
        <v>873.10881955555624</v>
      </c>
      <c r="CT139" s="900">
        <v>2</v>
      </c>
      <c r="CU139" s="911">
        <f>'Arable Inputs'!$H$18</f>
        <v>8.14</v>
      </c>
      <c r="CV139" s="760">
        <f>'Arable Inputs'!$H$25</f>
        <v>182.8</v>
      </c>
      <c r="CW139" s="762">
        <f t="shared" ref="CW139:CW153" si="388">CU139*CV139</f>
        <v>1487.9920000000002</v>
      </c>
      <c r="CX139" s="197">
        <f>'Arable NPV'!$D118</f>
        <v>175.95</v>
      </c>
      <c r="CY139" s="197">
        <f>CW139+CX139</f>
        <v>1663.9420000000002</v>
      </c>
      <c r="CZ139" s="197">
        <f>'Arable NPV'!$F118</f>
        <v>574.23049999999989</v>
      </c>
      <c r="DA139" s="197">
        <f>'Arable NPV'!$G118</f>
        <v>636.366536</v>
      </c>
      <c r="DB139" s="197">
        <f t="shared" ref="DB139:DB153" si="389">(CZ139+DA139)</f>
        <v>1210.5970359999999</v>
      </c>
      <c r="DC139" s="197">
        <f t="shared" ref="DC139:DC153" si="390">CW139-DB139</f>
        <v>277.3949640000003</v>
      </c>
      <c r="DD139" s="197">
        <f t="shared" ref="DD139:DD153" si="391">CY139-DB139</f>
        <v>453.34496400000035</v>
      </c>
      <c r="DE139" s="196">
        <f t="shared" ref="DE139:DE153" si="392">CW139/(1+$F$4)^(CT139-1)</f>
        <v>1487.9920000000002</v>
      </c>
      <c r="DF139" s="197">
        <f t="shared" ref="DF139:DF153" si="393">CX139/(1+$F$4)^(CT139-1)</f>
        <v>175.95</v>
      </c>
      <c r="DG139" s="197">
        <f t="shared" ref="DG139:DG153" si="394">DB139/(1+$F$4)^(CT139-1)</f>
        <v>1210.5970359999999</v>
      </c>
      <c r="DH139" s="197">
        <f t="shared" ref="DH139:DH152" si="395">DC139/(1+$F$4)^(CT139-1)</f>
        <v>277.3949640000003</v>
      </c>
      <c r="DI139" s="197">
        <f t="shared" ref="DI139:DI153" si="396">DD139/(1+$F$4)^(CT139-1)</f>
        <v>453.34496400000035</v>
      </c>
      <c r="DJ139" s="196">
        <f t="shared" ref="DJ139:DJ153" si="397">DJ138+DE139</f>
        <v>2975.9840000000004</v>
      </c>
      <c r="DK139" s="197">
        <f t="shared" ref="DK139:DK153" si="398">DK138+DF139</f>
        <v>351.9</v>
      </c>
      <c r="DL139" s="197">
        <f t="shared" ref="DL139:DL153" si="399">DL138+DG139</f>
        <v>2421.1940719999998</v>
      </c>
      <c r="DM139" s="197">
        <f t="shared" ref="DM139:DM153" si="400">DM138+DH139</f>
        <v>554.7899280000006</v>
      </c>
      <c r="DN139" s="199">
        <f t="shared" ref="DN139:DN153" si="401">DN138+DI139</f>
        <v>906.68992800000069</v>
      </c>
    </row>
    <row r="140" spans="2:118" x14ac:dyDescent="0.3">
      <c r="B140" s="900">
        <v>3</v>
      </c>
      <c r="C140" s="911">
        <f>'Arable Inputs'!$H$18</f>
        <v>8.14</v>
      </c>
      <c r="D140" s="760">
        <f>'Arable Inputs'!$H$25</f>
        <v>182.8</v>
      </c>
      <c r="E140" s="762">
        <f t="shared" si="336"/>
        <v>1487.9920000000002</v>
      </c>
      <c r="F140" s="197">
        <f>'Arable NPV'!$D119</f>
        <v>175.95</v>
      </c>
      <c r="G140" s="197">
        <f t="shared" ref="G140:G152" si="402">E140+F140</f>
        <v>1663.9420000000002</v>
      </c>
      <c r="H140" s="197">
        <f>'Arable NPV'!$F119</f>
        <v>574.23049999999989</v>
      </c>
      <c r="I140" s="197">
        <f>'Arable NPV'!$G119</f>
        <v>636.366536</v>
      </c>
      <c r="J140" s="197">
        <f t="shared" si="337"/>
        <v>1210.5970359999999</v>
      </c>
      <c r="K140" s="197">
        <f t="shared" si="338"/>
        <v>277.3949640000003</v>
      </c>
      <c r="L140" s="197">
        <f t="shared" si="339"/>
        <v>453.34496400000035</v>
      </c>
      <c r="M140" s="196">
        <f t="shared" si="340"/>
        <v>1375.7322485207101</v>
      </c>
      <c r="N140" s="197">
        <f t="shared" si="341"/>
        <v>162.67566568047334</v>
      </c>
      <c r="O140" s="197">
        <f t="shared" si="342"/>
        <v>1119.2650110946743</v>
      </c>
      <c r="P140" s="197">
        <f t="shared" si="343"/>
        <v>256.46723742603575</v>
      </c>
      <c r="Q140" s="197">
        <f t="shared" si="344"/>
        <v>419.14290310650915</v>
      </c>
      <c r="R140" s="196">
        <f t="shared" si="345"/>
        <v>4294.4857869822481</v>
      </c>
      <c r="S140" s="197">
        <f t="shared" si="345"/>
        <v>507.80835798816565</v>
      </c>
      <c r="T140" s="197">
        <f t="shared" si="345"/>
        <v>3493.8976586331355</v>
      </c>
      <c r="U140" s="197">
        <f t="shared" si="345"/>
        <v>800.58812834911328</v>
      </c>
      <c r="V140" s="199">
        <f t="shared" si="345"/>
        <v>1308.3964863372789</v>
      </c>
      <c r="Z140" s="900">
        <v>3</v>
      </c>
      <c r="AA140" s="911">
        <f>'Arable Inputs'!$H$18</f>
        <v>8.14</v>
      </c>
      <c r="AB140" s="760">
        <f>'Arable Inputs'!$H$25</f>
        <v>182.8</v>
      </c>
      <c r="AC140" s="762">
        <f t="shared" si="346"/>
        <v>1487.9920000000002</v>
      </c>
      <c r="AD140" s="197">
        <f>'Arable NPV'!$D119</f>
        <v>175.95</v>
      </c>
      <c r="AE140" s="197">
        <f t="shared" ref="AE140:AE152" si="403">AC140+AD140</f>
        <v>1663.9420000000002</v>
      </c>
      <c r="AF140" s="197">
        <f>'Arable NPV'!$F119</f>
        <v>574.23049999999989</v>
      </c>
      <c r="AG140" s="197">
        <f>'Arable NPV'!$G119</f>
        <v>636.366536</v>
      </c>
      <c r="AH140" s="197">
        <f t="shared" si="347"/>
        <v>1210.5970359999999</v>
      </c>
      <c r="AI140" s="197">
        <f t="shared" si="348"/>
        <v>277.3949640000003</v>
      </c>
      <c r="AJ140" s="197">
        <f t="shared" si="349"/>
        <v>453.34496400000035</v>
      </c>
      <c r="AK140" s="196">
        <f t="shared" si="350"/>
        <v>1324.3075827696689</v>
      </c>
      <c r="AL140" s="197">
        <f t="shared" si="351"/>
        <v>156.5948736205055</v>
      </c>
      <c r="AM140" s="197">
        <f t="shared" si="352"/>
        <v>1077.4270523317905</v>
      </c>
      <c r="AN140" s="197">
        <f t="shared" si="353"/>
        <v>246.88053043787849</v>
      </c>
      <c r="AO140" s="199">
        <f t="shared" si="354"/>
        <v>403.47540405838402</v>
      </c>
      <c r="AP140" s="196">
        <f t="shared" si="355"/>
        <v>4216.0656205055184</v>
      </c>
      <c r="AQ140" s="197">
        <f t="shared" si="356"/>
        <v>498.53543965824133</v>
      </c>
      <c r="AR140" s="197">
        <f t="shared" si="357"/>
        <v>3430.0967638034886</v>
      </c>
      <c r="AS140" s="197">
        <f t="shared" si="358"/>
        <v>785.96885670203005</v>
      </c>
      <c r="AT140" s="199">
        <f t="shared" si="359"/>
        <v>1284.5042963602714</v>
      </c>
      <c r="AX140" s="900">
        <v>3</v>
      </c>
      <c r="AY140" s="911">
        <f>'Arable Inputs'!$H$18</f>
        <v>8.14</v>
      </c>
      <c r="AZ140" s="760">
        <f>'Arable Inputs'!$H$25</f>
        <v>182.8</v>
      </c>
      <c r="BA140" s="762">
        <f t="shared" si="360"/>
        <v>1487.9920000000002</v>
      </c>
      <c r="BB140" s="197">
        <f>'Arable NPV'!$D119</f>
        <v>175.95</v>
      </c>
      <c r="BC140" s="197">
        <f t="shared" ref="BC140:BC152" si="404">BA140+BB140</f>
        <v>1663.9420000000002</v>
      </c>
      <c r="BD140" s="197">
        <f>'Arable NPV'!$F119</f>
        <v>574.23049999999989</v>
      </c>
      <c r="BE140" s="197">
        <f>'Arable NPV'!$G119</f>
        <v>636.366536</v>
      </c>
      <c r="BF140" s="197">
        <f t="shared" si="361"/>
        <v>1210.5970359999999</v>
      </c>
      <c r="BG140" s="197">
        <f t="shared" si="362"/>
        <v>277.3949640000003</v>
      </c>
      <c r="BH140" s="197">
        <f t="shared" si="363"/>
        <v>453.34496400000035</v>
      </c>
      <c r="BI140" s="196">
        <f t="shared" si="364"/>
        <v>1430.2114571318725</v>
      </c>
      <c r="BJ140" s="197">
        <f t="shared" si="365"/>
        <v>169.11764705882351</v>
      </c>
      <c r="BK140" s="197">
        <f t="shared" si="366"/>
        <v>1163.5880776624374</v>
      </c>
      <c r="BL140" s="197">
        <f t="shared" si="367"/>
        <v>266.62337946943512</v>
      </c>
      <c r="BM140" s="199">
        <f t="shared" si="368"/>
        <v>435.74102652825871</v>
      </c>
      <c r="BN140" s="196">
        <f t="shared" si="369"/>
        <v>4377.0191434063827</v>
      </c>
      <c r="BO140" s="197">
        <f t="shared" si="370"/>
        <v>517.56764705882347</v>
      </c>
      <c r="BP140" s="197">
        <f t="shared" si="371"/>
        <v>3561.0449528781237</v>
      </c>
      <c r="BQ140" s="197">
        <f t="shared" si="372"/>
        <v>815.97419052825921</v>
      </c>
      <c r="BR140" s="199">
        <f t="shared" si="373"/>
        <v>1333.5418375870829</v>
      </c>
      <c r="BV140" s="900">
        <v>3</v>
      </c>
      <c r="BW140" s="911">
        <f>'Arable Inputs'!$H$18</f>
        <v>8.14</v>
      </c>
      <c r="BX140" s="760">
        <f>'Arable Inputs'!$H$25</f>
        <v>182.8</v>
      </c>
      <c r="BY140" s="762">
        <f t="shared" si="374"/>
        <v>1487.9920000000002</v>
      </c>
      <c r="BZ140" s="197">
        <f>'Arable NPV'!$D119</f>
        <v>175.95</v>
      </c>
      <c r="CA140" s="197">
        <f t="shared" ref="CA140:CA152" si="405">BY140+BZ140</f>
        <v>1663.9420000000002</v>
      </c>
      <c r="CB140" s="197">
        <f>'Arable NPV'!$F119</f>
        <v>574.23049999999989</v>
      </c>
      <c r="CC140" s="197">
        <f>'Arable NPV'!$G119</f>
        <v>636.366536</v>
      </c>
      <c r="CD140" s="197">
        <f t="shared" si="375"/>
        <v>1210.5970359999999</v>
      </c>
      <c r="CE140" s="197">
        <f t="shared" si="376"/>
        <v>277.3949640000003</v>
      </c>
      <c r="CF140" s="197">
        <f t="shared" si="377"/>
        <v>453.34496400000035</v>
      </c>
      <c r="CG140" s="196">
        <f t="shared" si="378"/>
        <v>1275.7133058984912</v>
      </c>
      <c r="CH140" s="197">
        <f t="shared" si="379"/>
        <v>150.84876543209873</v>
      </c>
      <c r="CI140" s="197">
        <f t="shared" si="380"/>
        <v>1037.8918347050753</v>
      </c>
      <c r="CJ140" s="197">
        <f t="shared" si="381"/>
        <v>237.82147119341587</v>
      </c>
      <c r="CK140" s="197">
        <f t="shared" si="382"/>
        <v>388.67023662551469</v>
      </c>
      <c r="CL140" s="196">
        <f t="shared" si="383"/>
        <v>4141.4756762688621</v>
      </c>
      <c r="CM140" s="197">
        <f t="shared" si="384"/>
        <v>489.7154320987654</v>
      </c>
      <c r="CN140" s="197">
        <f t="shared" si="385"/>
        <v>3369.4120521865566</v>
      </c>
      <c r="CO140" s="197">
        <f t="shared" si="386"/>
        <v>772.0636240823053</v>
      </c>
      <c r="CP140" s="199">
        <f t="shared" si="387"/>
        <v>1261.7790561810709</v>
      </c>
      <c r="CT140" s="900">
        <v>3</v>
      </c>
      <c r="CU140" s="911">
        <f>'Arable Inputs'!$H$18</f>
        <v>8.14</v>
      </c>
      <c r="CV140" s="760">
        <f>'Arable Inputs'!$H$25</f>
        <v>182.8</v>
      </c>
      <c r="CW140" s="762">
        <f t="shared" si="388"/>
        <v>1487.9920000000002</v>
      </c>
      <c r="CX140" s="197">
        <f>'Arable NPV'!$D119</f>
        <v>175.95</v>
      </c>
      <c r="CY140" s="197">
        <f t="shared" ref="CY140:CY152" si="406">CW140+CX140</f>
        <v>1663.9420000000002</v>
      </c>
      <c r="CZ140" s="197">
        <f>'Arable NPV'!$F119</f>
        <v>574.23049999999989</v>
      </c>
      <c r="DA140" s="197">
        <f>'Arable NPV'!$G119</f>
        <v>636.366536</v>
      </c>
      <c r="DB140" s="197">
        <f t="shared" si="389"/>
        <v>1210.5970359999999</v>
      </c>
      <c r="DC140" s="197">
        <f t="shared" si="390"/>
        <v>277.3949640000003</v>
      </c>
      <c r="DD140" s="197">
        <f t="shared" si="391"/>
        <v>453.34496400000035</v>
      </c>
      <c r="DE140" s="196">
        <f t="shared" si="392"/>
        <v>1487.9920000000002</v>
      </c>
      <c r="DF140" s="197">
        <f t="shared" si="393"/>
        <v>175.95</v>
      </c>
      <c r="DG140" s="197">
        <f t="shared" si="394"/>
        <v>1210.5970359999999</v>
      </c>
      <c r="DH140" s="197">
        <f t="shared" si="395"/>
        <v>277.3949640000003</v>
      </c>
      <c r="DI140" s="197">
        <f t="shared" si="396"/>
        <v>453.34496400000035</v>
      </c>
      <c r="DJ140" s="196">
        <f t="shared" si="397"/>
        <v>4463.9760000000006</v>
      </c>
      <c r="DK140" s="197">
        <f t="shared" si="398"/>
        <v>527.84999999999991</v>
      </c>
      <c r="DL140" s="197">
        <f t="shared" si="399"/>
        <v>3631.7911079999994</v>
      </c>
      <c r="DM140" s="197">
        <f t="shared" si="400"/>
        <v>832.1848920000009</v>
      </c>
      <c r="DN140" s="199">
        <f t="shared" si="401"/>
        <v>1360.034892000001</v>
      </c>
    </row>
    <row r="141" spans="2:118" x14ac:dyDescent="0.3">
      <c r="B141" s="900">
        <v>4</v>
      </c>
      <c r="C141" s="911">
        <f>'Arable Inputs'!$H$18</f>
        <v>8.14</v>
      </c>
      <c r="D141" s="760">
        <f>'Arable Inputs'!$H$25</f>
        <v>182.8</v>
      </c>
      <c r="E141" s="762">
        <f t="shared" si="336"/>
        <v>1487.9920000000002</v>
      </c>
      <c r="F141" s="197">
        <f>'Arable NPV'!$D120</f>
        <v>175.95</v>
      </c>
      <c r="G141" s="197">
        <f t="shared" si="402"/>
        <v>1663.9420000000002</v>
      </c>
      <c r="H141" s="197">
        <f>'Arable NPV'!$F120</f>
        <v>574.23049999999989</v>
      </c>
      <c r="I141" s="197">
        <f>'Arable NPV'!$G120</f>
        <v>636.366536</v>
      </c>
      <c r="J141" s="197">
        <f t="shared" si="337"/>
        <v>1210.5970359999999</v>
      </c>
      <c r="K141" s="197">
        <f t="shared" si="338"/>
        <v>277.3949640000003</v>
      </c>
      <c r="L141" s="197">
        <f t="shared" si="339"/>
        <v>453.34496400000035</v>
      </c>
      <c r="M141" s="196">
        <f t="shared" si="340"/>
        <v>1322.819469731452</v>
      </c>
      <c r="N141" s="197">
        <f t="shared" si="341"/>
        <v>156.41890930814745</v>
      </c>
      <c r="O141" s="197">
        <f t="shared" si="342"/>
        <v>1076.2163568218023</v>
      </c>
      <c r="P141" s="197">
        <f t="shared" si="343"/>
        <v>246.60311290964978</v>
      </c>
      <c r="Q141" s="197">
        <f t="shared" si="344"/>
        <v>403.02202221779726</v>
      </c>
      <c r="R141" s="196">
        <f t="shared" si="345"/>
        <v>5617.3052567137001</v>
      </c>
      <c r="S141" s="197">
        <f t="shared" si="345"/>
        <v>664.22726729631313</v>
      </c>
      <c r="T141" s="197">
        <f t="shared" si="345"/>
        <v>4570.1140154549375</v>
      </c>
      <c r="U141" s="197">
        <f t="shared" si="345"/>
        <v>1047.1912412587631</v>
      </c>
      <c r="V141" s="199">
        <f t="shared" si="345"/>
        <v>1711.4185085550762</v>
      </c>
      <c r="Z141" s="900">
        <v>4</v>
      </c>
      <c r="AA141" s="911">
        <f>'Arable Inputs'!$H$18</f>
        <v>8.14</v>
      </c>
      <c r="AB141" s="760">
        <f>'Arable Inputs'!$H$25</f>
        <v>182.8</v>
      </c>
      <c r="AC141" s="762">
        <f t="shared" si="346"/>
        <v>1487.9920000000002</v>
      </c>
      <c r="AD141" s="197">
        <f>'Arable NPV'!$D120</f>
        <v>175.95</v>
      </c>
      <c r="AE141" s="197">
        <f t="shared" si="403"/>
        <v>1663.9420000000002</v>
      </c>
      <c r="AF141" s="197">
        <f>'Arable NPV'!$F120</f>
        <v>574.23049999999989</v>
      </c>
      <c r="AG141" s="197">
        <f>'Arable NPV'!$G120</f>
        <v>636.366536</v>
      </c>
      <c r="AH141" s="197">
        <f t="shared" si="347"/>
        <v>1210.5970359999999</v>
      </c>
      <c r="AI141" s="197">
        <f t="shared" si="348"/>
        <v>277.3949640000003</v>
      </c>
      <c r="AJ141" s="197">
        <f t="shared" si="349"/>
        <v>453.34496400000035</v>
      </c>
      <c r="AK141" s="196">
        <f t="shared" si="350"/>
        <v>1249.3467761978006</v>
      </c>
      <c r="AL141" s="197">
        <f t="shared" si="351"/>
        <v>147.73101284953347</v>
      </c>
      <c r="AM141" s="197">
        <f t="shared" si="352"/>
        <v>1016.4406154073494</v>
      </c>
      <c r="AN141" s="197">
        <f t="shared" si="353"/>
        <v>232.90616079045137</v>
      </c>
      <c r="AO141" s="199">
        <f t="shared" si="354"/>
        <v>380.63717363998489</v>
      </c>
      <c r="AP141" s="196">
        <f t="shared" si="355"/>
        <v>5465.4123967033192</v>
      </c>
      <c r="AQ141" s="197">
        <f t="shared" si="356"/>
        <v>646.26645250777483</v>
      </c>
      <c r="AR141" s="197">
        <f t="shared" si="357"/>
        <v>4446.5373792108376</v>
      </c>
      <c r="AS141" s="197">
        <f t="shared" si="358"/>
        <v>1018.8750174924814</v>
      </c>
      <c r="AT141" s="199">
        <f t="shared" si="359"/>
        <v>1665.1414700002563</v>
      </c>
      <c r="AX141" s="900">
        <v>4</v>
      </c>
      <c r="AY141" s="911">
        <f>'Arable Inputs'!$H$18</f>
        <v>8.14</v>
      </c>
      <c r="AZ141" s="760">
        <f>'Arable Inputs'!$H$25</f>
        <v>182.8</v>
      </c>
      <c r="BA141" s="762">
        <f t="shared" si="360"/>
        <v>1487.9920000000002</v>
      </c>
      <c r="BB141" s="197">
        <f>'Arable NPV'!$D120</f>
        <v>175.95</v>
      </c>
      <c r="BC141" s="197">
        <f t="shared" si="404"/>
        <v>1663.9420000000002</v>
      </c>
      <c r="BD141" s="197">
        <f>'Arable NPV'!$F120</f>
        <v>574.23049999999989</v>
      </c>
      <c r="BE141" s="197">
        <f>'Arable NPV'!$G120</f>
        <v>636.366536</v>
      </c>
      <c r="BF141" s="197">
        <f t="shared" si="361"/>
        <v>1210.5970359999999</v>
      </c>
      <c r="BG141" s="197">
        <f t="shared" si="362"/>
        <v>277.3949640000003</v>
      </c>
      <c r="BH141" s="197">
        <f t="shared" si="363"/>
        <v>453.34496400000035</v>
      </c>
      <c r="BI141" s="196">
        <f t="shared" si="364"/>
        <v>1402.1680952273261</v>
      </c>
      <c r="BJ141" s="197">
        <f t="shared" si="365"/>
        <v>165.80161476355249</v>
      </c>
      <c r="BK141" s="197">
        <f t="shared" si="366"/>
        <v>1140.7726251592524</v>
      </c>
      <c r="BL141" s="197">
        <f t="shared" si="367"/>
        <v>261.39547006807368</v>
      </c>
      <c r="BM141" s="199">
        <f t="shared" si="368"/>
        <v>427.19708483162623</v>
      </c>
      <c r="BN141" s="196">
        <f t="shared" si="369"/>
        <v>5779.1872386337091</v>
      </c>
      <c r="BO141" s="197">
        <f t="shared" si="370"/>
        <v>683.36926182237596</v>
      </c>
      <c r="BP141" s="197">
        <f t="shared" si="371"/>
        <v>4701.8175780373758</v>
      </c>
      <c r="BQ141" s="197">
        <f t="shared" si="372"/>
        <v>1077.3696605963328</v>
      </c>
      <c r="BR141" s="199">
        <f t="shared" si="373"/>
        <v>1760.7389224187091</v>
      </c>
      <c r="BV141" s="900">
        <v>4</v>
      </c>
      <c r="BW141" s="911">
        <f>'Arable Inputs'!$H$18</f>
        <v>8.14</v>
      </c>
      <c r="BX141" s="760">
        <f>'Arable Inputs'!$H$25</f>
        <v>182.8</v>
      </c>
      <c r="BY141" s="762">
        <f t="shared" si="374"/>
        <v>1487.9920000000002</v>
      </c>
      <c r="BZ141" s="197">
        <f>'Arable NPV'!$D120</f>
        <v>175.95</v>
      </c>
      <c r="CA141" s="197">
        <f t="shared" si="405"/>
        <v>1663.9420000000002</v>
      </c>
      <c r="CB141" s="197">
        <f>'Arable NPV'!$F120</f>
        <v>574.23049999999989</v>
      </c>
      <c r="CC141" s="197">
        <f>'Arable NPV'!$G120</f>
        <v>636.366536</v>
      </c>
      <c r="CD141" s="197">
        <f t="shared" si="375"/>
        <v>1210.5970359999999</v>
      </c>
      <c r="CE141" s="197">
        <f t="shared" si="376"/>
        <v>277.3949640000003</v>
      </c>
      <c r="CF141" s="197">
        <f t="shared" si="377"/>
        <v>453.34496400000035</v>
      </c>
      <c r="CG141" s="196">
        <f t="shared" si="378"/>
        <v>1181.2160239800844</v>
      </c>
      <c r="CH141" s="197">
        <f t="shared" si="379"/>
        <v>139.67478280749884</v>
      </c>
      <c r="CI141" s="197">
        <f t="shared" si="380"/>
        <v>961.01095806025478</v>
      </c>
      <c r="CJ141" s="197">
        <f t="shared" si="381"/>
        <v>220.20506591982951</v>
      </c>
      <c r="CK141" s="197">
        <f t="shared" si="382"/>
        <v>359.87984872732835</v>
      </c>
      <c r="CL141" s="196">
        <f t="shared" si="383"/>
        <v>5322.6917002489463</v>
      </c>
      <c r="CM141" s="197">
        <f t="shared" si="384"/>
        <v>629.39021490626419</v>
      </c>
      <c r="CN141" s="197">
        <f t="shared" si="385"/>
        <v>4330.4230102468118</v>
      </c>
      <c r="CO141" s="197">
        <f t="shared" si="386"/>
        <v>992.2686900021348</v>
      </c>
      <c r="CP141" s="199">
        <f t="shared" si="387"/>
        <v>1621.6589049083993</v>
      </c>
      <c r="CT141" s="900">
        <v>4</v>
      </c>
      <c r="CU141" s="911">
        <f>'Arable Inputs'!$H$18</f>
        <v>8.14</v>
      </c>
      <c r="CV141" s="760">
        <f>'Arable Inputs'!$H$25</f>
        <v>182.8</v>
      </c>
      <c r="CW141" s="762">
        <f t="shared" si="388"/>
        <v>1487.9920000000002</v>
      </c>
      <c r="CX141" s="197">
        <f>'Arable NPV'!$D120</f>
        <v>175.95</v>
      </c>
      <c r="CY141" s="197">
        <f t="shared" si="406"/>
        <v>1663.9420000000002</v>
      </c>
      <c r="CZ141" s="197">
        <f>'Arable NPV'!$F120</f>
        <v>574.23049999999989</v>
      </c>
      <c r="DA141" s="197">
        <f>'Arable NPV'!$G120</f>
        <v>636.366536</v>
      </c>
      <c r="DB141" s="197">
        <f t="shared" si="389"/>
        <v>1210.5970359999999</v>
      </c>
      <c r="DC141" s="197">
        <f t="shared" si="390"/>
        <v>277.3949640000003</v>
      </c>
      <c r="DD141" s="197">
        <f t="shared" si="391"/>
        <v>453.34496400000035</v>
      </c>
      <c r="DE141" s="196">
        <f t="shared" si="392"/>
        <v>1487.9920000000002</v>
      </c>
      <c r="DF141" s="197">
        <f t="shared" si="393"/>
        <v>175.95</v>
      </c>
      <c r="DG141" s="197">
        <f t="shared" si="394"/>
        <v>1210.5970359999999</v>
      </c>
      <c r="DH141" s="197">
        <f t="shared" si="395"/>
        <v>277.3949640000003</v>
      </c>
      <c r="DI141" s="197">
        <f t="shared" si="396"/>
        <v>453.34496400000035</v>
      </c>
      <c r="DJ141" s="196">
        <f t="shared" si="397"/>
        <v>5951.9680000000008</v>
      </c>
      <c r="DK141" s="197">
        <f t="shared" si="398"/>
        <v>703.8</v>
      </c>
      <c r="DL141" s="197">
        <f t="shared" si="399"/>
        <v>4842.3881439999996</v>
      </c>
      <c r="DM141" s="197">
        <f t="shared" si="400"/>
        <v>1109.5798560000012</v>
      </c>
      <c r="DN141" s="199">
        <f t="shared" si="401"/>
        <v>1813.3798560000014</v>
      </c>
    </row>
    <row r="142" spans="2:118" x14ac:dyDescent="0.3">
      <c r="B142" s="900">
        <v>5</v>
      </c>
      <c r="C142" s="911">
        <f>'Arable Inputs'!$H$18</f>
        <v>8.14</v>
      </c>
      <c r="D142" s="760">
        <f>'Arable Inputs'!$H$25</f>
        <v>182.8</v>
      </c>
      <c r="E142" s="762">
        <f t="shared" si="336"/>
        <v>1487.9920000000002</v>
      </c>
      <c r="F142" s="197">
        <f>'Arable NPV'!$D121</f>
        <v>175.95</v>
      </c>
      <c r="G142" s="197">
        <f t="shared" si="402"/>
        <v>1663.9420000000002</v>
      </c>
      <c r="H142" s="197">
        <f>'Arable NPV'!$F121</f>
        <v>574.23049999999989</v>
      </c>
      <c r="I142" s="197">
        <f>'Arable NPV'!$G121</f>
        <v>636.366536</v>
      </c>
      <c r="J142" s="197">
        <f t="shared" si="337"/>
        <v>1210.5970359999999</v>
      </c>
      <c r="K142" s="197">
        <f t="shared" si="338"/>
        <v>277.3949640000003</v>
      </c>
      <c r="L142" s="197">
        <f t="shared" si="339"/>
        <v>453.34496400000035</v>
      </c>
      <c r="M142" s="196">
        <f t="shared" si="340"/>
        <v>1271.9417978187037</v>
      </c>
      <c r="N142" s="197">
        <f t="shared" si="341"/>
        <v>150.40279741168024</v>
      </c>
      <c r="O142" s="197">
        <f t="shared" si="342"/>
        <v>1034.8234200209636</v>
      </c>
      <c r="P142" s="197">
        <f t="shared" si="343"/>
        <v>237.11837779774015</v>
      </c>
      <c r="Q142" s="197">
        <f t="shared" si="344"/>
        <v>387.52117520942039</v>
      </c>
      <c r="R142" s="196">
        <f t="shared" si="345"/>
        <v>6889.247054532404</v>
      </c>
      <c r="S142" s="197">
        <f t="shared" si="345"/>
        <v>814.63006470799337</v>
      </c>
      <c r="T142" s="197">
        <f t="shared" si="345"/>
        <v>5604.9374354759011</v>
      </c>
      <c r="U142" s="197">
        <f t="shared" si="345"/>
        <v>1284.3096190565032</v>
      </c>
      <c r="V142" s="199">
        <f t="shared" si="345"/>
        <v>2098.9396837644967</v>
      </c>
      <c r="Z142" s="900">
        <v>5</v>
      </c>
      <c r="AA142" s="911">
        <f>'Arable Inputs'!$H$18</f>
        <v>8.14</v>
      </c>
      <c r="AB142" s="760">
        <f>'Arable Inputs'!$H$25</f>
        <v>182.8</v>
      </c>
      <c r="AC142" s="762">
        <f t="shared" si="346"/>
        <v>1487.9920000000002</v>
      </c>
      <c r="AD142" s="197">
        <f>'Arable NPV'!$D121</f>
        <v>175.95</v>
      </c>
      <c r="AE142" s="197">
        <f t="shared" si="403"/>
        <v>1663.9420000000002</v>
      </c>
      <c r="AF142" s="197">
        <f>'Arable NPV'!$F121</f>
        <v>574.23049999999989</v>
      </c>
      <c r="AG142" s="197">
        <f>'Arable NPV'!$G121</f>
        <v>636.366536</v>
      </c>
      <c r="AH142" s="197">
        <f t="shared" si="347"/>
        <v>1210.5970359999999</v>
      </c>
      <c r="AI142" s="197">
        <f t="shared" si="348"/>
        <v>277.3949640000003</v>
      </c>
      <c r="AJ142" s="197">
        <f t="shared" si="349"/>
        <v>453.34496400000035</v>
      </c>
      <c r="AK142" s="196">
        <f t="shared" si="350"/>
        <v>1178.6290341488686</v>
      </c>
      <c r="AL142" s="197">
        <f t="shared" si="351"/>
        <v>139.36888004672969</v>
      </c>
      <c r="AM142" s="197">
        <f t="shared" si="352"/>
        <v>958.90624095032956</v>
      </c>
      <c r="AN142" s="197">
        <f t="shared" si="353"/>
        <v>219.72279319853902</v>
      </c>
      <c r="AO142" s="199">
        <f t="shared" si="354"/>
        <v>359.09167324526874</v>
      </c>
      <c r="AP142" s="196">
        <f t="shared" si="355"/>
        <v>6644.0414308521877</v>
      </c>
      <c r="AQ142" s="197">
        <f t="shared" si="356"/>
        <v>785.63533255450454</v>
      </c>
      <c r="AR142" s="197">
        <f t="shared" si="357"/>
        <v>5405.443620161167</v>
      </c>
      <c r="AS142" s="197">
        <f t="shared" si="358"/>
        <v>1238.5978106910204</v>
      </c>
      <c r="AT142" s="199">
        <f t="shared" si="359"/>
        <v>2024.2331432455251</v>
      </c>
      <c r="AX142" s="900">
        <v>5</v>
      </c>
      <c r="AY142" s="911">
        <f>'Arable Inputs'!$H$18</f>
        <v>8.14</v>
      </c>
      <c r="AZ142" s="760">
        <f>'Arable Inputs'!$H$25</f>
        <v>182.8</v>
      </c>
      <c r="BA142" s="762">
        <f t="shared" si="360"/>
        <v>1487.9920000000002</v>
      </c>
      <c r="BB142" s="197">
        <f>'Arable NPV'!$D121</f>
        <v>175.95</v>
      </c>
      <c r="BC142" s="197">
        <f t="shared" si="404"/>
        <v>1663.9420000000002</v>
      </c>
      <c r="BD142" s="197">
        <f>'Arable NPV'!$F121</f>
        <v>574.23049999999989</v>
      </c>
      <c r="BE142" s="197">
        <f>'Arable NPV'!$G121</f>
        <v>636.366536</v>
      </c>
      <c r="BF142" s="197">
        <f t="shared" si="361"/>
        <v>1210.5970359999999</v>
      </c>
      <c r="BG142" s="197">
        <f t="shared" si="362"/>
        <v>277.3949640000003</v>
      </c>
      <c r="BH142" s="197">
        <f t="shared" si="363"/>
        <v>453.34496400000035</v>
      </c>
      <c r="BI142" s="196">
        <f t="shared" si="364"/>
        <v>1374.674603164045</v>
      </c>
      <c r="BJ142" s="197">
        <f t="shared" si="365"/>
        <v>162.55060270936517</v>
      </c>
      <c r="BK142" s="197">
        <f t="shared" si="366"/>
        <v>1118.4045344698552</v>
      </c>
      <c r="BL142" s="197">
        <f t="shared" si="367"/>
        <v>256.27006869418983</v>
      </c>
      <c r="BM142" s="199">
        <f t="shared" si="368"/>
        <v>418.82067140355508</v>
      </c>
      <c r="BN142" s="196">
        <f t="shared" si="369"/>
        <v>7153.8618417977541</v>
      </c>
      <c r="BO142" s="197">
        <f t="shared" si="370"/>
        <v>845.91986453174115</v>
      </c>
      <c r="BP142" s="197">
        <f t="shared" si="371"/>
        <v>5820.222112507231</v>
      </c>
      <c r="BQ142" s="197">
        <f t="shared" si="372"/>
        <v>1333.6397292905226</v>
      </c>
      <c r="BR142" s="199">
        <f t="shared" si="373"/>
        <v>2179.5595938222641</v>
      </c>
      <c r="BV142" s="900">
        <v>5</v>
      </c>
      <c r="BW142" s="911">
        <f>'Arable Inputs'!$H$18</f>
        <v>8.14</v>
      </c>
      <c r="BX142" s="760">
        <f>'Arable Inputs'!$H$25</f>
        <v>182.8</v>
      </c>
      <c r="BY142" s="762">
        <f t="shared" si="374"/>
        <v>1487.9920000000002</v>
      </c>
      <c r="BZ142" s="197">
        <f>'Arable NPV'!$D121</f>
        <v>175.95</v>
      </c>
      <c r="CA142" s="197">
        <f t="shared" si="405"/>
        <v>1663.9420000000002</v>
      </c>
      <c r="CB142" s="197">
        <f>'Arable NPV'!$F121</f>
        <v>574.23049999999989</v>
      </c>
      <c r="CC142" s="197">
        <f>'Arable NPV'!$G121</f>
        <v>636.366536</v>
      </c>
      <c r="CD142" s="197">
        <f t="shared" si="375"/>
        <v>1210.5970359999999</v>
      </c>
      <c r="CE142" s="197">
        <f t="shared" si="376"/>
        <v>277.3949640000003</v>
      </c>
      <c r="CF142" s="197">
        <f t="shared" si="377"/>
        <v>453.34496400000035</v>
      </c>
      <c r="CG142" s="196">
        <f t="shared" si="378"/>
        <v>1093.7185407223003</v>
      </c>
      <c r="CH142" s="197">
        <f t="shared" si="379"/>
        <v>129.32850259953594</v>
      </c>
      <c r="CI142" s="197">
        <f t="shared" si="380"/>
        <v>889.82496116690254</v>
      </c>
      <c r="CJ142" s="197">
        <f t="shared" si="381"/>
        <v>203.89357955539768</v>
      </c>
      <c r="CK142" s="197">
        <f t="shared" si="382"/>
        <v>333.22208215493367</v>
      </c>
      <c r="CL142" s="196">
        <f t="shared" si="383"/>
        <v>6416.4102409712468</v>
      </c>
      <c r="CM142" s="197">
        <f t="shared" si="384"/>
        <v>758.7187175058001</v>
      </c>
      <c r="CN142" s="197">
        <f t="shared" si="385"/>
        <v>5220.2479714137144</v>
      </c>
      <c r="CO142" s="197">
        <f t="shared" si="386"/>
        <v>1196.1622695575325</v>
      </c>
      <c r="CP142" s="199">
        <f t="shared" si="387"/>
        <v>1954.8809870633331</v>
      </c>
      <c r="CT142" s="900">
        <v>5</v>
      </c>
      <c r="CU142" s="911">
        <f>'Arable Inputs'!$H$18</f>
        <v>8.14</v>
      </c>
      <c r="CV142" s="760">
        <f>'Arable Inputs'!$H$25</f>
        <v>182.8</v>
      </c>
      <c r="CW142" s="762">
        <f t="shared" si="388"/>
        <v>1487.9920000000002</v>
      </c>
      <c r="CX142" s="197">
        <f>'Arable NPV'!$D121</f>
        <v>175.95</v>
      </c>
      <c r="CY142" s="197">
        <f t="shared" si="406"/>
        <v>1663.9420000000002</v>
      </c>
      <c r="CZ142" s="197">
        <f>'Arable NPV'!$F121</f>
        <v>574.23049999999989</v>
      </c>
      <c r="DA142" s="197">
        <f>'Arable NPV'!$G121</f>
        <v>636.366536</v>
      </c>
      <c r="DB142" s="197">
        <f t="shared" si="389"/>
        <v>1210.5970359999999</v>
      </c>
      <c r="DC142" s="197">
        <f t="shared" si="390"/>
        <v>277.3949640000003</v>
      </c>
      <c r="DD142" s="197">
        <f t="shared" si="391"/>
        <v>453.34496400000035</v>
      </c>
      <c r="DE142" s="196">
        <f t="shared" si="392"/>
        <v>1487.9920000000002</v>
      </c>
      <c r="DF142" s="197">
        <f t="shared" si="393"/>
        <v>175.95</v>
      </c>
      <c r="DG142" s="197">
        <f t="shared" si="394"/>
        <v>1210.5970359999999</v>
      </c>
      <c r="DH142" s="197">
        <f t="shared" si="395"/>
        <v>277.3949640000003</v>
      </c>
      <c r="DI142" s="197">
        <f t="shared" si="396"/>
        <v>453.34496400000035</v>
      </c>
      <c r="DJ142" s="196">
        <f t="shared" si="397"/>
        <v>7439.9600000000009</v>
      </c>
      <c r="DK142" s="197">
        <f t="shared" si="398"/>
        <v>879.75</v>
      </c>
      <c r="DL142" s="197">
        <f t="shared" si="399"/>
        <v>6052.9851799999997</v>
      </c>
      <c r="DM142" s="197">
        <f t="shared" si="400"/>
        <v>1386.9748200000015</v>
      </c>
      <c r="DN142" s="199">
        <f t="shared" si="401"/>
        <v>2266.7248200000017</v>
      </c>
    </row>
    <row r="143" spans="2:118" x14ac:dyDescent="0.3">
      <c r="B143" s="900">
        <v>6</v>
      </c>
      <c r="C143" s="911">
        <f>'Arable Inputs'!$H$18</f>
        <v>8.14</v>
      </c>
      <c r="D143" s="760">
        <f>'Arable Inputs'!$H$25</f>
        <v>182.8</v>
      </c>
      <c r="E143" s="762">
        <f t="shared" si="336"/>
        <v>1487.9920000000002</v>
      </c>
      <c r="F143" s="197">
        <f>'Arable NPV'!$D122</f>
        <v>175.95</v>
      </c>
      <c r="G143" s="197">
        <f t="shared" si="402"/>
        <v>1663.9420000000002</v>
      </c>
      <c r="H143" s="197">
        <f>'Arable NPV'!$F122</f>
        <v>574.23049999999989</v>
      </c>
      <c r="I143" s="197">
        <f>'Arable NPV'!$G122</f>
        <v>636.366536</v>
      </c>
      <c r="J143" s="197">
        <f t="shared" si="337"/>
        <v>1210.5970359999999</v>
      </c>
      <c r="K143" s="197">
        <f t="shared" si="338"/>
        <v>277.3949640000003</v>
      </c>
      <c r="L143" s="197">
        <f t="shared" si="339"/>
        <v>453.34496400000035</v>
      </c>
      <c r="M143" s="196">
        <f t="shared" si="340"/>
        <v>1223.0209594410612</v>
      </c>
      <c r="N143" s="197">
        <f t="shared" si="341"/>
        <v>144.61807443430789</v>
      </c>
      <c r="O143" s="197">
        <f t="shared" si="342"/>
        <v>995.02251925092651</v>
      </c>
      <c r="P143" s="197">
        <f t="shared" si="343"/>
        <v>227.99844019013472</v>
      </c>
      <c r="Q143" s="197">
        <f t="shared" si="344"/>
        <v>372.61651462444269</v>
      </c>
      <c r="R143" s="196">
        <f t="shared" si="345"/>
        <v>8112.2680139734657</v>
      </c>
      <c r="S143" s="197">
        <f t="shared" si="345"/>
        <v>959.24813914230128</v>
      </c>
      <c r="T143" s="197">
        <f t="shared" si="345"/>
        <v>6599.9599547268281</v>
      </c>
      <c r="U143" s="197">
        <f t="shared" si="345"/>
        <v>1512.3080592466379</v>
      </c>
      <c r="V143" s="199">
        <f t="shared" si="345"/>
        <v>2471.5561983889393</v>
      </c>
      <c r="Z143" s="900">
        <v>6</v>
      </c>
      <c r="AA143" s="911">
        <f>'Arable Inputs'!$H$18</f>
        <v>8.14</v>
      </c>
      <c r="AB143" s="760">
        <f>'Arable Inputs'!$H$25</f>
        <v>182.8</v>
      </c>
      <c r="AC143" s="762">
        <f t="shared" si="346"/>
        <v>1487.9920000000002</v>
      </c>
      <c r="AD143" s="197">
        <f>'Arable NPV'!$D122</f>
        <v>175.95</v>
      </c>
      <c r="AE143" s="197">
        <f t="shared" si="403"/>
        <v>1663.9420000000002</v>
      </c>
      <c r="AF143" s="197">
        <f>'Arable NPV'!$F122</f>
        <v>574.23049999999989</v>
      </c>
      <c r="AG143" s="197">
        <f>'Arable NPV'!$G122</f>
        <v>636.366536</v>
      </c>
      <c r="AH143" s="197">
        <f t="shared" si="347"/>
        <v>1210.5970359999999</v>
      </c>
      <c r="AI143" s="197">
        <f t="shared" si="348"/>
        <v>277.3949640000003</v>
      </c>
      <c r="AJ143" s="197">
        <f t="shared" si="349"/>
        <v>453.34496400000035</v>
      </c>
      <c r="AK143" s="196">
        <f t="shared" si="350"/>
        <v>1111.9141831593099</v>
      </c>
      <c r="AL143" s="197">
        <f t="shared" si="351"/>
        <v>131.48007551578272</v>
      </c>
      <c r="AM143" s="197">
        <f t="shared" si="352"/>
        <v>904.62852919842396</v>
      </c>
      <c r="AN143" s="197">
        <f t="shared" si="353"/>
        <v>207.28565396088584</v>
      </c>
      <c r="AO143" s="199">
        <f t="shared" si="354"/>
        <v>338.76572947666858</v>
      </c>
      <c r="AP143" s="196">
        <f t="shared" si="355"/>
        <v>7755.9556140114973</v>
      </c>
      <c r="AQ143" s="197">
        <f t="shared" si="356"/>
        <v>917.11540807028723</v>
      </c>
      <c r="AR143" s="197">
        <f t="shared" si="357"/>
        <v>6310.0721493595911</v>
      </c>
      <c r="AS143" s="197">
        <f t="shared" si="358"/>
        <v>1445.8834646519063</v>
      </c>
      <c r="AT143" s="199">
        <f t="shared" si="359"/>
        <v>2362.9988727221935</v>
      </c>
      <c r="AX143" s="900">
        <v>6</v>
      </c>
      <c r="AY143" s="911">
        <f>'Arable Inputs'!$H$18</f>
        <v>8.14</v>
      </c>
      <c r="AZ143" s="760">
        <f>'Arable Inputs'!$H$25</f>
        <v>182.8</v>
      </c>
      <c r="BA143" s="762">
        <f t="shared" si="360"/>
        <v>1487.9920000000002</v>
      </c>
      <c r="BB143" s="197">
        <f>'Arable NPV'!$D122</f>
        <v>175.95</v>
      </c>
      <c r="BC143" s="197">
        <f t="shared" si="404"/>
        <v>1663.9420000000002</v>
      </c>
      <c r="BD143" s="197">
        <f>'Arable NPV'!$F122</f>
        <v>574.23049999999989</v>
      </c>
      <c r="BE143" s="197">
        <f>'Arable NPV'!$G122</f>
        <v>636.366536</v>
      </c>
      <c r="BF143" s="197">
        <f t="shared" si="361"/>
        <v>1210.5970359999999</v>
      </c>
      <c r="BG143" s="197">
        <f t="shared" si="362"/>
        <v>277.3949640000003</v>
      </c>
      <c r="BH143" s="197">
        <f t="shared" si="363"/>
        <v>453.34496400000035</v>
      </c>
      <c r="BI143" s="196">
        <f t="shared" si="364"/>
        <v>1347.7201991804363</v>
      </c>
      <c r="BJ143" s="197">
        <f t="shared" si="365"/>
        <v>159.3633359895737</v>
      </c>
      <c r="BK143" s="197">
        <f t="shared" si="366"/>
        <v>1096.4750337939756</v>
      </c>
      <c r="BL143" s="197">
        <f t="shared" si="367"/>
        <v>251.24516538646063</v>
      </c>
      <c r="BM143" s="199">
        <f t="shared" si="368"/>
        <v>410.60850137603438</v>
      </c>
      <c r="BN143" s="196">
        <f t="shared" si="369"/>
        <v>8501.58204097819</v>
      </c>
      <c r="BO143" s="197">
        <f t="shared" si="370"/>
        <v>1005.2832005213148</v>
      </c>
      <c r="BP143" s="197">
        <f t="shared" si="371"/>
        <v>6916.6971463012069</v>
      </c>
      <c r="BQ143" s="197">
        <f t="shared" si="372"/>
        <v>1584.8848946769833</v>
      </c>
      <c r="BR143" s="199">
        <f t="shared" si="373"/>
        <v>2590.1680951982985</v>
      </c>
      <c r="BV143" s="900">
        <v>6</v>
      </c>
      <c r="BW143" s="911">
        <f>'Arable Inputs'!$H$18</f>
        <v>8.14</v>
      </c>
      <c r="BX143" s="760">
        <f>'Arable Inputs'!$H$25</f>
        <v>182.8</v>
      </c>
      <c r="BY143" s="762">
        <f t="shared" si="374"/>
        <v>1487.9920000000002</v>
      </c>
      <c r="BZ143" s="197">
        <f>'Arable NPV'!$D122</f>
        <v>175.95</v>
      </c>
      <c r="CA143" s="197">
        <f t="shared" si="405"/>
        <v>1663.9420000000002</v>
      </c>
      <c r="CB143" s="197">
        <f>'Arable NPV'!$F122</f>
        <v>574.23049999999989</v>
      </c>
      <c r="CC143" s="197">
        <f>'Arable NPV'!$G122</f>
        <v>636.366536</v>
      </c>
      <c r="CD143" s="197">
        <f t="shared" si="375"/>
        <v>1210.5970359999999</v>
      </c>
      <c r="CE143" s="197">
        <f t="shared" si="376"/>
        <v>277.3949640000003</v>
      </c>
      <c r="CF143" s="197">
        <f t="shared" si="377"/>
        <v>453.34496400000035</v>
      </c>
      <c r="CG143" s="196">
        <f t="shared" si="378"/>
        <v>1012.7023525206483</v>
      </c>
      <c r="CH143" s="197">
        <f t="shared" si="379"/>
        <v>119.74861351808883</v>
      </c>
      <c r="CI143" s="197">
        <f t="shared" si="380"/>
        <v>823.9120010804653</v>
      </c>
      <c r="CJ143" s="197">
        <f t="shared" si="381"/>
        <v>188.79035144018303</v>
      </c>
      <c r="CK143" s="197">
        <f t="shared" si="382"/>
        <v>308.53896495827189</v>
      </c>
      <c r="CL143" s="196">
        <f t="shared" si="383"/>
        <v>7429.1125934918955</v>
      </c>
      <c r="CM143" s="197">
        <f t="shared" si="384"/>
        <v>878.46733102388896</v>
      </c>
      <c r="CN143" s="197">
        <f t="shared" si="385"/>
        <v>6044.1599724941798</v>
      </c>
      <c r="CO143" s="197">
        <f t="shared" si="386"/>
        <v>1384.9526209977155</v>
      </c>
      <c r="CP143" s="199">
        <f t="shared" si="387"/>
        <v>2263.4199520216052</v>
      </c>
      <c r="CT143" s="900">
        <v>6</v>
      </c>
      <c r="CU143" s="911">
        <f>'Arable Inputs'!$H$18</f>
        <v>8.14</v>
      </c>
      <c r="CV143" s="760">
        <f>'Arable Inputs'!$H$25</f>
        <v>182.8</v>
      </c>
      <c r="CW143" s="762">
        <f t="shared" si="388"/>
        <v>1487.9920000000002</v>
      </c>
      <c r="CX143" s="197">
        <f>'Arable NPV'!$D122</f>
        <v>175.95</v>
      </c>
      <c r="CY143" s="197">
        <f t="shared" si="406"/>
        <v>1663.9420000000002</v>
      </c>
      <c r="CZ143" s="197">
        <f>'Arable NPV'!$F122</f>
        <v>574.23049999999989</v>
      </c>
      <c r="DA143" s="197">
        <f>'Arable NPV'!$G122</f>
        <v>636.366536</v>
      </c>
      <c r="DB143" s="197">
        <f t="shared" si="389"/>
        <v>1210.5970359999999</v>
      </c>
      <c r="DC143" s="197">
        <f t="shared" si="390"/>
        <v>277.3949640000003</v>
      </c>
      <c r="DD143" s="197">
        <f t="shared" si="391"/>
        <v>453.34496400000035</v>
      </c>
      <c r="DE143" s="196">
        <f t="shared" si="392"/>
        <v>1487.9920000000002</v>
      </c>
      <c r="DF143" s="197">
        <f t="shared" si="393"/>
        <v>175.95</v>
      </c>
      <c r="DG143" s="197">
        <f t="shared" si="394"/>
        <v>1210.5970359999999</v>
      </c>
      <c r="DH143" s="197">
        <f t="shared" si="395"/>
        <v>277.3949640000003</v>
      </c>
      <c r="DI143" s="197">
        <f t="shared" si="396"/>
        <v>453.34496400000035</v>
      </c>
      <c r="DJ143" s="196">
        <f t="shared" si="397"/>
        <v>8927.9520000000011</v>
      </c>
      <c r="DK143" s="197">
        <f t="shared" si="398"/>
        <v>1055.7</v>
      </c>
      <c r="DL143" s="197">
        <f t="shared" si="399"/>
        <v>7263.5822159999998</v>
      </c>
      <c r="DM143" s="197">
        <f t="shared" si="400"/>
        <v>1664.3697840000018</v>
      </c>
      <c r="DN143" s="199">
        <f t="shared" si="401"/>
        <v>2720.0697840000021</v>
      </c>
    </row>
    <row r="144" spans="2:118" x14ac:dyDescent="0.3">
      <c r="B144" s="900">
        <v>7</v>
      </c>
      <c r="C144" s="911">
        <f>'Arable Inputs'!$H$18</f>
        <v>8.14</v>
      </c>
      <c r="D144" s="760">
        <f>'Arable Inputs'!$H$25</f>
        <v>182.8</v>
      </c>
      <c r="E144" s="762">
        <f t="shared" si="336"/>
        <v>1487.9920000000002</v>
      </c>
      <c r="F144" s="197">
        <f>'Arable NPV'!$D123</f>
        <v>175.95</v>
      </c>
      <c r="G144" s="197">
        <f t="shared" si="402"/>
        <v>1663.9420000000002</v>
      </c>
      <c r="H144" s="197">
        <f>'Arable NPV'!$F123</f>
        <v>574.23049999999989</v>
      </c>
      <c r="I144" s="197">
        <f>'Arable NPV'!$G123</f>
        <v>636.366536</v>
      </c>
      <c r="J144" s="197">
        <f t="shared" si="337"/>
        <v>1210.5970359999999</v>
      </c>
      <c r="K144" s="197">
        <f t="shared" si="338"/>
        <v>277.3949640000003</v>
      </c>
      <c r="L144" s="197">
        <f t="shared" si="339"/>
        <v>453.34496400000035</v>
      </c>
      <c r="M144" s="196">
        <f t="shared" si="340"/>
        <v>1175.981691770251</v>
      </c>
      <c r="N144" s="197">
        <f t="shared" si="341"/>
        <v>139.05584080221914</v>
      </c>
      <c r="O144" s="197">
        <f t="shared" si="342"/>
        <v>956.75242235666008</v>
      </c>
      <c r="P144" s="197">
        <f t="shared" si="343"/>
        <v>219.22926941359108</v>
      </c>
      <c r="Q144" s="197">
        <f t="shared" si="344"/>
        <v>358.28511021581028</v>
      </c>
      <c r="R144" s="196">
        <f t="shared" si="345"/>
        <v>9288.2497057437176</v>
      </c>
      <c r="S144" s="197">
        <f t="shared" si="345"/>
        <v>1098.3039799445205</v>
      </c>
      <c r="T144" s="197">
        <f t="shared" si="345"/>
        <v>7556.7123770834878</v>
      </c>
      <c r="U144" s="197">
        <f t="shared" si="345"/>
        <v>1731.5373286602289</v>
      </c>
      <c r="V144" s="199">
        <f t="shared" si="345"/>
        <v>2829.8413086047494</v>
      </c>
      <c r="Z144" s="900">
        <v>7</v>
      </c>
      <c r="AA144" s="911">
        <f>'Arable Inputs'!$H$18</f>
        <v>8.14</v>
      </c>
      <c r="AB144" s="760">
        <f>'Arable Inputs'!$H$25</f>
        <v>182.8</v>
      </c>
      <c r="AC144" s="762">
        <f t="shared" si="346"/>
        <v>1487.9920000000002</v>
      </c>
      <c r="AD144" s="197">
        <f>'Arable NPV'!$D123</f>
        <v>175.95</v>
      </c>
      <c r="AE144" s="197">
        <f t="shared" si="403"/>
        <v>1663.9420000000002</v>
      </c>
      <c r="AF144" s="197">
        <f>'Arable NPV'!$F123</f>
        <v>574.23049999999989</v>
      </c>
      <c r="AG144" s="197">
        <f>'Arable NPV'!$G123</f>
        <v>636.366536</v>
      </c>
      <c r="AH144" s="197">
        <f t="shared" si="347"/>
        <v>1210.5970359999999</v>
      </c>
      <c r="AI144" s="197">
        <f t="shared" si="348"/>
        <v>277.3949640000003</v>
      </c>
      <c r="AJ144" s="197">
        <f t="shared" si="349"/>
        <v>453.34496400000035</v>
      </c>
      <c r="AK144" s="196">
        <f t="shared" si="350"/>
        <v>1048.9756444899149</v>
      </c>
      <c r="AL144" s="197">
        <f t="shared" si="351"/>
        <v>124.03780709036103</v>
      </c>
      <c r="AM144" s="197">
        <f t="shared" si="352"/>
        <v>853.4231407532302</v>
      </c>
      <c r="AN144" s="197">
        <f t="shared" si="353"/>
        <v>195.55250373668477</v>
      </c>
      <c r="AO144" s="199">
        <f t="shared" si="354"/>
        <v>319.59031082704581</v>
      </c>
      <c r="AP144" s="196">
        <f t="shared" si="355"/>
        <v>8804.9312585014122</v>
      </c>
      <c r="AQ144" s="197">
        <f t="shared" si="356"/>
        <v>1041.1532151606482</v>
      </c>
      <c r="AR144" s="197">
        <f t="shared" si="357"/>
        <v>7163.4952901128217</v>
      </c>
      <c r="AS144" s="197">
        <f t="shared" si="358"/>
        <v>1641.4359683885909</v>
      </c>
      <c r="AT144" s="199">
        <f t="shared" si="359"/>
        <v>2682.5891835492394</v>
      </c>
      <c r="AX144" s="900">
        <v>7</v>
      </c>
      <c r="AY144" s="911">
        <f>'Arable Inputs'!$H$18</f>
        <v>8.14</v>
      </c>
      <c r="AZ144" s="760">
        <f>'Arable Inputs'!$H$25</f>
        <v>182.8</v>
      </c>
      <c r="BA144" s="762">
        <f t="shared" si="360"/>
        <v>1487.9920000000002</v>
      </c>
      <c r="BB144" s="197">
        <f>'Arable NPV'!$D123</f>
        <v>175.95</v>
      </c>
      <c r="BC144" s="197">
        <f t="shared" si="404"/>
        <v>1663.9420000000002</v>
      </c>
      <c r="BD144" s="197">
        <f>'Arable NPV'!$F123</f>
        <v>574.23049999999989</v>
      </c>
      <c r="BE144" s="197">
        <f>'Arable NPV'!$G123</f>
        <v>636.366536</v>
      </c>
      <c r="BF144" s="197">
        <f t="shared" si="361"/>
        <v>1210.5970359999999</v>
      </c>
      <c r="BG144" s="197">
        <f t="shared" si="362"/>
        <v>277.3949640000003</v>
      </c>
      <c r="BH144" s="197">
        <f t="shared" si="363"/>
        <v>453.34496400000035</v>
      </c>
      <c r="BI144" s="196">
        <f t="shared" si="364"/>
        <v>1321.2943129219964</v>
      </c>
      <c r="BJ144" s="197">
        <f t="shared" si="365"/>
        <v>156.23856469566047</v>
      </c>
      <c r="BK144" s="197">
        <f t="shared" si="366"/>
        <v>1074.975523327427</v>
      </c>
      <c r="BL144" s="197">
        <f t="shared" si="367"/>
        <v>246.31878959456924</v>
      </c>
      <c r="BM144" s="199">
        <f t="shared" si="368"/>
        <v>402.55735429022974</v>
      </c>
      <c r="BN144" s="196">
        <f t="shared" si="369"/>
        <v>9822.8763539001866</v>
      </c>
      <c r="BO144" s="197">
        <f t="shared" si="370"/>
        <v>1161.5217652169754</v>
      </c>
      <c r="BP144" s="197">
        <f t="shared" si="371"/>
        <v>7991.6726696286341</v>
      </c>
      <c r="BQ144" s="197">
        <f t="shared" si="372"/>
        <v>1831.2036842715524</v>
      </c>
      <c r="BR144" s="199">
        <f t="shared" si="373"/>
        <v>2992.7254494885283</v>
      </c>
      <c r="BV144" s="900">
        <v>7</v>
      </c>
      <c r="BW144" s="911">
        <f>'Arable Inputs'!$H$18</f>
        <v>8.14</v>
      </c>
      <c r="BX144" s="760">
        <f>'Arable Inputs'!$H$25</f>
        <v>182.8</v>
      </c>
      <c r="BY144" s="762">
        <f t="shared" si="374"/>
        <v>1487.9920000000002</v>
      </c>
      <c r="BZ144" s="197">
        <f>'Arable NPV'!$D123</f>
        <v>175.95</v>
      </c>
      <c r="CA144" s="197">
        <f t="shared" si="405"/>
        <v>1663.9420000000002</v>
      </c>
      <c r="CB144" s="197">
        <f>'Arable NPV'!$F123</f>
        <v>574.23049999999989</v>
      </c>
      <c r="CC144" s="197">
        <f>'Arable NPV'!$G123</f>
        <v>636.366536</v>
      </c>
      <c r="CD144" s="197">
        <f t="shared" si="375"/>
        <v>1210.5970359999999</v>
      </c>
      <c r="CE144" s="197">
        <f t="shared" si="376"/>
        <v>277.3949640000003</v>
      </c>
      <c r="CF144" s="197">
        <f t="shared" si="377"/>
        <v>453.34496400000035</v>
      </c>
      <c r="CG144" s="196">
        <f t="shared" si="378"/>
        <v>937.68736344504464</v>
      </c>
      <c r="CH144" s="197">
        <f t="shared" si="379"/>
        <v>110.87834585008224</v>
      </c>
      <c r="CI144" s="197">
        <f t="shared" si="380"/>
        <v>762.88148248191226</v>
      </c>
      <c r="CJ144" s="197">
        <f t="shared" si="381"/>
        <v>174.80588096313241</v>
      </c>
      <c r="CK144" s="197">
        <f t="shared" si="382"/>
        <v>285.68422681321471</v>
      </c>
      <c r="CL144" s="196">
        <f t="shared" si="383"/>
        <v>8366.7999569369404</v>
      </c>
      <c r="CM144" s="197">
        <f t="shared" si="384"/>
        <v>989.34567687397123</v>
      </c>
      <c r="CN144" s="197">
        <f t="shared" si="385"/>
        <v>6807.0414549760917</v>
      </c>
      <c r="CO144" s="197">
        <f t="shared" si="386"/>
        <v>1559.758501960848</v>
      </c>
      <c r="CP144" s="199">
        <f t="shared" si="387"/>
        <v>2549.1041788348198</v>
      </c>
      <c r="CT144" s="900">
        <v>7</v>
      </c>
      <c r="CU144" s="911">
        <f>'Arable Inputs'!$H$18</f>
        <v>8.14</v>
      </c>
      <c r="CV144" s="760">
        <f>'Arable Inputs'!$H$25</f>
        <v>182.8</v>
      </c>
      <c r="CW144" s="762">
        <f t="shared" si="388"/>
        <v>1487.9920000000002</v>
      </c>
      <c r="CX144" s="197">
        <f>'Arable NPV'!$D123</f>
        <v>175.95</v>
      </c>
      <c r="CY144" s="197">
        <f t="shared" si="406"/>
        <v>1663.9420000000002</v>
      </c>
      <c r="CZ144" s="197">
        <f>'Arable NPV'!$F123</f>
        <v>574.23049999999989</v>
      </c>
      <c r="DA144" s="197">
        <f>'Arable NPV'!$G123</f>
        <v>636.366536</v>
      </c>
      <c r="DB144" s="197">
        <f t="shared" si="389"/>
        <v>1210.5970359999999</v>
      </c>
      <c r="DC144" s="197">
        <f t="shared" si="390"/>
        <v>277.3949640000003</v>
      </c>
      <c r="DD144" s="197">
        <f t="shared" si="391"/>
        <v>453.34496400000035</v>
      </c>
      <c r="DE144" s="196">
        <f t="shared" si="392"/>
        <v>1487.9920000000002</v>
      </c>
      <c r="DF144" s="197">
        <f t="shared" si="393"/>
        <v>175.95</v>
      </c>
      <c r="DG144" s="197">
        <f t="shared" si="394"/>
        <v>1210.5970359999999</v>
      </c>
      <c r="DH144" s="197">
        <f t="shared" si="395"/>
        <v>277.3949640000003</v>
      </c>
      <c r="DI144" s="197">
        <f t="shared" si="396"/>
        <v>453.34496400000035</v>
      </c>
      <c r="DJ144" s="196">
        <f t="shared" si="397"/>
        <v>10415.944000000001</v>
      </c>
      <c r="DK144" s="197">
        <f t="shared" si="398"/>
        <v>1231.6500000000001</v>
      </c>
      <c r="DL144" s="197">
        <f t="shared" si="399"/>
        <v>8474.1792519999999</v>
      </c>
      <c r="DM144" s="197">
        <f t="shared" si="400"/>
        <v>1941.7647480000021</v>
      </c>
      <c r="DN144" s="199">
        <f t="shared" si="401"/>
        <v>3173.4147480000024</v>
      </c>
    </row>
    <row r="145" spans="2:118" x14ac:dyDescent="0.3">
      <c r="B145" s="900">
        <v>8</v>
      </c>
      <c r="C145" s="911">
        <f>'Arable Inputs'!$H$18</f>
        <v>8.14</v>
      </c>
      <c r="D145" s="760">
        <f>'Arable Inputs'!$H$25</f>
        <v>182.8</v>
      </c>
      <c r="E145" s="762">
        <f t="shared" si="336"/>
        <v>1487.9920000000002</v>
      </c>
      <c r="F145" s="197">
        <f>'Arable NPV'!$D124</f>
        <v>175.95</v>
      </c>
      <c r="G145" s="197">
        <f t="shared" si="402"/>
        <v>1663.9420000000002</v>
      </c>
      <c r="H145" s="197">
        <f>'Arable NPV'!$F124</f>
        <v>574.23049999999989</v>
      </c>
      <c r="I145" s="197">
        <f>'Arable NPV'!$G124</f>
        <v>636.366536</v>
      </c>
      <c r="J145" s="197">
        <f t="shared" si="337"/>
        <v>1210.5970359999999</v>
      </c>
      <c r="K145" s="197">
        <f t="shared" si="338"/>
        <v>277.3949640000003</v>
      </c>
      <c r="L145" s="197">
        <f t="shared" si="339"/>
        <v>453.34496400000035</v>
      </c>
      <c r="M145" s="196">
        <f t="shared" si="340"/>
        <v>1130.7516267021647</v>
      </c>
      <c r="N145" s="197">
        <f t="shared" si="341"/>
        <v>133.70753923290303</v>
      </c>
      <c r="O145" s="197">
        <f t="shared" si="342"/>
        <v>919.95425226601935</v>
      </c>
      <c r="P145" s="197">
        <f t="shared" si="343"/>
        <v>210.79737443614528</v>
      </c>
      <c r="Q145" s="197">
        <f t="shared" si="344"/>
        <v>344.50491366904834</v>
      </c>
      <c r="R145" s="196">
        <f t="shared" si="345"/>
        <v>10419.001332445881</v>
      </c>
      <c r="S145" s="197">
        <f t="shared" si="345"/>
        <v>1232.0115191774235</v>
      </c>
      <c r="T145" s="197">
        <f t="shared" si="345"/>
        <v>8476.6666293495073</v>
      </c>
      <c r="U145" s="197">
        <f t="shared" si="345"/>
        <v>1942.3347030963741</v>
      </c>
      <c r="V145" s="199">
        <f t="shared" si="345"/>
        <v>3174.3462222737976</v>
      </c>
      <c r="Z145" s="900">
        <v>8</v>
      </c>
      <c r="AA145" s="911">
        <f>'Arable Inputs'!$H$18</f>
        <v>8.14</v>
      </c>
      <c r="AB145" s="760">
        <f>'Arable Inputs'!$H$25</f>
        <v>182.8</v>
      </c>
      <c r="AC145" s="762">
        <f t="shared" si="346"/>
        <v>1487.9920000000002</v>
      </c>
      <c r="AD145" s="197">
        <f>'Arable NPV'!$D124</f>
        <v>175.95</v>
      </c>
      <c r="AE145" s="197">
        <f t="shared" si="403"/>
        <v>1663.9420000000002</v>
      </c>
      <c r="AF145" s="197">
        <f>'Arable NPV'!$F124</f>
        <v>574.23049999999989</v>
      </c>
      <c r="AG145" s="197">
        <f>'Arable NPV'!$G124</f>
        <v>636.366536</v>
      </c>
      <c r="AH145" s="197">
        <f t="shared" si="347"/>
        <v>1210.5970359999999</v>
      </c>
      <c r="AI145" s="197">
        <f t="shared" si="348"/>
        <v>277.3949640000003</v>
      </c>
      <c r="AJ145" s="197">
        <f t="shared" si="349"/>
        <v>453.34496400000035</v>
      </c>
      <c r="AK145" s="196">
        <f t="shared" si="350"/>
        <v>989.59966461312717</v>
      </c>
      <c r="AL145" s="197">
        <f t="shared" si="351"/>
        <v>117.01679914185002</v>
      </c>
      <c r="AM145" s="197">
        <f t="shared" si="352"/>
        <v>805.11617052191514</v>
      </c>
      <c r="AN145" s="197">
        <f t="shared" si="353"/>
        <v>184.48349409121201</v>
      </c>
      <c r="AO145" s="199">
        <f t="shared" si="354"/>
        <v>301.50029323306205</v>
      </c>
      <c r="AP145" s="196">
        <f t="shared" si="355"/>
        <v>9794.5309231145402</v>
      </c>
      <c r="AQ145" s="197">
        <f t="shared" si="356"/>
        <v>1158.1700143024982</v>
      </c>
      <c r="AR145" s="197">
        <f t="shared" si="357"/>
        <v>7968.6114606347364</v>
      </c>
      <c r="AS145" s="197">
        <f t="shared" si="358"/>
        <v>1825.9194624798029</v>
      </c>
      <c r="AT145" s="199">
        <f t="shared" si="359"/>
        <v>2984.0894767823015</v>
      </c>
      <c r="AX145" s="900">
        <v>8</v>
      </c>
      <c r="AY145" s="911">
        <f>'Arable Inputs'!$H$18</f>
        <v>8.14</v>
      </c>
      <c r="AZ145" s="760">
        <f>'Arable Inputs'!$H$25</f>
        <v>182.8</v>
      </c>
      <c r="BA145" s="762">
        <f t="shared" si="360"/>
        <v>1487.9920000000002</v>
      </c>
      <c r="BB145" s="197">
        <f>'Arable NPV'!$D124</f>
        <v>175.95</v>
      </c>
      <c r="BC145" s="197">
        <f t="shared" si="404"/>
        <v>1663.9420000000002</v>
      </c>
      <c r="BD145" s="197">
        <f>'Arable NPV'!$F124</f>
        <v>574.23049999999989</v>
      </c>
      <c r="BE145" s="197">
        <f>'Arable NPV'!$G124</f>
        <v>636.366536</v>
      </c>
      <c r="BF145" s="197">
        <f t="shared" si="361"/>
        <v>1210.5970359999999</v>
      </c>
      <c r="BG145" s="197">
        <f t="shared" si="362"/>
        <v>277.3949640000003</v>
      </c>
      <c r="BH145" s="197">
        <f t="shared" si="363"/>
        <v>453.34496400000035</v>
      </c>
      <c r="BI145" s="196">
        <f t="shared" si="364"/>
        <v>1295.3865812960751</v>
      </c>
      <c r="BJ145" s="197">
        <f t="shared" si="365"/>
        <v>153.17506342711815</v>
      </c>
      <c r="BK145" s="197">
        <f t="shared" si="366"/>
        <v>1053.8975718896347</v>
      </c>
      <c r="BL145" s="197">
        <f t="shared" si="367"/>
        <v>241.48900940644049</v>
      </c>
      <c r="BM145" s="199">
        <f t="shared" si="368"/>
        <v>394.66407283355869</v>
      </c>
      <c r="BN145" s="196">
        <f t="shared" si="369"/>
        <v>11118.262935196262</v>
      </c>
      <c r="BO145" s="197">
        <f t="shared" si="370"/>
        <v>1314.6968286440936</v>
      </c>
      <c r="BP145" s="197">
        <f t="shared" si="371"/>
        <v>9045.5702415182695</v>
      </c>
      <c r="BQ145" s="197">
        <f t="shared" si="372"/>
        <v>2072.6926936779928</v>
      </c>
      <c r="BR145" s="199">
        <f t="shared" si="373"/>
        <v>3387.389522322087</v>
      </c>
      <c r="BV145" s="900">
        <v>8</v>
      </c>
      <c r="BW145" s="911">
        <f>'Arable Inputs'!$H$18</f>
        <v>8.14</v>
      </c>
      <c r="BX145" s="760">
        <f>'Arable Inputs'!$H$25</f>
        <v>182.8</v>
      </c>
      <c r="BY145" s="762">
        <f t="shared" si="374"/>
        <v>1487.9920000000002</v>
      </c>
      <c r="BZ145" s="197">
        <f>'Arable NPV'!$D124</f>
        <v>175.95</v>
      </c>
      <c r="CA145" s="197">
        <f t="shared" si="405"/>
        <v>1663.9420000000002</v>
      </c>
      <c r="CB145" s="197">
        <f>'Arable NPV'!$F124</f>
        <v>574.23049999999989</v>
      </c>
      <c r="CC145" s="197">
        <f>'Arable NPV'!$G124</f>
        <v>636.366536</v>
      </c>
      <c r="CD145" s="197">
        <f t="shared" si="375"/>
        <v>1210.5970359999999</v>
      </c>
      <c r="CE145" s="197">
        <f t="shared" si="376"/>
        <v>277.3949640000003</v>
      </c>
      <c r="CF145" s="197">
        <f t="shared" si="377"/>
        <v>453.34496400000035</v>
      </c>
      <c r="CG145" s="196">
        <f t="shared" si="378"/>
        <v>868.22904022689318</v>
      </c>
      <c r="CH145" s="197">
        <f t="shared" si="379"/>
        <v>102.66513504637244</v>
      </c>
      <c r="CI145" s="197">
        <f t="shared" si="380"/>
        <v>706.37174303880761</v>
      </c>
      <c r="CJ145" s="197">
        <f t="shared" si="381"/>
        <v>161.85729718808557</v>
      </c>
      <c r="CK145" s="197">
        <f t="shared" si="382"/>
        <v>264.52243223445805</v>
      </c>
      <c r="CL145" s="196">
        <f t="shared" si="383"/>
        <v>9235.028997163834</v>
      </c>
      <c r="CM145" s="197">
        <f t="shared" si="384"/>
        <v>1092.0108119203437</v>
      </c>
      <c r="CN145" s="197">
        <f t="shared" si="385"/>
        <v>7513.4131980148995</v>
      </c>
      <c r="CO145" s="197">
        <f t="shared" si="386"/>
        <v>1721.6157991489335</v>
      </c>
      <c r="CP145" s="199">
        <f t="shared" si="387"/>
        <v>2813.6266110692777</v>
      </c>
      <c r="CT145" s="900">
        <v>8</v>
      </c>
      <c r="CU145" s="911">
        <f>'Arable Inputs'!$H$18</f>
        <v>8.14</v>
      </c>
      <c r="CV145" s="760">
        <f>'Arable Inputs'!$H$25</f>
        <v>182.8</v>
      </c>
      <c r="CW145" s="762">
        <f t="shared" si="388"/>
        <v>1487.9920000000002</v>
      </c>
      <c r="CX145" s="197">
        <f>'Arable NPV'!$D124</f>
        <v>175.95</v>
      </c>
      <c r="CY145" s="197">
        <f t="shared" si="406"/>
        <v>1663.9420000000002</v>
      </c>
      <c r="CZ145" s="197">
        <f>'Arable NPV'!$F124</f>
        <v>574.23049999999989</v>
      </c>
      <c r="DA145" s="197">
        <f>'Arable NPV'!$G124</f>
        <v>636.366536</v>
      </c>
      <c r="DB145" s="197">
        <f t="shared" si="389"/>
        <v>1210.5970359999999</v>
      </c>
      <c r="DC145" s="197">
        <f t="shared" si="390"/>
        <v>277.3949640000003</v>
      </c>
      <c r="DD145" s="197">
        <f t="shared" si="391"/>
        <v>453.34496400000035</v>
      </c>
      <c r="DE145" s="196">
        <f t="shared" si="392"/>
        <v>1487.9920000000002</v>
      </c>
      <c r="DF145" s="197">
        <f t="shared" si="393"/>
        <v>175.95</v>
      </c>
      <c r="DG145" s="197">
        <f t="shared" si="394"/>
        <v>1210.5970359999999</v>
      </c>
      <c r="DH145" s="197">
        <f t="shared" si="395"/>
        <v>277.3949640000003</v>
      </c>
      <c r="DI145" s="197">
        <f t="shared" si="396"/>
        <v>453.34496400000035</v>
      </c>
      <c r="DJ145" s="196">
        <f t="shared" si="397"/>
        <v>11903.936000000002</v>
      </c>
      <c r="DK145" s="197">
        <f t="shared" si="398"/>
        <v>1407.6000000000001</v>
      </c>
      <c r="DL145" s="197">
        <f t="shared" si="399"/>
        <v>9684.7762879999991</v>
      </c>
      <c r="DM145" s="197">
        <f t="shared" si="400"/>
        <v>2219.1597120000024</v>
      </c>
      <c r="DN145" s="199">
        <f t="shared" si="401"/>
        <v>3626.7597120000028</v>
      </c>
    </row>
    <row r="146" spans="2:118" x14ac:dyDescent="0.3">
      <c r="B146" s="900">
        <v>9</v>
      </c>
      <c r="C146" s="911">
        <f>'Arable Inputs'!$H$18</f>
        <v>8.14</v>
      </c>
      <c r="D146" s="760">
        <f>'Arable Inputs'!$H$25</f>
        <v>182.8</v>
      </c>
      <c r="E146" s="762">
        <f t="shared" si="336"/>
        <v>1487.9920000000002</v>
      </c>
      <c r="F146" s="197">
        <f>'Arable NPV'!$D125</f>
        <v>175.95</v>
      </c>
      <c r="G146" s="197">
        <f t="shared" si="402"/>
        <v>1663.9420000000002</v>
      </c>
      <c r="H146" s="197">
        <f>'Arable NPV'!$F125</f>
        <v>574.23049999999989</v>
      </c>
      <c r="I146" s="197">
        <f>'Arable NPV'!$G125</f>
        <v>636.366536</v>
      </c>
      <c r="J146" s="197">
        <f t="shared" si="337"/>
        <v>1210.5970359999999</v>
      </c>
      <c r="K146" s="197">
        <f t="shared" si="338"/>
        <v>277.3949640000003</v>
      </c>
      <c r="L146" s="197">
        <f t="shared" si="339"/>
        <v>453.34496400000035</v>
      </c>
      <c r="M146" s="196">
        <f t="shared" si="340"/>
        <v>1087.261179521312</v>
      </c>
      <c r="N146" s="197">
        <f t="shared" si="341"/>
        <v>128.56494157009902</v>
      </c>
      <c r="O146" s="197">
        <f t="shared" si="342"/>
        <v>884.57139640963385</v>
      </c>
      <c r="P146" s="197">
        <f t="shared" si="343"/>
        <v>202.68978311167814</v>
      </c>
      <c r="Q146" s="197">
        <f t="shared" si="344"/>
        <v>331.25472468177719</v>
      </c>
      <c r="R146" s="196">
        <f t="shared" si="345"/>
        <v>11506.262511967194</v>
      </c>
      <c r="S146" s="197">
        <f t="shared" si="345"/>
        <v>1360.5764607475226</v>
      </c>
      <c r="T146" s="197">
        <f t="shared" si="345"/>
        <v>9361.2380257591412</v>
      </c>
      <c r="U146" s="197">
        <f t="shared" si="345"/>
        <v>2145.0244862080522</v>
      </c>
      <c r="V146" s="199">
        <f t="shared" si="345"/>
        <v>3505.6009469555747</v>
      </c>
      <c r="Z146" s="900">
        <v>9</v>
      </c>
      <c r="AA146" s="911">
        <f>'Arable Inputs'!$H$18</f>
        <v>8.14</v>
      </c>
      <c r="AB146" s="760">
        <f>'Arable Inputs'!$H$25</f>
        <v>182.8</v>
      </c>
      <c r="AC146" s="762">
        <f t="shared" si="346"/>
        <v>1487.9920000000002</v>
      </c>
      <c r="AD146" s="197">
        <f>'Arable NPV'!$D125</f>
        <v>175.95</v>
      </c>
      <c r="AE146" s="197">
        <f t="shared" si="403"/>
        <v>1663.9420000000002</v>
      </c>
      <c r="AF146" s="197">
        <f>'Arable NPV'!$F125</f>
        <v>574.23049999999989</v>
      </c>
      <c r="AG146" s="197">
        <f>'Arable NPV'!$G125</f>
        <v>636.366536</v>
      </c>
      <c r="AH146" s="197">
        <f t="shared" si="347"/>
        <v>1210.5970359999999</v>
      </c>
      <c r="AI146" s="197">
        <f t="shared" si="348"/>
        <v>277.3949640000003</v>
      </c>
      <c r="AJ146" s="197">
        <f t="shared" si="349"/>
        <v>453.34496400000035</v>
      </c>
      <c r="AK146" s="196">
        <f t="shared" si="350"/>
        <v>933.58458925766718</v>
      </c>
      <c r="AL146" s="197">
        <f t="shared" si="351"/>
        <v>110.39320673759437</v>
      </c>
      <c r="AM146" s="197">
        <f t="shared" si="352"/>
        <v>759.5435570961464</v>
      </c>
      <c r="AN146" s="197">
        <f t="shared" si="353"/>
        <v>174.04103216152077</v>
      </c>
      <c r="AO146" s="199">
        <f t="shared" si="354"/>
        <v>284.4342388991152</v>
      </c>
      <c r="AP146" s="196">
        <f t="shared" si="355"/>
        <v>10728.115512372207</v>
      </c>
      <c r="AQ146" s="197">
        <f t="shared" si="356"/>
        <v>1268.5632210400927</v>
      </c>
      <c r="AR146" s="197">
        <f t="shared" si="357"/>
        <v>8728.1550177308836</v>
      </c>
      <c r="AS146" s="197">
        <f t="shared" si="358"/>
        <v>1999.9604946413237</v>
      </c>
      <c r="AT146" s="199">
        <f t="shared" si="359"/>
        <v>3268.5237156814169</v>
      </c>
      <c r="AX146" s="900">
        <v>9</v>
      </c>
      <c r="AY146" s="911">
        <f>'Arable Inputs'!$H$18</f>
        <v>8.14</v>
      </c>
      <c r="AZ146" s="760">
        <f>'Arable Inputs'!$H$25</f>
        <v>182.8</v>
      </c>
      <c r="BA146" s="762">
        <f t="shared" si="360"/>
        <v>1487.9920000000002</v>
      </c>
      <c r="BB146" s="197">
        <f>'Arable NPV'!$D125</f>
        <v>175.95</v>
      </c>
      <c r="BC146" s="197">
        <f t="shared" si="404"/>
        <v>1663.9420000000002</v>
      </c>
      <c r="BD146" s="197">
        <f>'Arable NPV'!$F125</f>
        <v>574.23049999999989</v>
      </c>
      <c r="BE146" s="197">
        <f>'Arable NPV'!$G125</f>
        <v>636.366536</v>
      </c>
      <c r="BF146" s="197">
        <f t="shared" si="361"/>
        <v>1210.5970359999999</v>
      </c>
      <c r="BG146" s="197">
        <f t="shared" si="362"/>
        <v>277.3949640000003</v>
      </c>
      <c r="BH146" s="197">
        <f t="shared" si="363"/>
        <v>453.34496400000035</v>
      </c>
      <c r="BI146" s="196">
        <f t="shared" si="364"/>
        <v>1269.9868444079168</v>
      </c>
      <c r="BJ146" s="197">
        <f t="shared" si="365"/>
        <v>150.17163081090013</v>
      </c>
      <c r="BK146" s="197">
        <f t="shared" si="366"/>
        <v>1033.2329136172889</v>
      </c>
      <c r="BL146" s="197">
        <f t="shared" si="367"/>
        <v>236.75393079062789</v>
      </c>
      <c r="BM146" s="199">
        <f t="shared" si="368"/>
        <v>386.9255616015281</v>
      </c>
      <c r="BN146" s="196">
        <f t="shared" si="369"/>
        <v>12388.249779604179</v>
      </c>
      <c r="BO146" s="197">
        <f t="shared" si="370"/>
        <v>1464.8684594549936</v>
      </c>
      <c r="BP146" s="197">
        <f t="shared" si="371"/>
        <v>10078.803155135558</v>
      </c>
      <c r="BQ146" s="197">
        <f t="shared" si="372"/>
        <v>2309.4466244686205</v>
      </c>
      <c r="BR146" s="199">
        <f t="shared" si="373"/>
        <v>3774.315083923615</v>
      </c>
      <c r="BV146" s="900">
        <v>9</v>
      </c>
      <c r="BW146" s="911">
        <f>'Arable Inputs'!$H$18</f>
        <v>8.14</v>
      </c>
      <c r="BX146" s="760">
        <f>'Arable Inputs'!$H$25</f>
        <v>182.8</v>
      </c>
      <c r="BY146" s="762">
        <f t="shared" si="374"/>
        <v>1487.9920000000002</v>
      </c>
      <c r="BZ146" s="197">
        <f>'Arable NPV'!$D125</f>
        <v>175.95</v>
      </c>
      <c r="CA146" s="197">
        <f t="shared" si="405"/>
        <v>1663.9420000000002</v>
      </c>
      <c r="CB146" s="197">
        <f>'Arable NPV'!$F125</f>
        <v>574.23049999999989</v>
      </c>
      <c r="CC146" s="197">
        <f>'Arable NPV'!$G125</f>
        <v>636.366536</v>
      </c>
      <c r="CD146" s="197">
        <f t="shared" si="375"/>
        <v>1210.5970359999999</v>
      </c>
      <c r="CE146" s="197">
        <f t="shared" si="376"/>
        <v>277.3949640000003</v>
      </c>
      <c r="CF146" s="197">
        <f t="shared" si="377"/>
        <v>453.34496400000035</v>
      </c>
      <c r="CG146" s="196">
        <f t="shared" si="378"/>
        <v>803.91577798786398</v>
      </c>
      <c r="CH146" s="197">
        <f t="shared" si="379"/>
        <v>95.060310228122631</v>
      </c>
      <c r="CI146" s="197">
        <f t="shared" si="380"/>
        <v>654.04791022111817</v>
      </c>
      <c r="CJ146" s="197">
        <f t="shared" si="381"/>
        <v>149.86786776674589</v>
      </c>
      <c r="CK146" s="197">
        <f t="shared" si="382"/>
        <v>244.92817799486855</v>
      </c>
      <c r="CL146" s="196">
        <f t="shared" si="383"/>
        <v>10038.944775151698</v>
      </c>
      <c r="CM146" s="197">
        <f t="shared" si="384"/>
        <v>1187.0711221484664</v>
      </c>
      <c r="CN146" s="197">
        <f t="shared" si="385"/>
        <v>8167.4611082360179</v>
      </c>
      <c r="CO146" s="197">
        <f t="shared" si="386"/>
        <v>1871.4836669156794</v>
      </c>
      <c r="CP146" s="199">
        <f t="shared" si="387"/>
        <v>3058.5547890641465</v>
      </c>
      <c r="CT146" s="900">
        <v>9</v>
      </c>
      <c r="CU146" s="911">
        <f>'Arable Inputs'!$H$18</f>
        <v>8.14</v>
      </c>
      <c r="CV146" s="760">
        <f>'Arable Inputs'!$H$25</f>
        <v>182.8</v>
      </c>
      <c r="CW146" s="762">
        <f t="shared" si="388"/>
        <v>1487.9920000000002</v>
      </c>
      <c r="CX146" s="197">
        <f>'Arable NPV'!$D125</f>
        <v>175.95</v>
      </c>
      <c r="CY146" s="197">
        <f t="shared" si="406"/>
        <v>1663.9420000000002</v>
      </c>
      <c r="CZ146" s="197">
        <f>'Arable NPV'!$F125</f>
        <v>574.23049999999989</v>
      </c>
      <c r="DA146" s="197">
        <f>'Arable NPV'!$G125</f>
        <v>636.366536</v>
      </c>
      <c r="DB146" s="197">
        <f t="shared" si="389"/>
        <v>1210.5970359999999</v>
      </c>
      <c r="DC146" s="197">
        <f t="shared" si="390"/>
        <v>277.3949640000003</v>
      </c>
      <c r="DD146" s="197">
        <f t="shared" si="391"/>
        <v>453.34496400000035</v>
      </c>
      <c r="DE146" s="196">
        <f t="shared" si="392"/>
        <v>1487.9920000000002</v>
      </c>
      <c r="DF146" s="197">
        <f t="shared" si="393"/>
        <v>175.95</v>
      </c>
      <c r="DG146" s="197">
        <f t="shared" si="394"/>
        <v>1210.5970359999999</v>
      </c>
      <c r="DH146" s="197">
        <f t="shared" si="395"/>
        <v>277.3949640000003</v>
      </c>
      <c r="DI146" s="197">
        <f t="shared" si="396"/>
        <v>453.34496400000035</v>
      </c>
      <c r="DJ146" s="196">
        <f t="shared" si="397"/>
        <v>13391.928000000002</v>
      </c>
      <c r="DK146" s="197">
        <f t="shared" si="398"/>
        <v>1583.5500000000002</v>
      </c>
      <c r="DL146" s="197">
        <f t="shared" si="399"/>
        <v>10895.373323999998</v>
      </c>
      <c r="DM146" s="197">
        <f t="shared" si="400"/>
        <v>2496.5546760000025</v>
      </c>
      <c r="DN146" s="199">
        <f t="shared" si="401"/>
        <v>4080.1046760000031</v>
      </c>
    </row>
    <row r="147" spans="2:118" x14ac:dyDescent="0.3">
      <c r="B147" s="900">
        <v>10</v>
      </c>
      <c r="C147" s="911">
        <f>'Arable Inputs'!$H$18</f>
        <v>8.14</v>
      </c>
      <c r="D147" s="760">
        <f>'Arable Inputs'!$H$25</f>
        <v>182.8</v>
      </c>
      <c r="E147" s="762">
        <f t="shared" si="336"/>
        <v>1487.9920000000002</v>
      </c>
      <c r="F147" s="197">
        <f>'Arable NPV'!$D126</f>
        <v>175.95</v>
      </c>
      <c r="G147" s="197">
        <f t="shared" si="402"/>
        <v>1663.9420000000002</v>
      </c>
      <c r="H147" s="197">
        <f>'Arable NPV'!$F126</f>
        <v>574.23049999999989</v>
      </c>
      <c r="I147" s="197">
        <f>'Arable NPV'!$G126</f>
        <v>636.366536</v>
      </c>
      <c r="J147" s="197">
        <f t="shared" si="337"/>
        <v>1210.5970359999999</v>
      </c>
      <c r="K147" s="197">
        <f t="shared" si="338"/>
        <v>277.3949640000003</v>
      </c>
      <c r="L147" s="197">
        <f t="shared" si="339"/>
        <v>453.34496400000035</v>
      </c>
      <c r="M147" s="196">
        <f t="shared" si="340"/>
        <v>1045.4434418474152</v>
      </c>
      <c r="N147" s="197">
        <f t="shared" si="341"/>
        <v>123.62013612509521</v>
      </c>
      <c r="O147" s="197">
        <f t="shared" si="342"/>
        <v>850.54941962464784</v>
      </c>
      <c r="P147" s="197">
        <f t="shared" si="343"/>
        <v>194.8940222227674</v>
      </c>
      <c r="Q147" s="197">
        <f t="shared" si="344"/>
        <v>318.51415834786269</v>
      </c>
      <c r="R147" s="196">
        <f t="shared" si="345"/>
        <v>12551.70595381461</v>
      </c>
      <c r="S147" s="197">
        <f t="shared" si="345"/>
        <v>1484.1965968726179</v>
      </c>
      <c r="T147" s="197">
        <f t="shared" si="345"/>
        <v>10211.787445383789</v>
      </c>
      <c r="U147" s="197">
        <f t="shared" si="345"/>
        <v>2339.9185084308197</v>
      </c>
      <c r="V147" s="199">
        <f t="shared" si="345"/>
        <v>3824.1151053034373</v>
      </c>
      <c r="Z147" s="900">
        <v>10</v>
      </c>
      <c r="AA147" s="911">
        <f>'Arable Inputs'!$H$18</f>
        <v>8.14</v>
      </c>
      <c r="AB147" s="760">
        <f>'Arable Inputs'!$H$25</f>
        <v>182.8</v>
      </c>
      <c r="AC147" s="762">
        <f t="shared" si="346"/>
        <v>1487.9920000000002</v>
      </c>
      <c r="AD147" s="197">
        <f>'Arable NPV'!$D126</f>
        <v>175.95</v>
      </c>
      <c r="AE147" s="197">
        <f t="shared" si="403"/>
        <v>1663.9420000000002</v>
      </c>
      <c r="AF147" s="197">
        <f>'Arable NPV'!$F126</f>
        <v>574.23049999999989</v>
      </c>
      <c r="AG147" s="197">
        <f>'Arable NPV'!$G126</f>
        <v>636.366536</v>
      </c>
      <c r="AH147" s="197">
        <f t="shared" si="347"/>
        <v>1210.5970359999999</v>
      </c>
      <c r="AI147" s="197">
        <f t="shared" si="348"/>
        <v>277.3949640000003</v>
      </c>
      <c r="AJ147" s="197">
        <f t="shared" si="349"/>
        <v>453.34496400000035</v>
      </c>
      <c r="AK147" s="196">
        <f t="shared" si="350"/>
        <v>880.74017854496913</v>
      </c>
      <c r="AL147" s="197">
        <f t="shared" si="351"/>
        <v>104.14453465810789</v>
      </c>
      <c r="AM147" s="197">
        <f t="shared" si="352"/>
        <v>716.5505255624023</v>
      </c>
      <c r="AN147" s="197">
        <f t="shared" si="353"/>
        <v>164.18965298256677</v>
      </c>
      <c r="AO147" s="199">
        <f t="shared" si="354"/>
        <v>268.33418764067471</v>
      </c>
      <c r="AP147" s="196">
        <f t="shared" si="355"/>
        <v>11608.855690917177</v>
      </c>
      <c r="AQ147" s="197">
        <f t="shared" si="356"/>
        <v>1372.7077556982006</v>
      </c>
      <c r="AR147" s="197">
        <f t="shared" si="357"/>
        <v>9444.7055432932866</v>
      </c>
      <c r="AS147" s="197">
        <f t="shared" si="358"/>
        <v>2164.1501476238905</v>
      </c>
      <c r="AT147" s="199">
        <f t="shared" si="359"/>
        <v>3536.8579033220917</v>
      </c>
      <c r="AX147" s="900">
        <v>10</v>
      </c>
      <c r="AY147" s="911">
        <f>'Arable Inputs'!$H$18</f>
        <v>8.14</v>
      </c>
      <c r="AZ147" s="760">
        <f>'Arable Inputs'!$H$25</f>
        <v>182.8</v>
      </c>
      <c r="BA147" s="762">
        <f t="shared" si="360"/>
        <v>1487.9920000000002</v>
      </c>
      <c r="BB147" s="197">
        <f>'Arable NPV'!$D126</f>
        <v>175.95</v>
      </c>
      <c r="BC147" s="197">
        <f t="shared" si="404"/>
        <v>1663.9420000000002</v>
      </c>
      <c r="BD147" s="197">
        <f>'Arable NPV'!$F126</f>
        <v>574.23049999999989</v>
      </c>
      <c r="BE147" s="197">
        <f>'Arable NPV'!$G126</f>
        <v>636.366536</v>
      </c>
      <c r="BF147" s="197">
        <f t="shared" si="361"/>
        <v>1210.5970359999999</v>
      </c>
      <c r="BG147" s="197">
        <f t="shared" si="362"/>
        <v>277.3949640000003</v>
      </c>
      <c r="BH147" s="197">
        <f t="shared" si="363"/>
        <v>453.34496400000035</v>
      </c>
      <c r="BI147" s="196">
        <f t="shared" si="364"/>
        <v>1245.0851415763889</v>
      </c>
      <c r="BJ147" s="197">
        <f t="shared" si="365"/>
        <v>147.22708903029425</v>
      </c>
      <c r="BK147" s="197">
        <f t="shared" si="366"/>
        <v>1012.9734447228321</v>
      </c>
      <c r="BL147" s="197">
        <f t="shared" si="367"/>
        <v>232.11169685355677</v>
      </c>
      <c r="BM147" s="199">
        <f t="shared" si="368"/>
        <v>379.33878588385107</v>
      </c>
      <c r="BN147" s="196">
        <f t="shared" si="369"/>
        <v>13633.334921180567</v>
      </c>
      <c r="BO147" s="197">
        <f t="shared" si="370"/>
        <v>1612.095548485288</v>
      </c>
      <c r="BP147" s="197">
        <f t="shared" si="371"/>
        <v>11091.776599858391</v>
      </c>
      <c r="BQ147" s="197">
        <f t="shared" si="372"/>
        <v>2541.5583213221771</v>
      </c>
      <c r="BR147" s="199">
        <f t="shared" si="373"/>
        <v>4153.6538698074664</v>
      </c>
      <c r="BV147" s="900">
        <v>10</v>
      </c>
      <c r="BW147" s="911">
        <f>'Arable Inputs'!$H$18</f>
        <v>8.14</v>
      </c>
      <c r="BX147" s="760">
        <f>'Arable Inputs'!$H$25</f>
        <v>182.8</v>
      </c>
      <c r="BY147" s="762">
        <f t="shared" si="374"/>
        <v>1487.9920000000002</v>
      </c>
      <c r="BZ147" s="197">
        <f>'Arable NPV'!$D126</f>
        <v>175.95</v>
      </c>
      <c r="CA147" s="197">
        <f t="shared" si="405"/>
        <v>1663.9420000000002</v>
      </c>
      <c r="CB147" s="197">
        <f>'Arable NPV'!$F126</f>
        <v>574.23049999999989</v>
      </c>
      <c r="CC147" s="197">
        <f>'Arable NPV'!$G126</f>
        <v>636.366536</v>
      </c>
      <c r="CD147" s="197">
        <f t="shared" si="375"/>
        <v>1210.5970359999999</v>
      </c>
      <c r="CE147" s="197">
        <f t="shared" si="376"/>
        <v>277.3949640000003</v>
      </c>
      <c r="CF147" s="197">
        <f t="shared" si="377"/>
        <v>453.34496400000035</v>
      </c>
      <c r="CG147" s="196">
        <f t="shared" si="378"/>
        <v>744.36646109987407</v>
      </c>
      <c r="CH147" s="197">
        <f t="shared" si="379"/>
        <v>88.018805766780204</v>
      </c>
      <c r="CI147" s="197">
        <f t="shared" si="380"/>
        <v>605.59991687140564</v>
      </c>
      <c r="CJ147" s="197">
        <f t="shared" si="381"/>
        <v>138.7665442284684</v>
      </c>
      <c r="CK147" s="197">
        <f t="shared" si="382"/>
        <v>226.78534999524865</v>
      </c>
      <c r="CL147" s="196">
        <f t="shared" si="383"/>
        <v>10783.311236251573</v>
      </c>
      <c r="CM147" s="197">
        <f t="shared" si="384"/>
        <v>1275.0899279152466</v>
      </c>
      <c r="CN147" s="197">
        <f t="shared" si="385"/>
        <v>8773.0610251074231</v>
      </c>
      <c r="CO147" s="197">
        <f t="shared" si="386"/>
        <v>2010.2502111441477</v>
      </c>
      <c r="CP147" s="199">
        <f t="shared" si="387"/>
        <v>3285.3401390593949</v>
      </c>
      <c r="CT147" s="900">
        <v>10</v>
      </c>
      <c r="CU147" s="911">
        <f>'Arable Inputs'!$H$18</f>
        <v>8.14</v>
      </c>
      <c r="CV147" s="760">
        <f>'Arable Inputs'!$H$25</f>
        <v>182.8</v>
      </c>
      <c r="CW147" s="762">
        <f t="shared" si="388"/>
        <v>1487.9920000000002</v>
      </c>
      <c r="CX147" s="197">
        <f>'Arable NPV'!$D126</f>
        <v>175.95</v>
      </c>
      <c r="CY147" s="197">
        <f t="shared" si="406"/>
        <v>1663.9420000000002</v>
      </c>
      <c r="CZ147" s="197">
        <f>'Arable NPV'!$F126</f>
        <v>574.23049999999989</v>
      </c>
      <c r="DA147" s="197">
        <f>'Arable NPV'!$G126</f>
        <v>636.366536</v>
      </c>
      <c r="DB147" s="197">
        <f t="shared" si="389"/>
        <v>1210.5970359999999</v>
      </c>
      <c r="DC147" s="197">
        <f t="shared" si="390"/>
        <v>277.3949640000003</v>
      </c>
      <c r="DD147" s="197">
        <f t="shared" si="391"/>
        <v>453.34496400000035</v>
      </c>
      <c r="DE147" s="196">
        <f t="shared" si="392"/>
        <v>1487.9920000000002</v>
      </c>
      <c r="DF147" s="197">
        <f t="shared" si="393"/>
        <v>175.95</v>
      </c>
      <c r="DG147" s="197">
        <f t="shared" si="394"/>
        <v>1210.5970359999999</v>
      </c>
      <c r="DH147" s="197">
        <f t="shared" si="395"/>
        <v>277.3949640000003</v>
      </c>
      <c r="DI147" s="197">
        <f t="shared" si="396"/>
        <v>453.34496400000035</v>
      </c>
      <c r="DJ147" s="196">
        <f t="shared" si="397"/>
        <v>14879.920000000002</v>
      </c>
      <c r="DK147" s="197">
        <f t="shared" si="398"/>
        <v>1759.5000000000002</v>
      </c>
      <c r="DL147" s="197">
        <f t="shared" si="399"/>
        <v>12105.970359999998</v>
      </c>
      <c r="DM147" s="197">
        <f t="shared" si="400"/>
        <v>2773.9496400000025</v>
      </c>
      <c r="DN147" s="199">
        <f t="shared" si="401"/>
        <v>4533.4496400000035</v>
      </c>
    </row>
    <row r="148" spans="2:118" x14ac:dyDescent="0.3">
      <c r="B148" s="900">
        <v>11</v>
      </c>
      <c r="C148" s="911">
        <f>'Arable Inputs'!$H$18</f>
        <v>8.14</v>
      </c>
      <c r="D148" s="760">
        <f>'Arable Inputs'!$H$25</f>
        <v>182.8</v>
      </c>
      <c r="E148" s="762">
        <f t="shared" si="336"/>
        <v>1487.9920000000002</v>
      </c>
      <c r="F148" s="197">
        <f>'Arable NPV'!$D127</f>
        <v>175.95</v>
      </c>
      <c r="G148" s="197">
        <f t="shared" si="402"/>
        <v>1663.9420000000002</v>
      </c>
      <c r="H148" s="197">
        <f>'Arable NPV'!$F127</f>
        <v>574.23049999999989</v>
      </c>
      <c r="I148" s="197">
        <f>'Arable NPV'!$G127</f>
        <v>636.366536</v>
      </c>
      <c r="J148" s="197">
        <f t="shared" si="337"/>
        <v>1210.5970359999999</v>
      </c>
      <c r="K148" s="197">
        <f t="shared" si="338"/>
        <v>277.3949640000003</v>
      </c>
      <c r="L148" s="197">
        <f t="shared" si="339"/>
        <v>453.34496400000035</v>
      </c>
      <c r="M148" s="196">
        <f t="shared" si="340"/>
        <v>1005.2340786994378</v>
      </c>
      <c r="N148" s="197">
        <f t="shared" si="341"/>
        <v>118.86551550489925</v>
      </c>
      <c r="O148" s="197">
        <f t="shared" si="342"/>
        <v>817.83598040831521</v>
      </c>
      <c r="P148" s="197">
        <f t="shared" si="343"/>
        <v>187.39809829112252</v>
      </c>
      <c r="Q148" s="197">
        <f t="shared" si="344"/>
        <v>306.26361379602179</v>
      </c>
      <c r="R148" s="196">
        <f t="shared" si="345"/>
        <v>13556.940032514047</v>
      </c>
      <c r="S148" s="197">
        <f t="shared" si="345"/>
        <v>1603.0621123775172</v>
      </c>
      <c r="T148" s="197">
        <f t="shared" si="345"/>
        <v>11029.623425792104</v>
      </c>
      <c r="U148" s="197">
        <f t="shared" si="345"/>
        <v>2527.3166067219422</v>
      </c>
      <c r="V148" s="199">
        <f t="shared" si="345"/>
        <v>4130.378719099459</v>
      </c>
      <c r="Z148" s="900">
        <v>11</v>
      </c>
      <c r="AA148" s="911">
        <f>'Arable Inputs'!$H$18</f>
        <v>8.14</v>
      </c>
      <c r="AB148" s="760">
        <f>'Arable Inputs'!$H$25</f>
        <v>182.8</v>
      </c>
      <c r="AC148" s="762">
        <f t="shared" si="346"/>
        <v>1487.9920000000002</v>
      </c>
      <c r="AD148" s="197">
        <f>'Arable NPV'!$D127</f>
        <v>175.95</v>
      </c>
      <c r="AE148" s="197">
        <f t="shared" si="403"/>
        <v>1663.9420000000002</v>
      </c>
      <c r="AF148" s="197">
        <f>'Arable NPV'!$F127</f>
        <v>574.23049999999989</v>
      </c>
      <c r="AG148" s="197">
        <f>'Arable NPV'!$G127</f>
        <v>636.366536</v>
      </c>
      <c r="AH148" s="197">
        <f t="shared" si="347"/>
        <v>1210.5970359999999</v>
      </c>
      <c r="AI148" s="197">
        <f t="shared" si="348"/>
        <v>277.3949640000003</v>
      </c>
      <c r="AJ148" s="197">
        <f t="shared" si="349"/>
        <v>453.34496400000035</v>
      </c>
      <c r="AK148" s="196">
        <f t="shared" si="350"/>
        <v>830.88696089148016</v>
      </c>
      <c r="AL148" s="197">
        <f t="shared" si="351"/>
        <v>98.249560998214989</v>
      </c>
      <c r="AM148" s="197">
        <f t="shared" si="352"/>
        <v>675.99106185132291</v>
      </c>
      <c r="AN148" s="197">
        <f t="shared" si="353"/>
        <v>154.89589904015733</v>
      </c>
      <c r="AO148" s="199">
        <f t="shared" si="354"/>
        <v>253.14546003837233</v>
      </c>
      <c r="AP148" s="196">
        <f t="shared" si="355"/>
        <v>12439.742651808658</v>
      </c>
      <c r="AQ148" s="197">
        <f t="shared" si="356"/>
        <v>1470.9573166964155</v>
      </c>
      <c r="AR148" s="197">
        <f t="shared" si="357"/>
        <v>10120.696605144609</v>
      </c>
      <c r="AS148" s="197">
        <f t="shared" si="358"/>
        <v>2319.0460466640479</v>
      </c>
      <c r="AT148" s="199">
        <f t="shared" si="359"/>
        <v>3790.0033633604639</v>
      </c>
      <c r="AX148" s="900">
        <v>11</v>
      </c>
      <c r="AY148" s="911">
        <f>'Arable Inputs'!$H$18</f>
        <v>8.14</v>
      </c>
      <c r="AZ148" s="760">
        <f>'Arable Inputs'!$H$25</f>
        <v>182.8</v>
      </c>
      <c r="BA148" s="762">
        <f t="shared" si="360"/>
        <v>1487.9920000000002</v>
      </c>
      <c r="BB148" s="197">
        <f>'Arable NPV'!$D127</f>
        <v>175.95</v>
      </c>
      <c r="BC148" s="197">
        <f t="shared" si="404"/>
        <v>1663.9420000000002</v>
      </c>
      <c r="BD148" s="197">
        <f>'Arable NPV'!$F127</f>
        <v>574.23049999999989</v>
      </c>
      <c r="BE148" s="197">
        <f>'Arable NPV'!$G127</f>
        <v>636.366536</v>
      </c>
      <c r="BF148" s="197">
        <f t="shared" si="361"/>
        <v>1210.5970359999999</v>
      </c>
      <c r="BG148" s="197">
        <f t="shared" si="362"/>
        <v>277.3949640000003</v>
      </c>
      <c r="BH148" s="197">
        <f t="shared" si="363"/>
        <v>453.34496400000035</v>
      </c>
      <c r="BI148" s="196">
        <f t="shared" si="364"/>
        <v>1220.6717074278322</v>
      </c>
      <c r="BJ148" s="197">
        <f t="shared" si="365"/>
        <v>144.34028336303356</v>
      </c>
      <c r="BK148" s="197">
        <f t="shared" si="366"/>
        <v>993.11122031650211</v>
      </c>
      <c r="BL148" s="197">
        <f t="shared" si="367"/>
        <v>227.56048711133016</v>
      </c>
      <c r="BM148" s="199">
        <f t="shared" si="368"/>
        <v>371.90077047436375</v>
      </c>
      <c r="BN148" s="196">
        <f t="shared" si="369"/>
        <v>14854.0066286084</v>
      </c>
      <c r="BO148" s="197">
        <f t="shared" si="370"/>
        <v>1756.4358318483214</v>
      </c>
      <c r="BP148" s="197">
        <f t="shared" si="371"/>
        <v>12084.887820174892</v>
      </c>
      <c r="BQ148" s="197">
        <f t="shared" si="372"/>
        <v>2769.1188084335072</v>
      </c>
      <c r="BR148" s="199">
        <f t="shared" si="373"/>
        <v>4525.55464028183</v>
      </c>
      <c r="BV148" s="900">
        <v>11</v>
      </c>
      <c r="BW148" s="911">
        <f>'Arable Inputs'!$H$18</f>
        <v>8.14</v>
      </c>
      <c r="BX148" s="760">
        <f>'Arable Inputs'!$H$25</f>
        <v>182.8</v>
      </c>
      <c r="BY148" s="762">
        <f t="shared" si="374"/>
        <v>1487.9920000000002</v>
      </c>
      <c r="BZ148" s="197">
        <f>'Arable NPV'!$D127</f>
        <v>175.95</v>
      </c>
      <c r="CA148" s="197">
        <f t="shared" si="405"/>
        <v>1663.9420000000002</v>
      </c>
      <c r="CB148" s="197">
        <f>'Arable NPV'!$F127</f>
        <v>574.23049999999989</v>
      </c>
      <c r="CC148" s="197">
        <f>'Arable NPV'!$G127</f>
        <v>636.366536</v>
      </c>
      <c r="CD148" s="197">
        <f t="shared" si="375"/>
        <v>1210.5970359999999</v>
      </c>
      <c r="CE148" s="197">
        <f t="shared" si="376"/>
        <v>277.3949640000003</v>
      </c>
      <c r="CF148" s="197">
        <f t="shared" si="377"/>
        <v>453.34496400000035</v>
      </c>
      <c r="CG148" s="196">
        <f t="shared" si="378"/>
        <v>689.2282047221056</v>
      </c>
      <c r="CH148" s="197">
        <f t="shared" si="379"/>
        <v>81.498894228500191</v>
      </c>
      <c r="CI148" s="197">
        <f t="shared" si="380"/>
        <v>560.74066376982</v>
      </c>
      <c r="CJ148" s="197">
        <f t="shared" si="381"/>
        <v>128.48754095228557</v>
      </c>
      <c r="CK148" s="197">
        <f t="shared" si="382"/>
        <v>209.98643518078578</v>
      </c>
      <c r="CL148" s="196">
        <f t="shared" si="383"/>
        <v>11472.539440973678</v>
      </c>
      <c r="CM148" s="197">
        <f t="shared" si="384"/>
        <v>1356.5888221437467</v>
      </c>
      <c r="CN148" s="197">
        <f t="shared" si="385"/>
        <v>9333.8016888772436</v>
      </c>
      <c r="CO148" s="197">
        <f t="shared" si="386"/>
        <v>2138.7377520964333</v>
      </c>
      <c r="CP148" s="199">
        <f t="shared" si="387"/>
        <v>3495.3265742401809</v>
      </c>
      <c r="CT148" s="900">
        <v>11</v>
      </c>
      <c r="CU148" s="911">
        <f>'Arable Inputs'!$H$18</f>
        <v>8.14</v>
      </c>
      <c r="CV148" s="760">
        <f>'Arable Inputs'!$H$25</f>
        <v>182.8</v>
      </c>
      <c r="CW148" s="762">
        <f t="shared" si="388"/>
        <v>1487.9920000000002</v>
      </c>
      <c r="CX148" s="197">
        <f>'Arable NPV'!$D127</f>
        <v>175.95</v>
      </c>
      <c r="CY148" s="197">
        <f t="shared" si="406"/>
        <v>1663.9420000000002</v>
      </c>
      <c r="CZ148" s="197">
        <f>'Arable NPV'!$F127</f>
        <v>574.23049999999989</v>
      </c>
      <c r="DA148" s="197">
        <f>'Arable NPV'!$G127</f>
        <v>636.366536</v>
      </c>
      <c r="DB148" s="197">
        <f t="shared" si="389"/>
        <v>1210.5970359999999</v>
      </c>
      <c r="DC148" s="197">
        <f t="shared" si="390"/>
        <v>277.3949640000003</v>
      </c>
      <c r="DD148" s="197">
        <f t="shared" si="391"/>
        <v>453.34496400000035</v>
      </c>
      <c r="DE148" s="196">
        <f t="shared" si="392"/>
        <v>1487.9920000000002</v>
      </c>
      <c r="DF148" s="197">
        <f t="shared" si="393"/>
        <v>175.95</v>
      </c>
      <c r="DG148" s="197">
        <f t="shared" si="394"/>
        <v>1210.5970359999999</v>
      </c>
      <c r="DH148" s="197">
        <f t="shared" si="395"/>
        <v>277.3949640000003</v>
      </c>
      <c r="DI148" s="197">
        <f t="shared" si="396"/>
        <v>453.34496400000035</v>
      </c>
      <c r="DJ148" s="196">
        <f t="shared" si="397"/>
        <v>16367.912000000002</v>
      </c>
      <c r="DK148" s="197">
        <f t="shared" si="398"/>
        <v>1935.4500000000003</v>
      </c>
      <c r="DL148" s="197">
        <f t="shared" si="399"/>
        <v>13316.567395999997</v>
      </c>
      <c r="DM148" s="197">
        <f t="shared" si="400"/>
        <v>3051.3446040000026</v>
      </c>
      <c r="DN148" s="199">
        <f t="shared" si="401"/>
        <v>4986.7946040000043</v>
      </c>
    </row>
    <row r="149" spans="2:118" x14ac:dyDescent="0.3">
      <c r="B149" s="900">
        <v>12</v>
      </c>
      <c r="C149" s="911">
        <f>'Arable Inputs'!$H$18</f>
        <v>8.14</v>
      </c>
      <c r="D149" s="760">
        <f>'Arable Inputs'!$H$25</f>
        <v>182.8</v>
      </c>
      <c r="E149" s="762">
        <f t="shared" si="336"/>
        <v>1487.9920000000002</v>
      </c>
      <c r="F149" s="197">
        <f>'Arable NPV'!$D128</f>
        <v>175.95</v>
      </c>
      <c r="G149" s="197">
        <f t="shared" si="402"/>
        <v>1663.9420000000002</v>
      </c>
      <c r="H149" s="197">
        <f>'Arable NPV'!$F128</f>
        <v>574.23049999999989</v>
      </c>
      <c r="I149" s="197">
        <f>'Arable NPV'!$G128</f>
        <v>636.366536</v>
      </c>
      <c r="J149" s="197">
        <f t="shared" si="337"/>
        <v>1210.5970359999999</v>
      </c>
      <c r="K149" s="197">
        <f t="shared" si="338"/>
        <v>277.3949640000003</v>
      </c>
      <c r="L149" s="197">
        <f t="shared" si="339"/>
        <v>453.34496400000035</v>
      </c>
      <c r="M149" s="196">
        <f t="shared" si="340"/>
        <v>966.57122951869019</v>
      </c>
      <c r="N149" s="197">
        <f t="shared" si="341"/>
        <v>114.29376490855698</v>
      </c>
      <c r="O149" s="197">
        <f t="shared" si="342"/>
        <v>786.38075039261093</v>
      </c>
      <c r="P149" s="197">
        <f t="shared" si="343"/>
        <v>180.19047912607937</v>
      </c>
      <c r="Q149" s="197">
        <f t="shared" si="344"/>
        <v>294.48424403463639</v>
      </c>
      <c r="R149" s="196">
        <f t="shared" si="345"/>
        <v>14523.511262032736</v>
      </c>
      <c r="S149" s="197">
        <f t="shared" si="345"/>
        <v>1717.3558772860742</v>
      </c>
      <c r="T149" s="197">
        <f t="shared" si="345"/>
        <v>11816.004176184715</v>
      </c>
      <c r="U149" s="197">
        <f t="shared" si="345"/>
        <v>2707.5070858480217</v>
      </c>
      <c r="V149" s="199">
        <f t="shared" si="345"/>
        <v>4424.8629631340955</v>
      </c>
      <c r="Z149" s="900">
        <v>12</v>
      </c>
      <c r="AA149" s="911">
        <f>'Arable Inputs'!$H$18</f>
        <v>8.14</v>
      </c>
      <c r="AB149" s="760">
        <f>'Arable Inputs'!$H$25</f>
        <v>182.8</v>
      </c>
      <c r="AC149" s="762">
        <f t="shared" si="346"/>
        <v>1487.9920000000002</v>
      </c>
      <c r="AD149" s="197">
        <f>'Arable NPV'!$D128</f>
        <v>175.95</v>
      </c>
      <c r="AE149" s="197">
        <f t="shared" si="403"/>
        <v>1663.9420000000002</v>
      </c>
      <c r="AF149" s="197">
        <f>'Arable NPV'!$F128</f>
        <v>574.23049999999989</v>
      </c>
      <c r="AG149" s="197">
        <f>'Arable NPV'!$G128</f>
        <v>636.366536</v>
      </c>
      <c r="AH149" s="197">
        <f t="shared" si="347"/>
        <v>1210.5970359999999</v>
      </c>
      <c r="AI149" s="197">
        <f t="shared" si="348"/>
        <v>277.3949640000003</v>
      </c>
      <c r="AJ149" s="197">
        <f t="shared" si="349"/>
        <v>453.34496400000035</v>
      </c>
      <c r="AK149" s="196">
        <f t="shared" si="350"/>
        <v>783.85562348252836</v>
      </c>
      <c r="AL149" s="197">
        <f t="shared" si="351"/>
        <v>92.688265092655627</v>
      </c>
      <c r="AM149" s="197">
        <f t="shared" si="352"/>
        <v>637.72741684087055</v>
      </c>
      <c r="AN149" s="197">
        <f t="shared" si="353"/>
        <v>146.12820664165784</v>
      </c>
      <c r="AO149" s="199">
        <f t="shared" si="354"/>
        <v>238.8164717343135</v>
      </c>
      <c r="AP149" s="196">
        <f t="shared" si="355"/>
        <v>13223.598275291186</v>
      </c>
      <c r="AQ149" s="197">
        <f t="shared" si="356"/>
        <v>1563.6455817890712</v>
      </c>
      <c r="AR149" s="197">
        <f t="shared" si="357"/>
        <v>10758.42402198548</v>
      </c>
      <c r="AS149" s="197">
        <f t="shared" si="358"/>
        <v>2465.1742533057059</v>
      </c>
      <c r="AT149" s="199">
        <f t="shared" si="359"/>
        <v>4028.8198350947773</v>
      </c>
      <c r="AX149" s="900">
        <v>12</v>
      </c>
      <c r="AY149" s="911">
        <f>'Arable Inputs'!$H$18</f>
        <v>8.14</v>
      </c>
      <c r="AZ149" s="760">
        <f>'Arable Inputs'!$H$25</f>
        <v>182.8</v>
      </c>
      <c r="BA149" s="762">
        <f t="shared" si="360"/>
        <v>1487.9920000000002</v>
      </c>
      <c r="BB149" s="197">
        <f>'Arable NPV'!$D128</f>
        <v>175.95</v>
      </c>
      <c r="BC149" s="197">
        <f t="shared" si="404"/>
        <v>1663.9420000000002</v>
      </c>
      <c r="BD149" s="197">
        <f>'Arable NPV'!$F128</f>
        <v>574.23049999999989</v>
      </c>
      <c r="BE149" s="197">
        <f>'Arable NPV'!$G128</f>
        <v>636.366536</v>
      </c>
      <c r="BF149" s="197">
        <f t="shared" si="361"/>
        <v>1210.5970359999999</v>
      </c>
      <c r="BG149" s="197">
        <f t="shared" si="362"/>
        <v>277.3949640000003</v>
      </c>
      <c r="BH149" s="197">
        <f t="shared" si="363"/>
        <v>453.34496400000035</v>
      </c>
      <c r="BI149" s="196">
        <f t="shared" si="364"/>
        <v>1196.7369680665024</v>
      </c>
      <c r="BJ149" s="197">
        <f t="shared" si="365"/>
        <v>141.51008172846431</v>
      </c>
      <c r="BK149" s="197">
        <f t="shared" si="366"/>
        <v>973.63845129068852</v>
      </c>
      <c r="BL149" s="197">
        <f t="shared" si="367"/>
        <v>223.09851677581392</v>
      </c>
      <c r="BM149" s="199">
        <f t="shared" si="368"/>
        <v>364.60859850427829</v>
      </c>
      <c r="BN149" s="196">
        <f t="shared" si="369"/>
        <v>16050.743596674904</v>
      </c>
      <c r="BO149" s="197">
        <f t="shared" si="370"/>
        <v>1897.9459135767856</v>
      </c>
      <c r="BP149" s="197">
        <f t="shared" si="371"/>
        <v>13058.52627146558</v>
      </c>
      <c r="BQ149" s="197">
        <f t="shared" si="372"/>
        <v>2992.2173252093212</v>
      </c>
      <c r="BR149" s="199">
        <f t="shared" si="373"/>
        <v>4890.1632387861082</v>
      </c>
      <c r="BV149" s="900">
        <v>12</v>
      </c>
      <c r="BW149" s="911">
        <f>'Arable Inputs'!$H$18</f>
        <v>8.14</v>
      </c>
      <c r="BX149" s="760">
        <f>'Arable Inputs'!$H$25</f>
        <v>182.8</v>
      </c>
      <c r="BY149" s="762">
        <f t="shared" si="374"/>
        <v>1487.9920000000002</v>
      </c>
      <c r="BZ149" s="197">
        <f>'Arable NPV'!$D128</f>
        <v>175.95</v>
      </c>
      <c r="CA149" s="197">
        <f t="shared" si="405"/>
        <v>1663.9420000000002</v>
      </c>
      <c r="CB149" s="197">
        <f>'Arable NPV'!$F128</f>
        <v>574.23049999999989</v>
      </c>
      <c r="CC149" s="197">
        <f>'Arable NPV'!$G128</f>
        <v>636.366536</v>
      </c>
      <c r="CD149" s="197">
        <f t="shared" si="375"/>
        <v>1210.5970359999999</v>
      </c>
      <c r="CE149" s="197">
        <f t="shared" si="376"/>
        <v>277.3949640000003</v>
      </c>
      <c r="CF149" s="197">
        <f t="shared" si="377"/>
        <v>453.34496400000035</v>
      </c>
      <c r="CG149" s="196">
        <f t="shared" si="378"/>
        <v>638.17426363157927</v>
      </c>
      <c r="CH149" s="197">
        <f t="shared" si="379"/>
        <v>75.461939100463141</v>
      </c>
      <c r="CI149" s="197">
        <f t="shared" si="380"/>
        <v>519.20431830538894</v>
      </c>
      <c r="CJ149" s="197">
        <f t="shared" si="381"/>
        <v>118.96994532619033</v>
      </c>
      <c r="CK149" s="197">
        <f t="shared" si="382"/>
        <v>194.43188442665348</v>
      </c>
      <c r="CL149" s="196">
        <f t="shared" si="383"/>
        <v>12110.713704605258</v>
      </c>
      <c r="CM149" s="197">
        <f t="shared" si="384"/>
        <v>1432.0507612442098</v>
      </c>
      <c r="CN149" s="197">
        <f t="shared" si="385"/>
        <v>9853.0060071826319</v>
      </c>
      <c r="CO149" s="197">
        <f t="shared" si="386"/>
        <v>2257.7076974226238</v>
      </c>
      <c r="CP149" s="199">
        <f t="shared" si="387"/>
        <v>3689.7584586668345</v>
      </c>
      <c r="CT149" s="900">
        <v>12</v>
      </c>
      <c r="CU149" s="911">
        <f>'Arable Inputs'!$H$18</f>
        <v>8.14</v>
      </c>
      <c r="CV149" s="760">
        <f>'Arable Inputs'!$H$25</f>
        <v>182.8</v>
      </c>
      <c r="CW149" s="762">
        <f t="shared" si="388"/>
        <v>1487.9920000000002</v>
      </c>
      <c r="CX149" s="197">
        <f>'Arable NPV'!$D128</f>
        <v>175.95</v>
      </c>
      <c r="CY149" s="197">
        <f t="shared" si="406"/>
        <v>1663.9420000000002</v>
      </c>
      <c r="CZ149" s="197">
        <f>'Arable NPV'!$F128</f>
        <v>574.23049999999989</v>
      </c>
      <c r="DA149" s="197">
        <f>'Arable NPV'!$G128</f>
        <v>636.366536</v>
      </c>
      <c r="DB149" s="197">
        <f t="shared" si="389"/>
        <v>1210.5970359999999</v>
      </c>
      <c r="DC149" s="197">
        <f t="shared" si="390"/>
        <v>277.3949640000003</v>
      </c>
      <c r="DD149" s="197">
        <f t="shared" si="391"/>
        <v>453.34496400000035</v>
      </c>
      <c r="DE149" s="196">
        <f t="shared" si="392"/>
        <v>1487.9920000000002</v>
      </c>
      <c r="DF149" s="197">
        <f t="shared" si="393"/>
        <v>175.95</v>
      </c>
      <c r="DG149" s="197">
        <f t="shared" si="394"/>
        <v>1210.5970359999999</v>
      </c>
      <c r="DH149" s="197">
        <f t="shared" si="395"/>
        <v>277.3949640000003</v>
      </c>
      <c r="DI149" s="197">
        <f t="shared" si="396"/>
        <v>453.34496400000035</v>
      </c>
      <c r="DJ149" s="196">
        <f t="shared" si="397"/>
        <v>17855.904000000002</v>
      </c>
      <c r="DK149" s="197">
        <f t="shared" si="398"/>
        <v>2111.4</v>
      </c>
      <c r="DL149" s="197">
        <f t="shared" si="399"/>
        <v>14527.164431999996</v>
      </c>
      <c r="DM149" s="197">
        <f t="shared" si="400"/>
        <v>3328.7395680000027</v>
      </c>
      <c r="DN149" s="199">
        <f t="shared" si="401"/>
        <v>5440.1395680000041</v>
      </c>
    </row>
    <row r="150" spans="2:118" x14ac:dyDescent="0.3">
      <c r="B150" s="900">
        <v>13</v>
      </c>
      <c r="C150" s="911">
        <f>'Arable Inputs'!$H$18</f>
        <v>8.14</v>
      </c>
      <c r="D150" s="760">
        <f>'Arable Inputs'!$H$25</f>
        <v>182.8</v>
      </c>
      <c r="E150" s="762">
        <f t="shared" si="336"/>
        <v>1487.9920000000002</v>
      </c>
      <c r="F150" s="197">
        <f>'Arable NPV'!$D129</f>
        <v>175.95</v>
      </c>
      <c r="G150" s="197">
        <f t="shared" si="402"/>
        <v>1663.9420000000002</v>
      </c>
      <c r="H150" s="197">
        <f>'Arable NPV'!$F129</f>
        <v>574.23049999999989</v>
      </c>
      <c r="I150" s="197">
        <f>'Arable NPV'!$G129</f>
        <v>636.366536</v>
      </c>
      <c r="J150" s="197">
        <f t="shared" si="337"/>
        <v>1210.5970359999999</v>
      </c>
      <c r="K150" s="197">
        <f t="shared" si="338"/>
        <v>277.3949640000003</v>
      </c>
      <c r="L150" s="197">
        <f t="shared" si="339"/>
        <v>453.34496400000035</v>
      </c>
      <c r="M150" s="196">
        <f t="shared" si="340"/>
        <v>929.39541299874043</v>
      </c>
      <c r="N150" s="197">
        <f t="shared" si="341"/>
        <v>109.89785087361246</v>
      </c>
      <c r="O150" s="197">
        <f t="shared" si="342"/>
        <v>756.13533691597183</v>
      </c>
      <c r="P150" s="197">
        <f t="shared" si="343"/>
        <v>173.26007608276856</v>
      </c>
      <c r="Q150" s="197">
        <f t="shared" si="344"/>
        <v>283.15792695638106</v>
      </c>
      <c r="R150" s="196">
        <f t="shared" si="345"/>
        <v>15452.906675031476</v>
      </c>
      <c r="S150" s="197">
        <f t="shared" si="345"/>
        <v>1827.2537281596867</v>
      </c>
      <c r="T150" s="197">
        <f t="shared" si="345"/>
        <v>12572.139513100687</v>
      </c>
      <c r="U150" s="197">
        <f t="shared" si="345"/>
        <v>2880.7671619307903</v>
      </c>
      <c r="V150" s="199">
        <f t="shared" si="345"/>
        <v>4708.0208900904763</v>
      </c>
      <c r="Z150" s="900">
        <v>13</v>
      </c>
      <c r="AA150" s="911">
        <f>'Arable Inputs'!$H$18</f>
        <v>8.14</v>
      </c>
      <c r="AB150" s="760">
        <f>'Arable Inputs'!$H$25</f>
        <v>182.8</v>
      </c>
      <c r="AC150" s="762">
        <f t="shared" si="346"/>
        <v>1487.9920000000002</v>
      </c>
      <c r="AD150" s="197">
        <f>'Arable NPV'!$D129</f>
        <v>175.95</v>
      </c>
      <c r="AE150" s="197">
        <f t="shared" si="403"/>
        <v>1663.9420000000002</v>
      </c>
      <c r="AF150" s="197">
        <f>'Arable NPV'!$F129</f>
        <v>574.23049999999989</v>
      </c>
      <c r="AG150" s="197">
        <f>'Arable NPV'!$G129</f>
        <v>636.366536</v>
      </c>
      <c r="AH150" s="197">
        <f t="shared" si="347"/>
        <v>1210.5970359999999</v>
      </c>
      <c r="AI150" s="197">
        <f t="shared" si="348"/>
        <v>277.3949640000003</v>
      </c>
      <c r="AJ150" s="197">
        <f t="shared" si="349"/>
        <v>453.34496400000035</v>
      </c>
      <c r="AK150" s="196">
        <f t="shared" si="350"/>
        <v>739.48643724766816</v>
      </c>
      <c r="AL150" s="197">
        <f t="shared" si="351"/>
        <v>87.441759521373228</v>
      </c>
      <c r="AM150" s="197">
        <f t="shared" si="352"/>
        <v>601.6296385291231</v>
      </c>
      <c r="AN150" s="197">
        <f t="shared" si="353"/>
        <v>137.85679871854512</v>
      </c>
      <c r="AO150" s="199">
        <f t="shared" si="354"/>
        <v>225.29855823991838</v>
      </c>
      <c r="AP150" s="196">
        <f t="shared" si="355"/>
        <v>13963.084712538854</v>
      </c>
      <c r="AQ150" s="197">
        <f t="shared" si="356"/>
        <v>1651.0873413104446</v>
      </c>
      <c r="AR150" s="197">
        <f t="shared" si="357"/>
        <v>11360.053660514603</v>
      </c>
      <c r="AS150" s="197">
        <f t="shared" si="358"/>
        <v>2603.031052024251</v>
      </c>
      <c r="AT150" s="199">
        <f t="shared" si="359"/>
        <v>4254.1183933346956</v>
      </c>
      <c r="AX150" s="900">
        <v>13</v>
      </c>
      <c r="AY150" s="911">
        <f>'Arable Inputs'!$H$18</f>
        <v>8.14</v>
      </c>
      <c r="AZ150" s="760">
        <f>'Arable Inputs'!$H$25</f>
        <v>182.8</v>
      </c>
      <c r="BA150" s="762">
        <f t="shared" si="360"/>
        <v>1487.9920000000002</v>
      </c>
      <c r="BB150" s="197">
        <f>'Arable NPV'!$D129</f>
        <v>175.95</v>
      </c>
      <c r="BC150" s="197">
        <f t="shared" si="404"/>
        <v>1663.9420000000002</v>
      </c>
      <c r="BD150" s="197">
        <f>'Arable NPV'!$F129</f>
        <v>574.23049999999989</v>
      </c>
      <c r="BE150" s="197">
        <f>'Arable NPV'!$G129</f>
        <v>636.366536</v>
      </c>
      <c r="BF150" s="197">
        <f t="shared" si="361"/>
        <v>1210.5970359999999</v>
      </c>
      <c r="BG150" s="197">
        <f t="shared" si="362"/>
        <v>277.3949640000003</v>
      </c>
      <c r="BH150" s="197">
        <f t="shared" si="363"/>
        <v>453.34496400000035</v>
      </c>
      <c r="BI150" s="196">
        <f t="shared" si="364"/>
        <v>1173.2715373201002</v>
      </c>
      <c r="BJ150" s="197">
        <f t="shared" si="365"/>
        <v>138.73537424359245</v>
      </c>
      <c r="BK150" s="197">
        <f t="shared" si="366"/>
        <v>954.54750126538067</v>
      </c>
      <c r="BL150" s="197">
        <f t="shared" si="367"/>
        <v>218.72403605471948</v>
      </c>
      <c r="BM150" s="199">
        <f t="shared" si="368"/>
        <v>357.45941029831198</v>
      </c>
      <c r="BN150" s="196">
        <f t="shared" si="369"/>
        <v>17224.015133995003</v>
      </c>
      <c r="BO150" s="197">
        <f t="shared" si="370"/>
        <v>2036.6812878203782</v>
      </c>
      <c r="BP150" s="197">
        <f t="shared" si="371"/>
        <v>14013.073772730961</v>
      </c>
      <c r="BQ150" s="197">
        <f t="shared" si="372"/>
        <v>3210.9413612640406</v>
      </c>
      <c r="BR150" s="199">
        <f t="shared" si="373"/>
        <v>5247.6226490844201</v>
      </c>
      <c r="BV150" s="900">
        <v>13</v>
      </c>
      <c r="BW150" s="911">
        <f>'Arable Inputs'!$H$18</f>
        <v>8.14</v>
      </c>
      <c r="BX150" s="760">
        <f>'Arable Inputs'!$H$25</f>
        <v>182.8</v>
      </c>
      <c r="BY150" s="762">
        <f t="shared" si="374"/>
        <v>1487.9920000000002</v>
      </c>
      <c r="BZ150" s="197">
        <f>'Arable NPV'!$D129</f>
        <v>175.95</v>
      </c>
      <c r="CA150" s="197">
        <f t="shared" si="405"/>
        <v>1663.9420000000002</v>
      </c>
      <c r="CB150" s="197">
        <f>'Arable NPV'!$F129</f>
        <v>574.23049999999989</v>
      </c>
      <c r="CC150" s="197">
        <f>'Arable NPV'!$G129</f>
        <v>636.366536</v>
      </c>
      <c r="CD150" s="197">
        <f t="shared" si="375"/>
        <v>1210.5970359999999</v>
      </c>
      <c r="CE150" s="197">
        <f t="shared" si="376"/>
        <v>277.3949640000003</v>
      </c>
      <c r="CF150" s="197">
        <f t="shared" si="377"/>
        <v>453.34496400000035</v>
      </c>
      <c r="CG150" s="196">
        <f t="shared" si="378"/>
        <v>590.90209595516592</v>
      </c>
      <c r="CH150" s="197">
        <f t="shared" si="379"/>
        <v>69.872165833762153</v>
      </c>
      <c r="CI150" s="197">
        <f t="shared" si="380"/>
        <v>480.74473917165636</v>
      </c>
      <c r="CJ150" s="197">
        <f t="shared" si="381"/>
        <v>110.15735678350956</v>
      </c>
      <c r="CK150" s="197">
        <f t="shared" si="382"/>
        <v>180.02952261727174</v>
      </c>
      <c r="CL150" s="196">
        <f t="shared" si="383"/>
        <v>12701.615800560423</v>
      </c>
      <c r="CM150" s="197">
        <f t="shared" si="384"/>
        <v>1501.922927077972</v>
      </c>
      <c r="CN150" s="197">
        <f t="shared" si="385"/>
        <v>10333.750746354288</v>
      </c>
      <c r="CO150" s="197">
        <f t="shared" si="386"/>
        <v>2367.8650542061332</v>
      </c>
      <c r="CP150" s="199">
        <f t="shared" si="387"/>
        <v>3869.7879812841061</v>
      </c>
      <c r="CT150" s="900">
        <v>13</v>
      </c>
      <c r="CU150" s="911">
        <f>'Arable Inputs'!$H$18</f>
        <v>8.14</v>
      </c>
      <c r="CV150" s="760">
        <f>'Arable Inputs'!$H$25</f>
        <v>182.8</v>
      </c>
      <c r="CW150" s="762">
        <f t="shared" si="388"/>
        <v>1487.9920000000002</v>
      </c>
      <c r="CX150" s="197">
        <f>'Arable NPV'!$D129</f>
        <v>175.95</v>
      </c>
      <c r="CY150" s="197">
        <f t="shared" si="406"/>
        <v>1663.9420000000002</v>
      </c>
      <c r="CZ150" s="197">
        <f>'Arable NPV'!$F129</f>
        <v>574.23049999999989</v>
      </c>
      <c r="DA150" s="197">
        <f>'Arable NPV'!$G129</f>
        <v>636.366536</v>
      </c>
      <c r="DB150" s="197">
        <f t="shared" si="389"/>
        <v>1210.5970359999999</v>
      </c>
      <c r="DC150" s="197">
        <f t="shared" si="390"/>
        <v>277.3949640000003</v>
      </c>
      <c r="DD150" s="197">
        <f t="shared" si="391"/>
        <v>453.34496400000035</v>
      </c>
      <c r="DE150" s="196">
        <f t="shared" si="392"/>
        <v>1487.9920000000002</v>
      </c>
      <c r="DF150" s="197">
        <f t="shared" si="393"/>
        <v>175.95</v>
      </c>
      <c r="DG150" s="197">
        <f t="shared" si="394"/>
        <v>1210.5970359999999</v>
      </c>
      <c r="DH150" s="197">
        <f t="shared" si="395"/>
        <v>277.3949640000003</v>
      </c>
      <c r="DI150" s="197">
        <f t="shared" si="396"/>
        <v>453.34496400000035</v>
      </c>
      <c r="DJ150" s="196">
        <f t="shared" si="397"/>
        <v>19343.896000000001</v>
      </c>
      <c r="DK150" s="197">
        <f t="shared" si="398"/>
        <v>2287.35</v>
      </c>
      <c r="DL150" s="197">
        <f t="shared" si="399"/>
        <v>15737.761467999995</v>
      </c>
      <c r="DM150" s="197">
        <f t="shared" si="400"/>
        <v>3606.1345320000028</v>
      </c>
      <c r="DN150" s="199">
        <f t="shared" si="401"/>
        <v>5893.484532000004</v>
      </c>
    </row>
    <row r="151" spans="2:118" x14ac:dyDescent="0.3">
      <c r="B151" s="900">
        <v>14</v>
      </c>
      <c r="C151" s="911">
        <f>'Arable Inputs'!$H$18</f>
        <v>8.14</v>
      </c>
      <c r="D151" s="760">
        <f>'Arable Inputs'!$H$25</f>
        <v>182.8</v>
      </c>
      <c r="E151" s="762">
        <f t="shared" si="336"/>
        <v>1487.9920000000002</v>
      </c>
      <c r="F151" s="197">
        <f>'Arable NPV'!$D130</f>
        <v>175.95</v>
      </c>
      <c r="G151" s="197">
        <f t="shared" si="402"/>
        <v>1663.9420000000002</v>
      </c>
      <c r="H151" s="197">
        <f>'Arable NPV'!$F130</f>
        <v>574.23049999999989</v>
      </c>
      <c r="I151" s="197">
        <f>'Arable NPV'!$G130</f>
        <v>636.366536</v>
      </c>
      <c r="J151" s="197">
        <f t="shared" si="337"/>
        <v>1210.5970359999999</v>
      </c>
      <c r="K151" s="197">
        <f t="shared" si="338"/>
        <v>277.3949640000003</v>
      </c>
      <c r="L151" s="197">
        <f t="shared" si="339"/>
        <v>453.34496400000035</v>
      </c>
      <c r="M151" s="196">
        <f t="shared" si="340"/>
        <v>893.64943557571189</v>
      </c>
      <c r="N151" s="197">
        <f t="shared" si="341"/>
        <v>105.67101045539658</v>
      </c>
      <c r="O151" s="197">
        <f t="shared" si="342"/>
        <v>727.0532085730498</v>
      </c>
      <c r="P151" s="197">
        <f t="shared" si="343"/>
        <v>166.59622700266209</v>
      </c>
      <c r="Q151" s="197">
        <f t="shared" si="344"/>
        <v>272.26723745805873</v>
      </c>
      <c r="R151" s="196">
        <f t="shared" si="345"/>
        <v>16346.556110607187</v>
      </c>
      <c r="S151" s="197">
        <f t="shared" si="345"/>
        <v>1932.9247386150832</v>
      </c>
      <c r="T151" s="197">
        <f t="shared" si="345"/>
        <v>13299.192721673737</v>
      </c>
      <c r="U151" s="197">
        <f t="shared" si="345"/>
        <v>3047.3633889334524</v>
      </c>
      <c r="V151" s="199">
        <f t="shared" si="345"/>
        <v>4980.2881275485352</v>
      </c>
      <c r="Z151" s="900">
        <v>14</v>
      </c>
      <c r="AA151" s="911">
        <f>'Arable Inputs'!$H$18</f>
        <v>8.14</v>
      </c>
      <c r="AB151" s="760">
        <f>'Arable Inputs'!$H$25</f>
        <v>182.8</v>
      </c>
      <c r="AC151" s="762">
        <f t="shared" si="346"/>
        <v>1487.9920000000002</v>
      </c>
      <c r="AD151" s="197">
        <f>'Arable NPV'!$D130</f>
        <v>175.95</v>
      </c>
      <c r="AE151" s="197">
        <f t="shared" si="403"/>
        <v>1663.9420000000002</v>
      </c>
      <c r="AF151" s="197">
        <f>'Arable NPV'!$F130</f>
        <v>574.23049999999989</v>
      </c>
      <c r="AG151" s="197">
        <f>'Arable NPV'!$G130</f>
        <v>636.366536</v>
      </c>
      <c r="AH151" s="197">
        <f t="shared" si="347"/>
        <v>1210.5970359999999</v>
      </c>
      <c r="AI151" s="197">
        <f t="shared" si="348"/>
        <v>277.3949640000003</v>
      </c>
      <c r="AJ151" s="197">
        <f t="shared" si="349"/>
        <v>453.34496400000035</v>
      </c>
      <c r="AK151" s="196">
        <f t="shared" si="350"/>
        <v>697.62871438459263</v>
      </c>
      <c r="AL151" s="197">
        <f t="shared" si="351"/>
        <v>82.492225963559648</v>
      </c>
      <c r="AM151" s="197">
        <f t="shared" si="352"/>
        <v>567.57513068785192</v>
      </c>
      <c r="AN151" s="197">
        <f t="shared" si="353"/>
        <v>130.05358369674067</v>
      </c>
      <c r="AO151" s="199">
        <f t="shared" si="354"/>
        <v>212.54580966030034</v>
      </c>
      <c r="AP151" s="196">
        <f t="shared" si="355"/>
        <v>14660.713426923447</v>
      </c>
      <c r="AQ151" s="197">
        <f t="shared" si="356"/>
        <v>1733.5795672740041</v>
      </c>
      <c r="AR151" s="197">
        <f t="shared" si="357"/>
        <v>11927.628791202455</v>
      </c>
      <c r="AS151" s="197">
        <f t="shared" si="358"/>
        <v>2733.0846357209916</v>
      </c>
      <c r="AT151" s="199">
        <f t="shared" si="359"/>
        <v>4466.6642029949962</v>
      </c>
      <c r="AX151" s="900">
        <v>14</v>
      </c>
      <c r="AY151" s="911">
        <f>'Arable Inputs'!$H$18</f>
        <v>8.14</v>
      </c>
      <c r="AZ151" s="760">
        <f>'Arable Inputs'!$H$25</f>
        <v>182.8</v>
      </c>
      <c r="BA151" s="762">
        <f t="shared" si="360"/>
        <v>1487.9920000000002</v>
      </c>
      <c r="BB151" s="197">
        <f>'Arable NPV'!$D130</f>
        <v>175.95</v>
      </c>
      <c r="BC151" s="197">
        <f t="shared" si="404"/>
        <v>1663.9420000000002</v>
      </c>
      <c r="BD151" s="197">
        <f>'Arable NPV'!$F130</f>
        <v>574.23049999999989</v>
      </c>
      <c r="BE151" s="197">
        <f>'Arable NPV'!$G130</f>
        <v>636.366536</v>
      </c>
      <c r="BF151" s="197">
        <f t="shared" si="361"/>
        <v>1210.5970359999999</v>
      </c>
      <c r="BG151" s="197">
        <f t="shared" si="362"/>
        <v>277.3949640000003</v>
      </c>
      <c r="BH151" s="197">
        <f t="shared" si="363"/>
        <v>453.34496400000035</v>
      </c>
      <c r="BI151" s="196">
        <f t="shared" si="364"/>
        <v>1150.2662130589219</v>
      </c>
      <c r="BJ151" s="197">
        <f t="shared" si="365"/>
        <v>136.01507278783572</v>
      </c>
      <c r="BK151" s="197">
        <f t="shared" si="366"/>
        <v>935.83088359351052</v>
      </c>
      <c r="BL151" s="197">
        <f t="shared" si="367"/>
        <v>214.43532946541129</v>
      </c>
      <c r="BM151" s="199">
        <f t="shared" si="368"/>
        <v>350.45040225324703</v>
      </c>
      <c r="BN151" s="196">
        <f t="shared" si="369"/>
        <v>18374.281347053926</v>
      </c>
      <c r="BO151" s="197">
        <f t="shared" si="370"/>
        <v>2172.696360608214</v>
      </c>
      <c r="BP151" s="197">
        <f t="shared" si="371"/>
        <v>14948.904656324472</v>
      </c>
      <c r="BQ151" s="197">
        <f t="shared" si="372"/>
        <v>3425.3766907294516</v>
      </c>
      <c r="BR151" s="199">
        <f t="shared" si="373"/>
        <v>5598.0730513376675</v>
      </c>
      <c r="BV151" s="900">
        <v>14</v>
      </c>
      <c r="BW151" s="911">
        <f>'Arable Inputs'!$H$18</f>
        <v>8.14</v>
      </c>
      <c r="BX151" s="760">
        <f>'Arable Inputs'!$H$25</f>
        <v>182.8</v>
      </c>
      <c r="BY151" s="762">
        <f t="shared" si="374"/>
        <v>1487.9920000000002</v>
      </c>
      <c r="BZ151" s="197">
        <f>'Arable NPV'!$D130</f>
        <v>175.95</v>
      </c>
      <c r="CA151" s="197">
        <f t="shared" si="405"/>
        <v>1663.9420000000002</v>
      </c>
      <c r="CB151" s="197">
        <f>'Arable NPV'!$F130</f>
        <v>574.23049999999989</v>
      </c>
      <c r="CC151" s="197">
        <f>'Arable NPV'!$G130</f>
        <v>636.366536</v>
      </c>
      <c r="CD151" s="197">
        <f t="shared" si="375"/>
        <v>1210.5970359999999</v>
      </c>
      <c r="CE151" s="197">
        <f t="shared" si="376"/>
        <v>277.3949640000003</v>
      </c>
      <c r="CF151" s="197">
        <f t="shared" si="377"/>
        <v>453.34496400000035</v>
      </c>
      <c r="CG151" s="196">
        <f t="shared" si="378"/>
        <v>547.13157032885738</v>
      </c>
      <c r="CH151" s="197">
        <f t="shared" si="379"/>
        <v>64.696449846076078</v>
      </c>
      <c r="CI151" s="197">
        <f t="shared" si="380"/>
        <v>445.13401775153369</v>
      </c>
      <c r="CJ151" s="197">
        <f t="shared" si="381"/>
        <v>101.99755257732366</v>
      </c>
      <c r="CK151" s="197">
        <f t="shared" si="382"/>
        <v>166.69400242339975</v>
      </c>
      <c r="CL151" s="196">
        <f t="shared" si="383"/>
        <v>13248.747370889279</v>
      </c>
      <c r="CM151" s="197">
        <f t="shared" si="384"/>
        <v>1566.6193769240481</v>
      </c>
      <c r="CN151" s="197">
        <f t="shared" si="385"/>
        <v>10778.884764105822</v>
      </c>
      <c r="CO151" s="197">
        <f t="shared" si="386"/>
        <v>2469.8626067834571</v>
      </c>
      <c r="CP151" s="199">
        <f t="shared" si="387"/>
        <v>4036.4819837075056</v>
      </c>
      <c r="CT151" s="900">
        <v>14</v>
      </c>
      <c r="CU151" s="911">
        <f>'Arable Inputs'!$H$18</f>
        <v>8.14</v>
      </c>
      <c r="CV151" s="760">
        <f>'Arable Inputs'!$H$25</f>
        <v>182.8</v>
      </c>
      <c r="CW151" s="762">
        <f t="shared" si="388"/>
        <v>1487.9920000000002</v>
      </c>
      <c r="CX151" s="197">
        <f>'Arable NPV'!$D130</f>
        <v>175.95</v>
      </c>
      <c r="CY151" s="197">
        <f t="shared" si="406"/>
        <v>1663.9420000000002</v>
      </c>
      <c r="CZ151" s="197">
        <f>'Arable NPV'!$F130</f>
        <v>574.23049999999989</v>
      </c>
      <c r="DA151" s="197">
        <f>'Arable NPV'!$G130</f>
        <v>636.366536</v>
      </c>
      <c r="DB151" s="197">
        <f t="shared" si="389"/>
        <v>1210.5970359999999</v>
      </c>
      <c r="DC151" s="197">
        <f t="shared" si="390"/>
        <v>277.3949640000003</v>
      </c>
      <c r="DD151" s="197">
        <f t="shared" si="391"/>
        <v>453.34496400000035</v>
      </c>
      <c r="DE151" s="196">
        <f t="shared" si="392"/>
        <v>1487.9920000000002</v>
      </c>
      <c r="DF151" s="197">
        <f t="shared" si="393"/>
        <v>175.95</v>
      </c>
      <c r="DG151" s="197">
        <f t="shared" si="394"/>
        <v>1210.5970359999999</v>
      </c>
      <c r="DH151" s="197">
        <f t="shared" si="395"/>
        <v>277.3949640000003</v>
      </c>
      <c r="DI151" s="197">
        <f t="shared" si="396"/>
        <v>453.34496400000035</v>
      </c>
      <c r="DJ151" s="196">
        <f t="shared" si="397"/>
        <v>20831.887999999999</v>
      </c>
      <c r="DK151" s="197">
        <f t="shared" si="398"/>
        <v>2463.2999999999997</v>
      </c>
      <c r="DL151" s="197">
        <f t="shared" si="399"/>
        <v>16948.358503999996</v>
      </c>
      <c r="DM151" s="197">
        <f t="shared" si="400"/>
        <v>3883.5294960000028</v>
      </c>
      <c r="DN151" s="199">
        <f t="shared" si="401"/>
        <v>6346.8294960000039</v>
      </c>
    </row>
    <row r="152" spans="2:118" x14ac:dyDescent="0.3">
      <c r="B152" s="900">
        <v>15</v>
      </c>
      <c r="C152" s="911">
        <f>'Arable Inputs'!$H$18</f>
        <v>8.14</v>
      </c>
      <c r="D152" s="760">
        <f>'Arable Inputs'!$H$25</f>
        <v>182.8</v>
      </c>
      <c r="E152" s="762">
        <f t="shared" si="336"/>
        <v>1487.9920000000002</v>
      </c>
      <c r="F152" s="197">
        <f>'Arable NPV'!$D131</f>
        <v>175.95</v>
      </c>
      <c r="G152" s="197">
        <f t="shared" si="402"/>
        <v>1663.9420000000002</v>
      </c>
      <c r="H152" s="197">
        <f>'Arable NPV'!$F131</f>
        <v>574.23049999999989</v>
      </c>
      <c r="I152" s="197">
        <f>'Arable NPV'!$G131</f>
        <v>636.366536</v>
      </c>
      <c r="J152" s="197">
        <f t="shared" si="337"/>
        <v>1210.5970359999999</v>
      </c>
      <c r="K152" s="197">
        <f t="shared" si="338"/>
        <v>277.3949640000003</v>
      </c>
      <c r="L152" s="197">
        <f t="shared" si="339"/>
        <v>453.34496400000035</v>
      </c>
      <c r="M152" s="196">
        <f t="shared" si="340"/>
        <v>859.27830343818448</v>
      </c>
      <c r="N152" s="197">
        <f t="shared" si="341"/>
        <v>101.60674082249672</v>
      </c>
      <c r="O152" s="197">
        <f t="shared" si="342"/>
        <v>699.0896236279325</v>
      </c>
      <c r="P152" s="197">
        <f t="shared" si="343"/>
        <v>160.18867981025201</v>
      </c>
      <c r="Q152" s="197">
        <f t="shared" si="344"/>
        <v>261.79542063274874</v>
      </c>
      <c r="R152" s="196">
        <f t="shared" si="345"/>
        <v>17205.83441404537</v>
      </c>
      <c r="S152" s="197">
        <f t="shared" si="345"/>
        <v>2034.5314794375799</v>
      </c>
      <c r="T152" s="197">
        <f t="shared" si="345"/>
        <v>13998.28234530167</v>
      </c>
      <c r="U152" s="197">
        <f t="shared" si="345"/>
        <v>3207.5520687437042</v>
      </c>
      <c r="V152" s="199">
        <f t="shared" si="345"/>
        <v>5242.0835481812837</v>
      </c>
      <c r="Z152" s="900">
        <v>15</v>
      </c>
      <c r="AA152" s="911">
        <f>'Arable Inputs'!$H$18</f>
        <v>8.14</v>
      </c>
      <c r="AB152" s="760">
        <f>'Arable Inputs'!$H$25</f>
        <v>182.8</v>
      </c>
      <c r="AC152" s="762">
        <f t="shared" si="346"/>
        <v>1487.9920000000002</v>
      </c>
      <c r="AD152" s="197">
        <f>'Arable NPV'!$D131</f>
        <v>175.95</v>
      </c>
      <c r="AE152" s="197">
        <f t="shared" si="403"/>
        <v>1663.9420000000002</v>
      </c>
      <c r="AF152" s="197">
        <f>'Arable NPV'!$F131</f>
        <v>574.23049999999989</v>
      </c>
      <c r="AG152" s="197">
        <f>'Arable NPV'!$G131</f>
        <v>636.366536</v>
      </c>
      <c r="AH152" s="197">
        <f t="shared" si="347"/>
        <v>1210.5970359999999</v>
      </c>
      <c r="AI152" s="197">
        <f t="shared" si="348"/>
        <v>277.3949640000003</v>
      </c>
      <c r="AJ152" s="197">
        <f t="shared" si="349"/>
        <v>453.34496400000035</v>
      </c>
      <c r="AK152" s="196">
        <f t="shared" si="350"/>
        <v>658.14029658923835</v>
      </c>
      <c r="AL152" s="197">
        <f t="shared" si="351"/>
        <v>77.822854682603449</v>
      </c>
      <c r="AM152" s="197">
        <f t="shared" si="352"/>
        <v>535.44823649797354</v>
      </c>
      <c r="AN152" s="197">
        <f t="shared" si="353"/>
        <v>122.69206009126478</v>
      </c>
      <c r="AO152" s="199">
        <f t="shared" si="354"/>
        <v>200.51491477386824</v>
      </c>
      <c r="AP152" s="196">
        <f t="shared" si="355"/>
        <v>15318.853723512684</v>
      </c>
      <c r="AQ152" s="197">
        <f t="shared" si="356"/>
        <v>1811.4024219566077</v>
      </c>
      <c r="AR152" s="197">
        <f t="shared" si="357"/>
        <v>12463.077027700429</v>
      </c>
      <c r="AS152" s="197">
        <f t="shared" si="358"/>
        <v>2855.7766958122565</v>
      </c>
      <c r="AT152" s="199">
        <f t="shared" si="359"/>
        <v>4667.1791177688647</v>
      </c>
      <c r="AX152" s="900">
        <v>15</v>
      </c>
      <c r="AY152" s="911">
        <f>'Arable Inputs'!$H$18</f>
        <v>8.14</v>
      </c>
      <c r="AZ152" s="760">
        <f>'Arable Inputs'!$H$25</f>
        <v>182.8</v>
      </c>
      <c r="BA152" s="762">
        <f t="shared" si="360"/>
        <v>1487.9920000000002</v>
      </c>
      <c r="BB152" s="197">
        <f>'Arable NPV'!$D131</f>
        <v>175.95</v>
      </c>
      <c r="BC152" s="197">
        <f t="shared" si="404"/>
        <v>1663.9420000000002</v>
      </c>
      <c r="BD152" s="197">
        <f>'Arable NPV'!$F131</f>
        <v>574.23049999999989</v>
      </c>
      <c r="BE152" s="197">
        <f>'Arable NPV'!$G131</f>
        <v>636.366536</v>
      </c>
      <c r="BF152" s="197">
        <f t="shared" si="361"/>
        <v>1210.5970359999999</v>
      </c>
      <c r="BG152" s="197">
        <f t="shared" si="362"/>
        <v>277.3949640000003</v>
      </c>
      <c r="BH152" s="197">
        <f t="shared" si="363"/>
        <v>453.34496400000035</v>
      </c>
      <c r="BI152" s="196">
        <f t="shared" si="364"/>
        <v>1127.7119735871781</v>
      </c>
      <c r="BJ152" s="197">
        <f t="shared" si="365"/>
        <v>133.34811057630952</v>
      </c>
      <c r="BK152" s="197">
        <f t="shared" si="366"/>
        <v>917.48125842501031</v>
      </c>
      <c r="BL152" s="197">
        <f t="shared" si="367"/>
        <v>210.23071516216791</v>
      </c>
      <c r="BM152" s="199">
        <f t="shared" si="368"/>
        <v>343.57882573847746</v>
      </c>
      <c r="BN152" s="196">
        <f t="shared" si="369"/>
        <v>19501.993320641104</v>
      </c>
      <c r="BO152" s="197">
        <f t="shared" si="370"/>
        <v>2306.0444711845234</v>
      </c>
      <c r="BP152" s="197">
        <f t="shared" si="371"/>
        <v>15866.385914749482</v>
      </c>
      <c r="BQ152" s="197">
        <f t="shared" si="372"/>
        <v>3635.6074058916197</v>
      </c>
      <c r="BR152" s="199">
        <f t="shared" si="373"/>
        <v>5941.651877076145</v>
      </c>
      <c r="BV152" s="900">
        <v>15</v>
      </c>
      <c r="BW152" s="911">
        <f>'Arable Inputs'!$H$18</f>
        <v>8.14</v>
      </c>
      <c r="BX152" s="760">
        <f>'Arable Inputs'!$H$25</f>
        <v>182.8</v>
      </c>
      <c r="BY152" s="762">
        <f t="shared" si="374"/>
        <v>1487.9920000000002</v>
      </c>
      <c r="BZ152" s="197">
        <f>'Arable NPV'!$D131</f>
        <v>175.95</v>
      </c>
      <c r="CA152" s="197">
        <f t="shared" si="405"/>
        <v>1663.9420000000002</v>
      </c>
      <c r="CB152" s="197">
        <f>'Arable NPV'!$F131</f>
        <v>574.23049999999989</v>
      </c>
      <c r="CC152" s="197">
        <f>'Arable NPV'!$G131</f>
        <v>636.366536</v>
      </c>
      <c r="CD152" s="197">
        <f t="shared" si="375"/>
        <v>1210.5970359999999</v>
      </c>
      <c r="CE152" s="197">
        <f t="shared" si="376"/>
        <v>277.3949640000003</v>
      </c>
      <c r="CF152" s="197">
        <f t="shared" si="377"/>
        <v>453.34496400000035</v>
      </c>
      <c r="CG152" s="196">
        <f t="shared" si="378"/>
        <v>506.60330586005301</v>
      </c>
      <c r="CH152" s="197">
        <f t="shared" si="379"/>
        <v>59.904120227848203</v>
      </c>
      <c r="CI152" s="197">
        <f t="shared" si="380"/>
        <v>412.16112754771626</v>
      </c>
      <c r="CJ152" s="197">
        <f t="shared" si="381"/>
        <v>94.442178312336708</v>
      </c>
      <c r="CK152" s="197">
        <f t="shared" si="382"/>
        <v>154.34629854018493</v>
      </c>
      <c r="CL152" s="196">
        <f t="shared" si="383"/>
        <v>13755.350676749333</v>
      </c>
      <c r="CM152" s="197">
        <f t="shared" si="384"/>
        <v>1626.5234971518962</v>
      </c>
      <c r="CN152" s="197">
        <f t="shared" si="385"/>
        <v>11191.045891653539</v>
      </c>
      <c r="CO152" s="197">
        <f t="shared" si="386"/>
        <v>2564.3047850957937</v>
      </c>
      <c r="CP152" s="199">
        <f t="shared" si="387"/>
        <v>4190.8282822476904</v>
      </c>
      <c r="CT152" s="900">
        <v>15</v>
      </c>
      <c r="CU152" s="911">
        <f>'Arable Inputs'!$H$18</f>
        <v>8.14</v>
      </c>
      <c r="CV152" s="760">
        <f>'Arable Inputs'!$H$25</f>
        <v>182.8</v>
      </c>
      <c r="CW152" s="762">
        <f t="shared" si="388"/>
        <v>1487.9920000000002</v>
      </c>
      <c r="CX152" s="197">
        <f>'Arable NPV'!$D131</f>
        <v>175.95</v>
      </c>
      <c r="CY152" s="197">
        <f t="shared" si="406"/>
        <v>1663.9420000000002</v>
      </c>
      <c r="CZ152" s="197">
        <f>'Arable NPV'!$F131</f>
        <v>574.23049999999989</v>
      </c>
      <c r="DA152" s="197">
        <f>'Arable NPV'!$G131</f>
        <v>636.366536</v>
      </c>
      <c r="DB152" s="197">
        <f t="shared" si="389"/>
        <v>1210.5970359999999</v>
      </c>
      <c r="DC152" s="197">
        <f t="shared" si="390"/>
        <v>277.3949640000003</v>
      </c>
      <c r="DD152" s="197">
        <f t="shared" si="391"/>
        <v>453.34496400000035</v>
      </c>
      <c r="DE152" s="196">
        <f t="shared" si="392"/>
        <v>1487.9920000000002</v>
      </c>
      <c r="DF152" s="197">
        <f t="shared" si="393"/>
        <v>175.95</v>
      </c>
      <c r="DG152" s="197">
        <f t="shared" si="394"/>
        <v>1210.5970359999999</v>
      </c>
      <c r="DH152" s="197">
        <f t="shared" si="395"/>
        <v>277.3949640000003</v>
      </c>
      <c r="DI152" s="197">
        <f t="shared" si="396"/>
        <v>453.34496400000035</v>
      </c>
      <c r="DJ152" s="196">
        <f t="shared" si="397"/>
        <v>22319.879999999997</v>
      </c>
      <c r="DK152" s="197">
        <f t="shared" si="398"/>
        <v>2639.2499999999995</v>
      </c>
      <c r="DL152" s="197">
        <f t="shared" si="399"/>
        <v>18158.955539999995</v>
      </c>
      <c r="DM152" s="197">
        <f t="shared" si="400"/>
        <v>4160.9244600000029</v>
      </c>
      <c r="DN152" s="199">
        <f t="shared" si="401"/>
        <v>6800.1744600000038</v>
      </c>
    </row>
    <row r="153" spans="2:118" x14ac:dyDescent="0.3">
      <c r="B153" s="901">
        <v>16</v>
      </c>
      <c r="C153" s="912">
        <f>'Arable Inputs'!$H$18</f>
        <v>8.14</v>
      </c>
      <c r="D153" s="761">
        <f>'Arable Inputs'!$H$25</f>
        <v>182.8</v>
      </c>
      <c r="E153" s="207">
        <f t="shared" si="336"/>
        <v>1487.9920000000002</v>
      </c>
      <c r="F153" s="207">
        <f>'Arable NPV'!$D132</f>
        <v>175.95</v>
      </c>
      <c r="G153" s="207">
        <f>E153+F153</f>
        <v>1663.9420000000002</v>
      </c>
      <c r="H153" s="207">
        <f>'Arable NPV'!$F132</f>
        <v>574.23049999999989</v>
      </c>
      <c r="I153" s="207">
        <f>'Arable NPV'!$G132</f>
        <v>636.366536</v>
      </c>
      <c r="J153" s="207">
        <f t="shared" si="337"/>
        <v>1210.5970359999999</v>
      </c>
      <c r="K153" s="207">
        <f t="shared" si="338"/>
        <v>277.3949640000003</v>
      </c>
      <c r="L153" s="207">
        <f t="shared" si="339"/>
        <v>453.34496400000035</v>
      </c>
      <c r="M153" s="208">
        <f t="shared" si="340"/>
        <v>826.22913792133136</v>
      </c>
      <c r="N153" s="207">
        <f t="shared" si="341"/>
        <v>97.698789252400701</v>
      </c>
      <c r="O153" s="207">
        <f>J153/(1+$B$4)^(B153-1)</f>
        <v>672.2015611807044</v>
      </c>
      <c r="P153" s="207">
        <f>K153/(1+$B$4)^(B153-1)</f>
        <v>154.02757674062693</v>
      </c>
      <c r="Q153" s="209">
        <f>L153/(1+$B$4)^(B153-1)</f>
        <v>251.72636599302766</v>
      </c>
      <c r="R153" s="208">
        <f t="shared" si="345"/>
        <v>18032.063551966701</v>
      </c>
      <c r="S153" s="207">
        <f t="shared" si="345"/>
        <v>2132.2302686899807</v>
      </c>
      <c r="T153" s="207">
        <f t="shared" si="345"/>
        <v>14670.483906482374</v>
      </c>
      <c r="U153" s="207">
        <f t="shared" si="345"/>
        <v>3361.5796454843312</v>
      </c>
      <c r="V153" s="209">
        <f t="shared" si="345"/>
        <v>5493.8099141743114</v>
      </c>
      <c r="Z153" s="901">
        <v>16</v>
      </c>
      <c r="AA153" s="912">
        <f>'Arable Inputs'!$H$18</f>
        <v>8.14</v>
      </c>
      <c r="AB153" s="761">
        <f>'Arable Inputs'!$H$25</f>
        <v>182.8</v>
      </c>
      <c r="AC153" s="207">
        <f t="shared" si="346"/>
        <v>1487.9920000000002</v>
      </c>
      <c r="AD153" s="207">
        <f>'Arable NPV'!$D132</f>
        <v>175.95</v>
      </c>
      <c r="AE153" s="207">
        <f>AC153+AD153</f>
        <v>1663.9420000000002</v>
      </c>
      <c r="AF153" s="207">
        <f>'Arable NPV'!$F132</f>
        <v>574.23049999999989</v>
      </c>
      <c r="AG153" s="207">
        <f>'Arable NPV'!$G132</f>
        <v>636.366536</v>
      </c>
      <c r="AH153" s="207">
        <f t="shared" si="347"/>
        <v>1210.5970359999999</v>
      </c>
      <c r="AI153" s="207">
        <f t="shared" si="348"/>
        <v>277.3949640000003</v>
      </c>
      <c r="AJ153" s="207">
        <f t="shared" si="349"/>
        <v>453.34496400000035</v>
      </c>
      <c r="AK153" s="208">
        <f t="shared" si="350"/>
        <v>620.88707225399821</v>
      </c>
      <c r="AL153" s="207">
        <f t="shared" si="351"/>
        <v>73.417787436418322</v>
      </c>
      <c r="AM153" s="207">
        <f t="shared" si="352"/>
        <v>505.13984575280506</v>
      </c>
      <c r="AN153" s="207">
        <f t="shared" si="353"/>
        <v>115.74722650119315</v>
      </c>
      <c r="AO153" s="209">
        <f t="shared" si="354"/>
        <v>189.16501393761149</v>
      </c>
      <c r="AP153" s="208">
        <f t="shared" si="355"/>
        <v>15939.740795766682</v>
      </c>
      <c r="AQ153" s="207">
        <f t="shared" si="356"/>
        <v>1884.8202093930261</v>
      </c>
      <c r="AR153" s="207">
        <f t="shared" si="357"/>
        <v>12968.216873453233</v>
      </c>
      <c r="AS153" s="207">
        <f t="shared" si="358"/>
        <v>2971.5239223134495</v>
      </c>
      <c r="AT153" s="209">
        <f t="shared" si="359"/>
        <v>4856.3441317064762</v>
      </c>
      <c r="AX153" s="901">
        <v>16</v>
      </c>
      <c r="AY153" s="912">
        <f>'Arable Inputs'!$H$18</f>
        <v>8.14</v>
      </c>
      <c r="AZ153" s="761">
        <f>'Arable Inputs'!$H$25</f>
        <v>182.8</v>
      </c>
      <c r="BA153" s="207">
        <f t="shared" si="360"/>
        <v>1487.9920000000002</v>
      </c>
      <c r="BB153" s="207">
        <f>'Arable NPV'!$D132</f>
        <v>175.95</v>
      </c>
      <c r="BC153" s="207">
        <f>BA153+BB153</f>
        <v>1663.9420000000002</v>
      </c>
      <c r="BD153" s="207">
        <f>'Arable NPV'!$F132</f>
        <v>574.23049999999989</v>
      </c>
      <c r="BE153" s="207">
        <f>'Arable NPV'!$G132</f>
        <v>636.366536</v>
      </c>
      <c r="BF153" s="207">
        <f t="shared" si="361"/>
        <v>1210.5970359999999</v>
      </c>
      <c r="BG153" s="207">
        <f t="shared" si="362"/>
        <v>277.3949640000003</v>
      </c>
      <c r="BH153" s="207">
        <f t="shared" si="363"/>
        <v>453.34496400000035</v>
      </c>
      <c r="BI153" s="208">
        <f t="shared" si="364"/>
        <v>1105.5999741050769</v>
      </c>
      <c r="BJ153" s="207">
        <f t="shared" si="365"/>
        <v>130.73344174147996</v>
      </c>
      <c r="BK153" s="207">
        <f t="shared" si="366"/>
        <v>899.49142982844171</v>
      </c>
      <c r="BL153" s="207">
        <f t="shared" si="367"/>
        <v>206.10854427663526</v>
      </c>
      <c r="BM153" s="209">
        <f t="shared" si="368"/>
        <v>336.84198601811528</v>
      </c>
      <c r="BN153" s="208">
        <f t="shared" si="369"/>
        <v>20607.593294746181</v>
      </c>
      <c r="BO153" s="207">
        <f t="shared" si="370"/>
        <v>2436.7779129260034</v>
      </c>
      <c r="BP153" s="207">
        <f t="shared" si="371"/>
        <v>16765.877344577922</v>
      </c>
      <c r="BQ153" s="207">
        <f t="shared" si="372"/>
        <v>3841.7159501682549</v>
      </c>
      <c r="BR153" s="209">
        <f t="shared" si="373"/>
        <v>6278.4938630942606</v>
      </c>
      <c r="BV153" s="901">
        <v>16</v>
      </c>
      <c r="BW153" s="912">
        <f>'Arable Inputs'!$H$18</f>
        <v>8.14</v>
      </c>
      <c r="BX153" s="761">
        <f>'Arable Inputs'!$H$25</f>
        <v>182.8</v>
      </c>
      <c r="BY153" s="207">
        <f t="shared" si="374"/>
        <v>1487.9920000000002</v>
      </c>
      <c r="BZ153" s="207">
        <f>'Arable NPV'!$D132</f>
        <v>175.95</v>
      </c>
      <c r="CA153" s="207">
        <f>BY153+BZ153</f>
        <v>1663.9420000000002</v>
      </c>
      <c r="CB153" s="207">
        <f>'Arable NPV'!$F132</f>
        <v>574.23049999999989</v>
      </c>
      <c r="CC153" s="207">
        <f>'Arable NPV'!$G132</f>
        <v>636.366536</v>
      </c>
      <c r="CD153" s="207">
        <f t="shared" si="375"/>
        <v>1210.5970359999999</v>
      </c>
      <c r="CE153" s="207">
        <f t="shared" si="376"/>
        <v>277.3949640000003</v>
      </c>
      <c r="CF153" s="207">
        <f t="shared" si="377"/>
        <v>453.34496400000035</v>
      </c>
      <c r="CG153" s="208">
        <f t="shared" si="378"/>
        <v>469.07713505560457</v>
      </c>
      <c r="CH153" s="207">
        <f t="shared" si="379"/>
        <v>55.466777988748333</v>
      </c>
      <c r="CI153" s="207">
        <f t="shared" si="380"/>
        <v>381.63067365529281</v>
      </c>
      <c r="CJ153" s="207">
        <f t="shared" si="381"/>
        <v>87.446461400311762</v>
      </c>
      <c r="CK153" s="209">
        <f t="shared" si="382"/>
        <v>142.91323938906012</v>
      </c>
      <c r="CL153" s="208">
        <f t="shared" si="383"/>
        <v>14224.427811804937</v>
      </c>
      <c r="CM153" s="207">
        <f t="shared" si="384"/>
        <v>1681.9902751406446</v>
      </c>
      <c r="CN153" s="207">
        <f t="shared" si="385"/>
        <v>11572.676565308831</v>
      </c>
      <c r="CO153" s="207">
        <f t="shared" si="386"/>
        <v>2651.7512464961055</v>
      </c>
      <c r="CP153" s="209">
        <f t="shared" si="387"/>
        <v>4333.7415216367508</v>
      </c>
      <c r="CT153" s="901">
        <v>16</v>
      </c>
      <c r="CU153" s="912">
        <f>'Arable Inputs'!$H$18</f>
        <v>8.14</v>
      </c>
      <c r="CV153" s="761">
        <f>'Arable Inputs'!$H$25</f>
        <v>182.8</v>
      </c>
      <c r="CW153" s="207">
        <f t="shared" si="388"/>
        <v>1487.9920000000002</v>
      </c>
      <c r="CX153" s="207">
        <f>'Arable NPV'!$D132</f>
        <v>175.95</v>
      </c>
      <c r="CY153" s="207">
        <f>CW153+CX153</f>
        <v>1663.9420000000002</v>
      </c>
      <c r="CZ153" s="207">
        <f>'Arable NPV'!$F132</f>
        <v>574.23049999999989</v>
      </c>
      <c r="DA153" s="207">
        <f>'Arable NPV'!$G132</f>
        <v>636.366536</v>
      </c>
      <c r="DB153" s="207">
        <f t="shared" si="389"/>
        <v>1210.5970359999999</v>
      </c>
      <c r="DC153" s="207">
        <f t="shared" si="390"/>
        <v>277.3949640000003</v>
      </c>
      <c r="DD153" s="207">
        <f t="shared" si="391"/>
        <v>453.34496400000035</v>
      </c>
      <c r="DE153" s="208">
        <f t="shared" si="392"/>
        <v>1487.9920000000002</v>
      </c>
      <c r="DF153" s="207">
        <f t="shared" si="393"/>
        <v>175.95</v>
      </c>
      <c r="DG153" s="207">
        <f t="shared" si="394"/>
        <v>1210.5970359999999</v>
      </c>
      <c r="DH153" s="207">
        <f>DC153/(1+$F$4)^(CT153-1)</f>
        <v>277.3949640000003</v>
      </c>
      <c r="DI153" s="209">
        <f t="shared" si="396"/>
        <v>453.34496400000035</v>
      </c>
      <c r="DJ153" s="208">
        <f t="shared" si="397"/>
        <v>23807.871999999996</v>
      </c>
      <c r="DK153" s="207">
        <f t="shared" si="398"/>
        <v>2815.1999999999994</v>
      </c>
      <c r="DL153" s="207">
        <f t="shared" si="399"/>
        <v>19369.552575999995</v>
      </c>
      <c r="DM153" s="207">
        <f t="shared" si="400"/>
        <v>4438.319424000003</v>
      </c>
      <c r="DN153" s="209">
        <f t="shared" si="401"/>
        <v>7253.5194240000037</v>
      </c>
    </row>
    <row r="159" spans="2:118" ht="20" x14ac:dyDescent="0.3">
      <c r="B159" s="273" t="s">
        <v>443</v>
      </c>
      <c r="C159" s="274"/>
      <c r="D159" s="88"/>
      <c r="E159" s="88"/>
      <c r="F159" s="88"/>
      <c r="G159" s="275"/>
      <c r="H159" s="276" t="s">
        <v>319</v>
      </c>
      <c r="I159" s="277" t="s">
        <v>320</v>
      </c>
      <c r="J159" s="277" t="s">
        <v>321</v>
      </c>
      <c r="K159" s="277" t="s">
        <v>322</v>
      </c>
      <c r="L159" s="277" t="s">
        <v>323</v>
      </c>
      <c r="M159" s="276" t="s">
        <v>635</v>
      </c>
      <c r="N159" s="277" t="s">
        <v>636</v>
      </c>
      <c r="O159" s="277" t="s">
        <v>637</v>
      </c>
      <c r="P159" s="277" t="s">
        <v>638</v>
      </c>
      <c r="Q159" s="277" t="s">
        <v>639</v>
      </c>
      <c r="R159" s="276" t="s">
        <v>399</v>
      </c>
      <c r="S159" s="277" t="s">
        <v>400</v>
      </c>
      <c r="T159" s="277" t="s">
        <v>401</v>
      </c>
      <c r="U159" s="277" t="s">
        <v>402</v>
      </c>
      <c r="V159" s="277" t="s">
        <v>403</v>
      </c>
      <c r="W159" s="276" t="s">
        <v>430</v>
      </c>
      <c r="X159" s="277" t="s">
        <v>431</v>
      </c>
      <c r="Y159" s="277" t="s">
        <v>432</v>
      </c>
      <c r="Z159" s="277" t="s">
        <v>433</v>
      </c>
      <c r="AA159" s="277" t="s">
        <v>434</v>
      </c>
      <c r="AB159" s="276" t="s">
        <v>435</v>
      </c>
      <c r="AC159" s="277" t="s">
        <v>436</v>
      </c>
      <c r="AD159" s="277" t="s">
        <v>437</v>
      </c>
      <c r="AE159" s="277" t="s">
        <v>438</v>
      </c>
      <c r="AF159" s="277" t="s">
        <v>439</v>
      </c>
      <c r="AG159" s="276" t="s">
        <v>555</v>
      </c>
      <c r="AH159" s="277" t="s">
        <v>556</v>
      </c>
      <c r="AI159" s="277" t="s">
        <v>557</v>
      </c>
      <c r="AJ159" s="277" t="s">
        <v>558</v>
      </c>
      <c r="AK159" s="277" t="s">
        <v>559</v>
      </c>
    </row>
    <row r="160" spans="2:118" x14ac:dyDescent="0.3">
      <c r="B160" s="278" t="s">
        <v>307</v>
      </c>
      <c r="C160" s="24"/>
      <c r="D160" s="279"/>
      <c r="E160" s="279"/>
      <c r="F160" s="279"/>
      <c r="G160" s="280" t="s">
        <v>599</v>
      </c>
      <c r="H160" s="281">
        <f>S27</f>
        <v>9169.376562936568</v>
      </c>
      <c r="I160" s="281">
        <f>AQ27</f>
        <v>7999.3383680413808</v>
      </c>
      <c r="J160" s="281">
        <f>BO27</f>
        <v>10610.759617572083</v>
      </c>
      <c r="K160" s="281">
        <f>CM27</f>
        <v>7040.9669000125141</v>
      </c>
      <c r="L160" s="281">
        <f>DK27</f>
        <v>12403.032000000005</v>
      </c>
      <c r="M160" s="281">
        <f>S53</f>
        <v>12464.990332449857</v>
      </c>
      <c r="N160" s="281">
        <f>AQ53</f>
        <v>10829.058525186781</v>
      </c>
      <c r="O160" s="107">
        <f>BO53</f>
        <v>14481.310484719685</v>
      </c>
      <c r="P160" s="107">
        <f>CM53</f>
        <v>9489.8059561735536</v>
      </c>
      <c r="Q160" s="107">
        <f>DK53</f>
        <v>16989.600000000002</v>
      </c>
      <c r="R160" s="764">
        <f>U$78</f>
        <v>17377.889788211447</v>
      </c>
      <c r="S160" s="764">
        <f>AU$78</f>
        <v>15416.736765565232</v>
      </c>
      <c r="T160" s="107">
        <f>BU$78</f>
        <v>19791.513225250834</v>
      </c>
      <c r="U160" s="107">
        <f>CU$78</f>
        <v>13808.65043482301</v>
      </c>
      <c r="V160" s="107">
        <f>DU$78</f>
        <v>22790.105000000003</v>
      </c>
      <c r="W160" s="764">
        <f>S$103</f>
        <v>7693.3998121101795</v>
      </c>
      <c r="X160" s="764">
        <f>AQ$103</f>
        <v>6589.5394564394146</v>
      </c>
      <c r="Y160" s="107">
        <f>BO$103</f>
        <v>9068.8828784603138</v>
      </c>
      <c r="Z160" s="107">
        <f>CM$103</f>
        <v>5695.0696050766874</v>
      </c>
      <c r="AA160" s="107">
        <f>DK$103</f>
        <v>10800</v>
      </c>
      <c r="AB160" s="764">
        <f>S$128</f>
        <v>9389.4885796671915</v>
      </c>
      <c r="AC160" s="764">
        <f>AQ$128</f>
        <v>8134.750723830145</v>
      </c>
      <c r="AD160" s="107">
        <f>BO$128</f>
        <v>10936.771403100716</v>
      </c>
      <c r="AE160" s="107">
        <f>CM$128</f>
        <v>7108.1598955327372</v>
      </c>
      <c r="AF160" s="107">
        <f>DK$128</f>
        <v>12862.439999999995</v>
      </c>
      <c r="AG160" s="767">
        <f>R153</f>
        <v>18032.063551966701</v>
      </c>
      <c r="AH160" s="767">
        <f>AP153</f>
        <v>15939.740795766682</v>
      </c>
      <c r="AI160" s="767">
        <f>BN153</f>
        <v>20607.593294746181</v>
      </c>
      <c r="AJ160" s="767">
        <f>CL153</f>
        <v>14224.427811804937</v>
      </c>
      <c r="AK160" s="767">
        <f>DJ153</f>
        <v>23807.871999999996</v>
      </c>
    </row>
    <row r="161" spans="2:37" x14ac:dyDescent="0.3">
      <c r="B161" s="282" t="s">
        <v>683</v>
      </c>
      <c r="C161" s="24"/>
      <c r="D161" s="279"/>
      <c r="E161" s="279"/>
      <c r="F161" s="279"/>
      <c r="G161" s="283" t="s">
        <v>599</v>
      </c>
      <c r="H161" s="281">
        <f>T27</f>
        <v>2132.2302686899807</v>
      </c>
      <c r="I161" s="281">
        <f>AR27</f>
        <v>1884.8202093930261</v>
      </c>
      <c r="J161" s="281">
        <f>BP27</f>
        <v>2436.7779129260034</v>
      </c>
      <c r="K161" s="281">
        <f>CN27</f>
        <v>1681.9902751406446</v>
      </c>
      <c r="L161" s="281">
        <f>DL27</f>
        <v>2815.1999999999994</v>
      </c>
      <c r="M161" s="281">
        <f>T53</f>
        <v>2132.2302686899807</v>
      </c>
      <c r="N161" s="281">
        <f>AR53</f>
        <v>1884.8202093930261</v>
      </c>
      <c r="O161" s="108">
        <f>BP53</f>
        <v>2436.7779129260034</v>
      </c>
      <c r="P161" s="108">
        <f>CN53</f>
        <v>1681.9902751406446</v>
      </c>
      <c r="Q161" s="108">
        <f>DL53</f>
        <v>2815.1999999999994</v>
      </c>
      <c r="R161" s="764">
        <f>V$78</f>
        <v>2132.2302686899807</v>
      </c>
      <c r="S161" s="764">
        <f>AV$78</f>
        <v>1884.8202093930261</v>
      </c>
      <c r="T161" s="108">
        <f>BV$78</f>
        <v>2436.7779129260034</v>
      </c>
      <c r="U161" s="108">
        <f>CV$78</f>
        <v>1681.9902751406446</v>
      </c>
      <c r="V161" s="108">
        <f>DV$78</f>
        <v>2815.1999999999994</v>
      </c>
      <c r="W161" s="764">
        <f>T$103</f>
        <v>2132.2302686899807</v>
      </c>
      <c r="X161" s="764">
        <f>AR$103</f>
        <v>1884.8202093930261</v>
      </c>
      <c r="Y161" s="108">
        <f>BP$103</f>
        <v>2436.7779129260034</v>
      </c>
      <c r="Z161" s="108">
        <f>CN$103</f>
        <v>1681.9902751406446</v>
      </c>
      <c r="AA161" s="108">
        <f>DL$103</f>
        <v>2815.1999999999994</v>
      </c>
      <c r="AB161" s="764">
        <f>T$128</f>
        <v>2132.2302686899807</v>
      </c>
      <c r="AC161" s="764">
        <f>AR$128</f>
        <v>1884.8202093930261</v>
      </c>
      <c r="AD161" s="108">
        <f>BP$128</f>
        <v>2436.7779129260034</v>
      </c>
      <c r="AE161" s="108">
        <f>CN$128</f>
        <v>1681.9902751406446</v>
      </c>
      <c r="AF161" s="108">
        <f>DL$128</f>
        <v>2815.1999999999994</v>
      </c>
      <c r="AG161" s="914">
        <f>S153</f>
        <v>2132.2302686899807</v>
      </c>
      <c r="AH161" s="914">
        <f>AQ153</f>
        <v>1884.8202093930261</v>
      </c>
      <c r="AI161" s="914">
        <f>BO153</f>
        <v>2436.7779129260034</v>
      </c>
      <c r="AJ161" s="914">
        <f>CM153</f>
        <v>1681.9902751406446</v>
      </c>
      <c r="AK161" s="914">
        <f>DK153</f>
        <v>2815.1999999999994</v>
      </c>
    </row>
    <row r="162" spans="2:37" x14ac:dyDescent="0.3">
      <c r="B162" s="284" t="s">
        <v>306</v>
      </c>
      <c r="C162" s="165"/>
      <c r="D162" s="279"/>
      <c r="E162" s="279"/>
      <c r="F162" s="279"/>
      <c r="G162" s="285" t="s">
        <v>599</v>
      </c>
      <c r="H162" s="281">
        <f>U27</f>
        <v>9679.4094715981228</v>
      </c>
      <c r="I162" s="281">
        <f>AS27</f>
        <v>9223.5950096377528</v>
      </c>
      <c r="J162" s="281">
        <f>BQ27</f>
        <v>10240.194000414056</v>
      </c>
      <c r="K162" s="281">
        <f>CO27</f>
        <v>8849.5319620261707</v>
      </c>
      <c r="L162" s="281">
        <f>DM27</f>
        <v>10936.975743999996</v>
      </c>
      <c r="M162" s="281">
        <f>U53</f>
        <v>7224.3101296559144</v>
      </c>
      <c r="N162" s="281">
        <f>AS53</f>
        <v>6614.0371225342178</v>
      </c>
      <c r="O162" s="294">
        <f>BQ53</f>
        <v>7977.2448311654462</v>
      </c>
      <c r="P162" s="294">
        <f>CO53</f>
        <v>6114.6024519921702</v>
      </c>
      <c r="Q162" s="294">
        <f>DM53</f>
        <v>8915.4640439999966</v>
      </c>
      <c r="R162" s="764">
        <f>W$78</f>
        <v>18018.546784997099</v>
      </c>
      <c r="S162" s="764">
        <f>AW$78</f>
        <v>15957.87858719631</v>
      </c>
      <c r="T162" s="294">
        <f>BW$78</f>
        <v>20555.48148234886</v>
      </c>
      <c r="U162" s="294">
        <f>CW$78</f>
        <v>14268.746924363224</v>
      </c>
      <c r="V162" s="294">
        <f>DW$78</f>
        <v>23708.312540571424</v>
      </c>
      <c r="W162" s="764">
        <f>U$103</f>
        <v>5505.1137655646044</v>
      </c>
      <c r="X162" s="764">
        <f>AS$103</f>
        <v>5106.8478356852502</v>
      </c>
      <c r="Y162" s="294">
        <f>BQ$103</f>
        <v>6000.4059173725218</v>
      </c>
      <c r="Z162" s="294">
        <f>CO$103</f>
        <v>4783.2878934588261</v>
      </c>
      <c r="AA162" s="294">
        <f>DM$103</f>
        <v>6622.9351040000001</v>
      </c>
      <c r="AB162" s="764">
        <f>U$128</f>
        <v>6918.0694827921807</v>
      </c>
      <c r="AC162" s="764">
        <f>AS$128</f>
        <v>6332.535992033605</v>
      </c>
      <c r="AD162" s="294">
        <f>BQ$128</f>
        <v>7641.1962693047572</v>
      </c>
      <c r="AE162" s="294">
        <f>CO$128</f>
        <v>5853.8577337595252</v>
      </c>
      <c r="AF162" s="294">
        <f>DM$128</f>
        <v>8543.095744000002</v>
      </c>
      <c r="AG162" s="768">
        <f>T153</f>
        <v>14670.483906482374</v>
      </c>
      <c r="AH162" s="768">
        <f>AR153</f>
        <v>12968.216873453233</v>
      </c>
      <c r="AI162" s="768">
        <f>BP153</f>
        <v>16765.877344577922</v>
      </c>
      <c r="AJ162" s="768">
        <f>CN153</f>
        <v>11572.676565308831</v>
      </c>
      <c r="AK162" s="768">
        <f>DL153</f>
        <v>19369.552575999995</v>
      </c>
    </row>
    <row r="163" spans="2:37" x14ac:dyDescent="0.3">
      <c r="B163" s="278" t="s">
        <v>684</v>
      </c>
      <c r="C163" s="24"/>
      <c r="D163" s="286"/>
      <c r="E163" s="286"/>
      <c r="F163" s="286"/>
      <c r="G163" s="280" t="s">
        <v>599</v>
      </c>
      <c r="H163" s="287">
        <f>H160-H162</f>
        <v>-510.03290866155476</v>
      </c>
      <c r="I163" s="287">
        <f t="shared" ref="I163:W163" si="407">I160-I162</f>
        <v>-1224.256641596372</v>
      </c>
      <c r="J163" s="287">
        <f t="shared" si="407"/>
        <v>370.56561715802673</v>
      </c>
      <c r="K163" s="287">
        <f t="shared" si="407"/>
        <v>-1808.5650620136566</v>
      </c>
      <c r="L163" s="287">
        <f t="shared" si="407"/>
        <v>1466.0562560000089</v>
      </c>
      <c r="M163" s="287">
        <f t="shared" si="407"/>
        <v>5240.680202793943</v>
      </c>
      <c r="N163" s="287">
        <f t="shared" si="407"/>
        <v>4215.0214026525637</v>
      </c>
      <c r="O163" s="287">
        <f t="shared" si="407"/>
        <v>6504.0656535542385</v>
      </c>
      <c r="P163" s="287">
        <f t="shared" si="407"/>
        <v>3375.2035041813833</v>
      </c>
      <c r="Q163" s="287">
        <f t="shared" si="407"/>
        <v>8074.1359560000055</v>
      </c>
      <c r="R163" s="765">
        <f t="shared" si="407"/>
        <v>-640.65699678565215</v>
      </c>
      <c r="S163" s="765">
        <f t="shared" si="407"/>
        <v>-541.14182163107762</v>
      </c>
      <c r="T163" s="765">
        <f t="shared" si="407"/>
        <v>-763.96825709802579</v>
      </c>
      <c r="U163" s="765">
        <f t="shared" si="407"/>
        <v>-460.09648954021395</v>
      </c>
      <c r="V163" s="765">
        <f t="shared" si="407"/>
        <v>-918.2075405714204</v>
      </c>
      <c r="W163" s="765">
        <f t="shared" si="407"/>
        <v>2188.2860465455751</v>
      </c>
      <c r="X163" s="765">
        <f t="shared" ref="X163:AK163" si="408">X160-X162</f>
        <v>1482.6916207541644</v>
      </c>
      <c r="Y163" s="765">
        <f t="shared" si="408"/>
        <v>3068.476961087792</v>
      </c>
      <c r="Z163" s="765">
        <f t="shared" si="408"/>
        <v>911.78171161786122</v>
      </c>
      <c r="AA163" s="765">
        <f t="shared" si="408"/>
        <v>4177.0648959999999</v>
      </c>
      <c r="AB163" s="765">
        <f t="shared" si="408"/>
        <v>2471.4190968750108</v>
      </c>
      <c r="AC163" s="765">
        <f t="shared" si="408"/>
        <v>1802.21473179654</v>
      </c>
      <c r="AD163" s="765">
        <f t="shared" si="408"/>
        <v>3295.5751337959591</v>
      </c>
      <c r="AE163" s="765">
        <f t="shared" si="408"/>
        <v>1254.302161773212</v>
      </c>
      <c r="AF163" s="765">
        <f t="shared" si="408"/>
        <v>4319.344255999993</v>
      </c>
      <c r="AG163" s="765">
        <f t="shared" si="408"/>
        <v>3361.5796454843276</v>
      </c>
      <c r="AH163" s="765">
        <f t="shared" si="408"/>
        <v>2971.5239223134486</v>
      </c>
      <c r="AI163" s="765">
        <f t="shared" si="408"/>
        <v>3841.7159501682581</v>
      </c>
      <c r="AJ163" s="765">
        <f t="shared" si="408"/>
        <v>2651.7512464961055</v>
      </c>
      <c r="AK163" s="765">
        <f t="shared" si="408"/>
        <v>4438.3194240000012</v>
      </c>
    </row>
    <row r="164" spans="2:37" x14ac:dyDescent="0.3">
      <c r="B164" s="284" t="s">
        <v>685</v>
      </c>
      <c r="C164" s="165"/>
      <c r="D164" s="288"/>
      <c r="E164" s="288"/>
      <c r="F164" s="288"/>
      <c r="G164" s="285" t="s">
        <v>599</v>
      </c>
      <c r="H164" s="295">
        <f>H160+H161-H162</f>
        <v>1622.1973600284255</v>
      </c>
      <c r="I164" s="295">
        <f t="shared" ref="I164:U164" si="409">I160+I161-I162</f>
        <v>660.56356779665475</v>
      </c>
      <c r="J164" s="295">
        <f t="shared" si="409"/>
        <v>2807.3435300840301</v>
      </c>
      <c r="K164" s="295">
        <f t="shared" si="409"/>
        <v>-126.57478687301227</v>
      </c>
      <c r="L164" s="295">
        <f t="shared" si="409"/>
        <v>4281.2562560000079</v>
      </c>
      <c r="M164" s="295">
        <f t="shared" si="409"/>
        <v>7372.9104714839232</v>
      </c>
      <c r="N164" s="295">
        <f t="shared" si="409"/>
        <v>6099.8416120455904</v>
      </c>
      <c r="O164" s="295">
        <f t="shared" si="409"/>
        <v>8940.8435664802437</v>
      </c>
      <c r="P164" s="295">
        <f t="shared" si="409"/>
        <v>5057.1937793220277</v>
      </c>
      <c r="Q164" s="295">
        <f t="shared" si="409"/>
        <v>10889.335956000006</v>
      </c>
      <c r="R164" s="766">
        <f t="shared" si="409"/>
        <v>1491.5732719043299</v>
      </c>
      <c r="S164" s="766">
        <f t="shared" si="409"/>
        <v>1343.6783877619473</v>
      </c>
      <c r="T164" s="766">
        <f t="shared" si="409"/>
        <v>1672.8096558279758</v>
      </c>
      <c r="U164" s="766">
        <f t="shared" si="409"/>
        <v>1221.8937856004304</v>
      </c>
      <c r="V164" s="766">
        <f t="shared" ref="V164:W164" si="410">V160+V161-V162</f>
        <v>1896.9924594285803</v>
      </c>
      <c r="W164" s="766">
        <f t="shared" si="410"/>
        <v>4320.5163152355553</v>
      </c>
      <c r="X164" s="766">
        <f t="shared" ref="X164:AE164" si="411">X160+X161-X162</f>
        <v>3367.5118301471903</v>
      </c>
      <c r="Y164" s="766">
        <f t="shared" si="411"/>
        <v>5505.2548740137954</v>
      </c>
      <c r="Z164" s="766">
        <f t="shared" si="411"/>
        <v>2593.7719867585056</v>
      </c>
      <c r="AA164" s="766">
        <f t="shared" si="411"/>
        <v>6992.2648959999988</v>
      </c>
      <c r="AB164" s="766">
        <f t="shared" si="411"/>
        <v>4603.6493655649911</v>
      </c>
      <c r="AC164" s="766">
        <f t="shared" si="411"/>
        <v>3687.0349411895659</v>
      </c>
      <c r="AD164" s="766">
        <f t="shared" si="411"/>
        <v>5732.3530467219625</v>
      </c>
      <c r="AE164" s="766">
        <f t="shared" si="411"/>
        <v>2936.2924369138564</v>
      </c>
      <c r="AF164" s="766">
        <f t="shared" ref="AF164:AK164" si="412">AF160+AF161-AF162</f>
        <v>7134.5442559999919</v>
      </c>
      <c r="AG164" s="766">
        <f t="shared" si="412"/>
        <v>5493.8099141743096</v>
      </c>
      <c r="AH164" s="766">
        <f t="shared" si="412"/>
        <v>4856.3441317064735</v>
      </c>
      <c r="AI164" s="766">
        <f t="shared" si="412"/>
        <v>6278.4938630942634</v>
      </c>
      <c r="AJ164" s="766">
        <f t="shared" si="412"/>
        <v>4333.7415216367499</v>
      </c>
      <c r="AK164" s="766">
        <f t="shared" si="412"/>
        <v>7253.5194240000019</v>
      </c>
    </row>
    <row r="165" spans="2:37" x14ac:dyDescent="0.3">
      <c r="B165" t="s">
        <v>686</v>
      </c>
      <c r="G165" t="s">
        <v>599</v>
      </c>
    </row>
    <row r="166" spans="2:37" x14ac:dyDescent="0.3">
      <c r="B166" t="s">
        <v>687</v>
      </c>
      <c r="G166" t="s">
        <v>599</v>
      </c>
    </row>
    <row r="167" spans="2:37" x14ac:dyDescent="0.3">
      <c r="B167" t="s">
        <v>688</v>
      </c>
      <c r="G167" t="s">
        <v>615</v>
      </c>
    </row>
    <row r="168" spans="2:37" x14ac:dyDescent="0.3">
      <c r="B168" t="s">
        <v>689</v>
      </c>
      <c r="G168" t="s">
        <v>615</v>
      </c>
    </row>
  </sheetData>
  <mergeCells count="83">
    <mergeCell ref="DK35:DO35"/>
    <mergeCell ref="DK9:DO9"/>
    <mergeCell ref="CU34:CV34"/>
    <mergeCell ref="CW35:CY35"/>
    <mergeCell ref="BW34:BX34"/>
    <mergeCell ref="BY35:CA35"/>
    <mergeCell ref="CD35:CE35"/>
    <mergeCell ref="CH35:CL35"/>
    <mergeCell ref="CU8:CV8"/>
    <mergeCell ref="DF9:DJ9"/>
    <mergeCell ref="DB35:DC35"/>
    <mergeCell ref="DF35:DJ35"/>
    <mergeCell ref="CM9:CQ9"/>
    <mergeCell ref="CM35:CQ35"/>
    <mergeCell ref="BW8:BX8"/>
    <mergeCell ref="CH9:CL9"/>
    <mergeCell ref="BA35:BC35"/>
    <mergeCell ref="BF35:BG35"/>
    <mergeCell ref="BJ35:BN35"/>
    <mergeCell ref="BO35:BS35"/>
    <mergeCell ref="BJ9:BN9"/>
    <mergeCell ref="BO9:BS9"/>
    <mergeCell ref="B2:D2"/>
    <mergeCell ref="E9:G9"/>
    <mergeCell ref="J9:K9"/>
    <mergeCell ref="N9:R9"/>
    <mergeCell ref="S9:W9"/>
    <mergeCell ref="E35:G35"/>
    <mergeCell ref="J35:K35"/>
    <mergeCell ref="N35:R35"/>
    <mergeCell ref="S35:W35"/>
    <mergeCell ref="AC35:AE35"/>
    <mergeCell ref="AA8:AB8"/>
    <mergeCell ref="AH85:AI85"/>
    <mergeCell ref="AL85:AP85"/>
    <mergeCell ref="AQ85:AU85"/>
    <mergeCell ref="BA85:BC85"/>
    <mergeCell ref="AY8:AZ8"/>
    <mergeCell ref="AH35:AI35"/>
    <mergeCell ref="AH9:AI9"/>
    <mergeCell ref="AA34:AB34"/>
    <mergeCell ref="AY34:AZ34"/>
    <mergeCell ref="AL35:AP35"/>
    <mergeCell ref="AQ35:AU35"/>
    <mergeCell ref="AL9:AP9"/>
    <mergeCell ref="AQ9:AU9"/>
    <mergeCell ref="AC9:AE9"/>
    <mergeCell ref="BF85:BG85"/>
    <mergeCell ref="E85:G85"/>
    <mergeCell ref="J85:K85"/>
    <mergeCell ref="N85:R85"/>
    <mergeCell ref="S85:W85"/>
    <mergeCell ref="AC85:AE85"/>
    <mergeCell ref="CM85:CQ85"/>
    <mergeCell ref="CW85:CY85"/>
    <mergeCell ref="DB85:DC85"/>
    <mergeCell ref="DF85:DJ85"/>
    <mergeCell ref="DK85:DO85"/>
    <mergeCell ref="BJ85:BN85"/>
    <mergeCell ref="BO85:BS85"/>
    <mergeCell ref="BY85:CA85"/>
    <mergeCell ref="CD85:CE85"/>
    <mergeCell ref="CH85:CL85"/>
    <mergeCell ref="AH110:AI110"/>
    <mergeCell ref="AL110:AP110"/>
    <mergeCell ref="AQ110:AU110"/>
    <mergeCell ref="BA110:BC110"/>
    <mergeCell ref="BF110:BG110"/>
    <mergeCell ref="E110:G110"/>
    <mergeCell ref="J110:K110"/>
    <mergeCell ref="N110:R110"/>
    <mergeCell ref="S110:W110"/>
    <mergeCell ref="AC110:AE110"/>
    <mergeCell ref="CM110:CQ110"/>
    <mergeCell ref="CW110:CY110"/>
    <mergeCell ref="DB110:DC110"/>
    <mergeCell ref="DF110:DJ110"/>
    <mergeCell ref="DK110:DO110"/>
    <mergeCell ref="BJ110:BN110"/>
    <mergeCell ref="BO110:BS110"/>
    <mergeCell ref="BY110:CA110"/>
    <mergeCell ref="CD110:CE110"/>
    <mergeCell ref="CH110:CL110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5"/>
  <sheetViews>
    <sheetView tabSelected="1" workbookViewId="0">
      <selection activeCell="B7" sqref="B7"/>
    </sheetView>
  </sheetViews>
  <sheetFormatPr defaultColWidth="9" defaultRowHeight="14" x14ac:dyDescent="0.3"/>
  <cols>
    <col min="2" max="2" width="42.33203125" customWidth="1"/>
    <col min="3" max="3" width="7.75" customWidth="1"/>
    <col min="4" max="13" width="10.58203125" customWidth="1"/>
  </cols>
  <sheetData>
    <row r="2" spans="2:13" x14ac:dyDescent="0.3">
      <c r="B2" s="786" t="s">
        <v>614</v>
      </c>
      <c r="C2" s="354">
        <v>0.04</v>
      </c>
      <c r="D2" s="24" t="s">
        <v>310</v>
      </c>
    </row>
    <row r="5" spans="2:13" x14ac:dyDescent="0.3">
      <c r="B5" s="236"/>
      <c r="C5" s="237"/>
      <c r="D5" s="787" t="s">
        <v>4</v>
      </c>
      <c r="E5" s="788" t="s">
        <v>5</v>
      </c>
      <c r="F5" s="788" t="s">
        <v>6</v>
      </c>
      <c r="G5" s="788" t="s">
        <v>298</v>
      </c>
      <c r="H5" s="788" t="s">
        <v>260</v>
      </c>
      <c r="I5" s="788" t="s">
        <v>299</v>
      </c>
      <c r="J5" s="789" t="s">
        <v>94</v>
      </c>
      <c r="K5" s="790" t="s">
        <v>95</v>
      </c>
      <c r="L5" s="791" t="s">
        <v>96</v>
      </c>
      <c r="M5" s="791" t="s">
        <v>451</v>
      </c>
    </row>
    <row r="6" spans="2:13" x14ac:dyDescent="0.3">
      <c r="B6" s="238" t="s">
        <v>307</v>
      </c>
      <c r="C6" s="239" t="s">
        <v>599</v>
      </c>
      <c r="D6" s="235">
        <f>'Arable NPV'!P28</f>
        <v>20958.993431683404</v>
      </c>
      <c r="E6" s="233">
        <f>'Arable NPV'!P54</f>
        <v>11065.032959789201</v>
      </c>
      <c r="F6" s="233">
        <f>'Arable NPV'!P80</f>
        <v>15135.926494715139</v>
      </c>
      <c r="G6" s="233">
        <f>'Arable NPV'!P106</f>
        <v>19881.426421215023</v>
      </c>
      <c r="H6" s="233">
        <f>'Arable NPV'!P132</f>
        <v>18032.063551966701</v>
      </c>
      <c r="I6" s="233">
        <f>'Arable NPV'!Q158</f>
        <v>17377.889788211447</v>
      </c>
      <c r="J6" s="233">
        <f>'Energy NPV'!AE28</f>
        <v>7693.3998121101795</v>
      </c>
      <c r="K6" s="233">
        <f>'Energy NPV'!AE54</f>
        <v>9389.4885796671915</v>
      </c>
      <c r="L6" s="233">
        <f>'Energy NPV'!AE80</f>
        <v>9169.376562936568</v>
      </c>
      <c r="M6" s="233">
        <f>'Energy NPV'!AE106</f>
        <v>12464.990332449857</v>
      </c>
    </row>
    <row r="7" spans="2:13" x14ac:dyDescent="0.3">
      <c r="B7" s="240" t="s">
        <v>683</v>
      </c>
      <c r="C7" s="241" t="s">
        <v>599</v>
      </c>
      <c r="D7" s="235">
        <f>'Arable NPV'!Q28</f>
        <v>2132.2302686899807</v>
      </c>
      <c r="E7" s="233">
        <f>'Arable NPV'!Q54</f>
        <v>2132.2302686899807</v>
      </c>
      <c r="F7" s="233">
        <f>'Arable NPV'!Q80</f>
        <v>2132.2302686899807</v>
      </c>
      <c r="G7" s="233">
        <f>'Arable NPV'!Q106</f>
        <v>2132.2302686899807</v>
      </c>
      <c r="H7" s="233">
        <f>'Arable NPV'!Q132</f>
        <v>2132.2302686899807</v>
      </c>
      <c r="I7" s="233">
        <f>'Arable NPV'!R158</f>
        <v>2132.2302686899807</v>
      </c>
      <c r="J7" s="233">
        <f>'Energy NPV'!AF28</f>
        <v>2132.2302686899807</v>
      </c>
      <c r="K7" s="233">
        <f>'Energy NPV'!AF54</f>
        <v>2132.2302686899807</v>
      </c>
      <c r="L7" s="233">
        <f>'Energy NPV'!AF80</f>
        <v>2132.2302686899807</v>
      </c>
      <c r="M7" s="233">
        <f>'Energy NPV'!AF106</f>
        <v>2132.2302686899807</v>
      </c>
    </row>
    <row r="8" spans="2:13" x14ac:dyDescent="0.3">
      <c r="B8" s="242" t="s">
        <v>306</v>
      </c>
      <c r="C8" s="243" t="s">
        <v>599</v>
      </c>
      <c r="D8" s="235">
        <f>'Arable NPV'!R28</f>
        <v>19891.142168681334</v>
      </c>
      <c r="E8" s="233">
        <f>'Arable NPV'!R54</f>
        <v>16449.47932321671</v>
      </c>
      <c r="F8" s="233">
        <f>'Arable NPV'!R80</f>
        <v>16117.227784565133</v>
      </c>
      <c r="G8" s="233">
        <f>'Arable NPV'!R106</f>
        <v>22010.125004018864</v>
      </c>
      <c r="H8" s="233">
        <f>'Arable NPV'!R132</f>
        <v>14670.483906482374</v>
      </c>
      <c r="I8" s="233">
        <f>'Arable NPV'!S158</f>
        <v>18018.546784997099</v>
      </c>
      <c r="J8" s="233">
        <f>'Energy NPV'!AG28</f>
        <v>5505.1137655646044</v>
      </c>
      <c r="K8" s="233">
        <f>'Energy NPV'!AG54</f>
        <v>6918.0694827921807</v>
      </c>
      <c r="L8" s="233">
        <f>'Energy NPV'!AG80</f>
        <v>9679.4094715981228</v>
      </c>
      <c r="M8" s="233">
        <f>'Energy NPV'!AG106</f>
        <v>7224.3101296559144</v>
      </c>
    </row>
    <row r="9" spans="2:13" x14ac:dyDescent="0.3">
      <c r="B9" s="795" t="s">
        <v>684</v>
      </c>
      <c r="C9" s="796" t="s">
        <v>599</v>
      </c>
      <c r="D9" s="270">
        <f>D6-D8</f>
        <v>1067.8512630020705</v>
      </c>
      <c r="E9" s="270">
        <f t="shared" ref="E9:M9" si="0">E6-E8</f>
        <v>-5384.4463634275089</v>
      </c>
      <c r="F9" s="270">
        <f t="shared" si="0"/>
        <v>-981.30128984999465</v>
      </c>
      <c r="G9" s="270">
        <f t="shared" si="0"/>
        <v>-2128.6985828038414</v>
      </c>
      <c r="H9" s="270">
        <f t="shared" si="0"/>
        <v>3361.5796454843276</v>
      </c>
      <c r="I9" s="270">
        <f t="shared" si="0"/>
        <v>-640.65699678565215</v>
      </c>
      <c r="J9" s="270">
        <f t="shared" si="0"/>
        <v>2188.2860465455751</v>
      </c>
      <c r="K9" s="270">
        <f t="shared" si="0"/>
        <v>2471.4190968750108</v>
      </c>
      <c r="L9" s="270">
        <f t="shared" si="0"/>
        <v>-510.03290866155476</v>
      </c>
      <c r="M9" s="270">
        <f t="shared" si="0"/>
        <v>5240.680202793943</v>
      </c>
    </row>
    <row r="10" spans="2:13" x14ac:dyDescent="0.3">
      <c r="B10" s="792" t="s">
        <v>685</v>
      </c>
      <c r="C10" s="793" t="s">
        <v>599</v>
      </c>
      <c r="D10" s="794">
        <f>D6+D7-D8</f>
        <v>3200.0815316920525</v>
      </c>
      <c r="E10" s="794">
        <f t="shared" ref="E10:M10" si="1">E6+E7-E8</f>
        <v>-3252.2160947375287</v>
      </c>
      <c r="F10" s="794">
        <f>F6+F7-F8</f>
        <v>1150.9289788399874</v>
      </c>
      <c r="G10" s="794">
        <f t="shared" si="1"/>
        <v>3.5316858861406217</v>
      </c>
      <c r="H10" s="794">
        <f t="shared" si="1"/>
        <v>5493.8099141743096</v>
      </c>
      <c r="I10" s="794">
        <f t="shared" si="1"/>
        <v>1491.5732719043299</v>
      </c>
      <c r="J10" s="794">
        <f t="shared" si="1"/>
        <v>4320.5163152355553</v>
      </c>
      <c r="K10" s="794">
        <f t="shared" si="1"/>
        <v>4603.6493655649911</v>
      </c>
      <c r="L10" s="794">
        <f t="shared" si="1"/>
        <v>1622.1973600284255</v>
      </c>
      <c r="M10" s="794">
        <f t="shared" si="1"/>
        <v>7372.9104714839232</v>
      </c>
    </row>
    <row r="11" spans="2:13" x14ac:dyDescent="0.3">
      <c r="B11" s="244" t="s">
        <v>686</v>
      </c>
      <c r="C11" s="239" t="s">
        <v>599</v>
      </c>
      <c r="D11" s="247">
        <f>D9*((1+$C$2)^16)/(((1+$C$2)^16)-1)</f>
        <v>2291.0748639999933</v>
      </c>
      <c r="E11" s="247">
        <f t="shared" ref="E11:M11" si="2">E9*((1+$C$2)^16)/(((1+$C$2)^16)-1)</f>
        <v>-11552.329567999977</v>
      </c>
      <c r="F11" s="247">
        <f t="shared" si="2"/>
        <v>-2105.3818982857124</v>
      </c>
      <c r="G11" s="247">
        <f t="shared" si="2"/>
        <v>-4567.1227679999784</v>
      </c>
      <c r="H11" s="247">
        <f t="shared" si="2"/>
        <v>7212.2690639999919</v>
      </c>
      <c r="I11" s="247">
        <f t="shared" si="2"/>
        <v>-1374.5295741420932</v>
      </c>
      <c r="J11" s="247">
        <f t="shared" si="2"/>
        <v>4694.9676702988236</v>
      </c>
      <c r="K11" s="247">
        <f t="shared" si="2"/>
        <v>5302.4296242733599</v>
      </c>
      <c r="L11" s="247">
        <f t="shared" si="2"/>
        <v>-1094.2755956126325</v>
      </c>
      <c r="M11" s="247">
        <f t="shared" si="2"/>
        <v>11243.879273157081</v>
      </c>
    </row>
    <row r="12" spans="2:13" x14ac:dyDescent="0.3">
      <c r="B12" s="245" t="s">
        <v>687</v>
      </c>
      <c r="C12" s="243" t="s">
        <v>599</v>
      </c>
      <c r="D12" s="234">
        <f>D10*((1+$C$2)^16)/(((1+$C$2)^16)-1)</f>
        <v>6865.7748639999909</v>
      </c>
      <c r="E12" s="234">
        <f t="shared" ref="E12:M12" si="3">E10*((1+$C$2)^16)/(((1+$C$2)^16)-1)</f>
        <v>-6977.629567999983</v>
      </c>
      <c r="F12" s="234">
        <f t="shared" si="3"/>
        <v>2469.3181017142856</v>
      </c>
      <c r="G12" s="234">
        <f t="shared" si="3"/>
        <v>7.5772320000193067</v>
      </c>
      <c r="H12" s="234">
        <f t="shared" si="3"/>
        <v>11786.96906399999</v>
      </c>
      <c r="I12" s="234">
        <f t="shared" si="3"/>
        <v>3200.1704258579052</v>
      </c>
      <c r="J12" s="234">
        <f t="shared" si="3"/>
        <v>9269.667670298817</v>
      </c>
      <c r="K12" s="234">
        <f t="shared" si="3"/>
        <v>9877.1296242733551</v>
      </c>
      <c r="L12" s="234">
        <f t="shared" si="3"/>
        <v>3480.4244043873618</v>
      </c>
      <c r="M12" s="234">
        <f t="shared" si="3"/>
        <v>15818.579273157075</v>
      </c>
    </row>
    <row r="13" spans="2:13" x14ac:dyDescent="0.3">
      <c r="B13" s="244" t="s">
        <v>688</v>
      </c>
      <c r="C13" s="239" t="s">
        <v>615</v>
      </c>
      <c r="D13" s="247">
        <f>D11*$C$2</f>
        <v>91.642994559999735</v>
      </c>
      <c r="E13" s="247">
        <f t="shared" ref="E13:M13" si="4">E11*$C$2</f>
        <v>-462.09318271999911</v>
      </c>
      <c r="F13" s="247">
        <f t="shared" si="4"/>
        <v>-84.215275931428494</v>
      </c>
      <c r="G13" s="247">
        <f t="shared" si="4"/>
        <v>-182.68491071999912</v>
      </c>
      <c r="H13" s="247">
        <f t="shared" si="4"/>
        <v>288.49076255999967</v>
      </c>
      <c r="I13" s="247">
        <f t="shared" si="4"/>
        <v>-54.981182965683729</v>
      </c>
      <c r="J13" s="247">
        <f t="shared" si="4"/>
        <v>187.79870681195294</v>
      </c>
      <c r="K13" s="247">
        <f t="shared" si="4"/>
        <v>212.09718497093439</v>
      </c>
      <c r="L13" s="247">
        <f t="shared" si="4"/>
        <v>-43.771023824505299</v>
      </c>
      <c r="M13" s="247">
        <f t="shared" si="4"/>
        <v>449.75517092628326</v>
      </c>
    </row>
    <row r="14" spans="2:13" x14ac:dyDescent="0.3">
      <c r="B14" s="246" t="s">
        <v>689</v>
      </c>
      <c r="C14" s="243" t="s">
        <v>615</v>
      </c>
      <c r="D14" s="248">
        <f>D12*$C$2</f>
        <v>274.63099455999964</v>
      </c>
      <c r="E14" s="248">
        <f t="shared" ref="E14:M14" si="5">E12*$C$2</f>
        <v>-279.10518271999933</v>
      </c>
      <c r="F14" s="248">
        <f t="shared" si="5"/>
        <v>98.772724068571421</v>
      </c>
      <c r="G14" s="248">
        <f t="shared" si="5"/>
        <v>0.30308928000077229</v>
      </c>
      <c r="H14" s="248">
        <f t="shared" si="5"/>
        <v>471.47876255999961</v>
      </c>
      <c r="I14" s="248">
        <f t="shared" si="5"/>
        <v>128.00681703431621</v>
      </c>
      <c r="J14" s="248">
        <f t="shared" si="5"/>
        <v>370.78670681195268</v>
      </c>
      <c r="K14" s="248">
        <f t="shared" si="5"/>
        <v>395.08518497093422</v>
      </c>
      <c r="L14" s="248">
        <f t="shared" si="5"/>
        <v>139.21697617549447</v>
      </c>
      <c r="M14" s="248">
        <f t="shared" si="5"/>
        <v>632.74317092628303</v>
      </c>
    </row>
    <row r="15" spans="2:13" x14ac:dyDescent="0.3">
      <c r="B15" s="797" t="s">
        <v>313</v>
      </c>
      <c r="C15" s="798"/>
      <c r="D15" s="799">
        <f t="shared" ref="D15:M15" si="6">RANK(D10,$D$10:$M$10)</f>
        <v>5</v>
      </c>
      <c r="E15" s="799">
        <f t="shared" si="6"/>
        <v>10</v>
      </c>
      <c r="F15" s="799">
        <f t="shared" si="6"/>
        <v>8</v>
      </c>
      <c r="G15" s="799">
        <f t="shared" si="6"/>
        <v>9</v>
      </c>
      <c r="H15" s="799">
        <f t="shared" si="6"/>
        <v>2</v>
      </c>
      <c r="I15" s="799">
        <f t="shared" si="6"/>
        <v>7</v>
      </c>
      <c r="J15" s="799">
        <f t="shared" si="6"/>
        <v>4</v>
      </c>
      <c r="K15" s="799">
        <f t="shared" si="6"/>
        <v>3</v>
      </c>
      <c r="L15" s="799">
        <f t="shared" si="6"/>
        <v>6</v>
      </c>
      <c r="M15" s="799">
        <f t="shared" si="6"/>
        <v>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60"/>
  <sheetViews>
    <sheetView topLeftCell="C16" zoomScale="110" zoomScaleNormal="110" workbookViewId="0">
      <selection activeCell="G25" sqref="G25"/>
    </sheetView>
  </sheetViews>
  <sheetFormatPr defaultColWidth="9" defaultRowHeight="14" x14ac:dyDescent="0.3"/>
  <cols>
    <col min="2" max="2" width="22.58203125" customWidth="1"/>
  </cols>
  <sheetData>
    <row r="1" spans="1:8" x14ac:dyDescent="0.3">
      <c r="A1" s="366"/>
      <c r="B1" s="366"/>
      <c r="C1" s="366"/>
      <c r="D1" s="366"/>
      <c r="E1" s="366"/>
      <c r="F1" s="366"/>
      <c r="G1" s="366"/>
      <c r="H1" s="366"/>
    </row>
    <row r="2" spans="1:8" x14ac:dyDescent="0.3">
      <c r="A2" s="366"/>
      <c r="B2" s="366"/>
      <c r="C2" s="366"/>
      <c r="D2" s="366"/>
      <c r="E2" s="366"/>
      <c r="F2" s="366"/>
      <c r="G2" s="366"/>
      <c r="H2" s="366"/>
    </row>
    <row r="3" spans="1:8" ht="14.5" thickBot="1" x14ac:dyDescent="0.35">
      <c r="A3" s="366"/>
      <c r="B3" s="366"/>
      <c r="C3" s="366"/>
      <c r="D3" s="366"/>
      <c r="E3" s="366"/>
      <c r="F3" s="366"/>
      <c r="G3" s="366"/>
      <c r="H3" s="366"/>
    </row>
    <row r="4" spans="1:8" ht="14.5" thickBot="1" x14ac:dyDescent="0.35">
      <c r="A4" s="366"/>
      <c r="B4" s="417" t="s">
        <v>593</v>
      </c>
      <c r="C4" s="396"/>
      <c r="D4" s="396"/>
      <c r="E4" s="396"/>
      <c r="F4" s="396"/>
      <c r="G4" s="396"/>
      <c r="H4" s="396"/>
    </row>
    <row r="5" spans="1:8" x14ac:dyDescent="0.3">
      <c r="A5" s="366"/>
      <c r="B5" s="396"/>
      <c r="C5" s="396"/>
      <c r="D5" s="396"/>
      <c r="E5" s="396"/>
      <c r="F5" s="396"/>
      <c r="G5" s="396"/>
      <c r="H5" s="396"/>
    </row>
    <row r="6" spans="1:8" x14ac:dyDescent="0.3">
      <c r="A6" s="366"/>
      <c r="B6" s="385" t="s">
        <v>218</v>
      </c>
      <c r="C6" s="384"/>
      <c r="D6" s="384"/>
      <c r="E6" s="384"/>
      <c r="F6" s="384"/>
      <c r="G6" s="384"/>
      <c r="H6" s="384"/>
    </row>
    <row r="7" spans="1:8" x14ac:dyDescent="0.3">
      <c r="A7" s="366"/>
      <c r="B7" s="381"/>
      <c r="C7" s="381"/>
      <c r="D7" s="381"/>
      <c r="E7" s="381"/>
      <c r="F7" s="381"/>
      <c r="G7" s="381"/>
      <c r="H7" s="381"/>
    </row>
    <row r="8" spans="1:8" x14ac:dyDescent="0.3">
      <c r="A8" s="366"/>
      <c r="B8" s="379" t="s">
        <v>444</v>
      </c>
      <c r="C8" s="415"/>
      <c r="D8" s="773">
        <v>1.1299999999999999</v>
      </c>
      <c r="E8" s="381"/>
      <c r="F8" s="381"/>
      <c r="G8" s="381"/>
      <c r="H8" s="381"/>
    </row>
    <row r="9" spans="1:8" x14ac:dyDescent="0.3">
      <c r="A9" s="366"/>
      <c r="B9" s="379" t="s">
        <v>358</v>
      </c>
      <c r="C9" s="415" t="s">
        <v>316</v>
      </c>
      <c r="D9" s="771">
        <v>0.04</v>
      </c>
      <c r="E9" s="381"/>
      <c r="F9" s="394"/>
      <c r="G9" s="381"/>
      <c r="H9" s="381"/>
    </row>
    <row r="10" spans="1:8" x14ac:dyDescent="0.3">
      <c r="A10" s="366"/>
      <c r="B10" s="379" t="s">
        <v>666</v>
      </c>
      <c r="C10" s="415" t="s">
        <v>594</v>
      </c>
      <c r="D10" s="388">
        <v>175.95</v>
      </c>
      <c r="E10" s="381"/>
      <c r="F10" s="382"/>
      <c r="G10" s="381"/>
      <c r="H10" s="381"/>
    </row>
    <row r="11" spans="1:8" x14ac:dyDescent="0.3">
      <c r="A11" s="366"/>
      <c r="B11" s="379" t="s">
        <v>220</v>
      </c>
      <c r="C11" s="415" t="s">
        <v>594</v>
      </c>
      <c r="D11" s="391">
        <v>0</v>
      </c>
      <c r="E11" s="381"/>
      <c r="F11" s="416"/>
      <c r="G11" s="381"/>
      <c r="H11" s="381"/>
    </row>
    <row r="12" spans="1:8" x14ac:dyDescent="0.3">
      <c r="A12" s="366"/>
      <c r="B12" s="379" t="s">
        <v>221</v>
      </c>
      <c r="C12" s="415" t="s">
        <v>594</v>
      </c>
      <c r="D12" s="391">
        <v>0</v>
      </c>
      <c r="E12" s="381"/>
      <c r="F12" s="394"/>
      <c r="G12" s="381"/>
      <c r="H12" s="381"/>
    </row>
    <row r="13" spans="1:8" x14ac:dyDescent="0.3">
      <c r="A13" s="366"/>
      <c r="B13" s="381"/>
      <c r="C13" s="381"/>
      <c r="D13" s="394"/>
      <c r="E13" s="381"/>
      <c r="F13" s="394"/>
      <c r="G13" s="394"/>
      <c r="H13" s="381"/>
    </row>
    <row r="14" spans="1:8" x14ac:dyDescent="0.3">
      <c r="A14" s="366"/>
      <c r="B14" s="381"/>
      <c r="C14" s="381"/>
      <c r="D14" s="394"/>
      <c r="E14" s="381"/>
      <c r="F14" s="394"/>
      <c r="G14" s="381"/>
      <c r="H14" s="381"/>
    </row>
    <row r="15" spans="1:8" x14ac:dyDescent="0.3">
      <c r="A15" s="366"/>
      <c r="B15" s="385" t="s">
        <v>247</v>
      </c>
      <c r="C15" s="384"/>
      <c r="D15" s="384"/>
      <c r="E15" s="384"/>
      <c r="F15" s="384"/>
      <c r="G15" s="384"/>
      <c r="H15" s="384"/>
    </row>
    <row r="16" spans="1:8" x14ac:dyDescent="0.3">
      <c r="A16" s="366"/>
      <c r="B16" s="383"/>
      <c r="C16" s="381"/>
      <c r="D16" s="381"/>
      <c r="E16" s="381"/>
      <c r="F16" s="381"/>
      <c r="G16" s="381"/>
      <c r="H16" s="381"/>
    </row>
    <row r="17" spans="1:12" x14ac:dyDescent="0.3">
      <c r="A17" s="366"/>
      <c r="B17" s="383"/>
      <c r="C17" s="381"/>
      <c r="D17" s="380" t="s">
        <v>4</v>
      </c>
      <c r="E17" s="380" t="s">
        <v>5</v>
      </c>
      <c r="F17" s="380" t="s">
        <v>6</v>
      </c>
      <c r="G17" s="380" t="s">
        <v>7</v>
      </c>
      <c r="H17" s="380" t="s">
        <v>260</v>
      </c>
    </row>
    <row r="18" spans="1:12" x14ac:dyDescent="0.3">
      <c r="A18" s="366"/>
      <c r="B18" s="379" t="s">
        <v>222</v>
      </c>
      <c r="C18" s="379" t="s">
        <v>342</v>
      </c>
      <c r="D18" s="388">
        <v>7.45</v>
      </c>
      <c r="E18" s="388">
        <v>4.1100000000000003</v>
      </c>
      <c r="F18" s="388">
        <v>3.3</v>
      </c>
      <c r="G18" s="388">
        <v>63.1</v>
      </c>
      <c r="H18" s="388">
        <v>8.14</v>
      </c>
      <c r="I18" s="917"/>
    </row>
    <row r="19" spans="1:12" x14ac:dyDescent="0.3">
      <c r="A19" s="366"/>
      <c r="B19" s="379" t="s">
        <v>3</v>
      </c>
      <c r="C19" s="379" t="s">
        <v>342</v>
      </c>
      <c r="D19" s="414">
        <v>3.9</v>
      </c>
      <c r="E19" s="413">
        <v>3.5</v>
      </c>
      <c r="F19" s="388">
        <v>2.6</v>
      </c>
      <c r="G19" s="412"/>
      <c r="H19" s="411"/>
    </row>
    <row r="20" spans="1:12" x14ac:dyDescent="0.3">
      <c r="A20" s="366"/>
      <c r="B20" s="381"/>
      <c r="C20" s="381"/>
      <c r="D20" s="410"/>
      <c r="E20" s="410"/>
      <c r="F20" s="410"/>
      <c r="G20" s="366"/>
      <c r="H20" s="381"/>
    </row>
    <row r="21" spans="1:12" x14ac:dyDescent="0.3">
      <c r="A21" s="366"/>
      <c r="B21" s="381"/>
      <c r="C21" s="381"/>
      <c r="D21" s="409"/>
      <c r="E21" s="409"/>
      <c r="F21" s="409"/>
      <c r="G21" s="381"/>
      <c r="H21" s="381"/>
    </row>
    <row r="22" spans="1:12" x14ac:dyDescent="0.3">
      <c r="A22" s="366"/>
      <c r="B22" s="385" t="s">
        <v>223</v>
      </c>
      <c r="C22" s="384"/>
      <c r="D22" s="384"/>
      <c r="E22" s="384"/>
      <c r="F22" s="384"/>
      <c r="G22" s="384"/>
      <c r="H22" s="384"/>
    </row>
    <row r="23" spans="1:12" x14ac:dyDescent="0.3">
      <c r="A23" s="366"/>
      <c r="B23" s="383"/>
      <c r="C23" s="381"/>
      <c r="D23" s="381"/>
      <c r="E23" s="381"/>
      <c r="F23" s="381"/>
      <c r="G23" s="381"/>
      <c r="H23" s="381"/>
    </row>
    <row r="24" spans="1:12" x14ac:dyDescent="0.3">
      <c r="A24" s="366"/>
      <c r="B24" s="383"/>
      <c r="C24" s="381"/>
      <c r="D24" s="380" t="s">
        <v>4</v>
      </c>
      <c r="E24" s="380" t="s">
        <v>5</v>
      </c>
      <c r="F24" s="380" t="s">
        <v>6</v>
      </c>
      <c r="G24" s="380" t="s">
        <v>7</v>
      </c>
      <c r="H24" s="380" t="s">
        <v>260</v>
      </c>
      <c r="K24" s="358"/>
      <c r="L24" s="757"/>
    </row>
    <row r="25" spans="1:12" x14ac:dyDescent="0.3">
      <c r="A25" s="366"/>
      <c r="B25" s="379" t="s">
        <v>472</v>
      </c>
      <c r="C25" s="379" t="s">
        <v>595</v>
      </c>
      <c r="D25" s="388">
        <v>193.7</v>
      </c>
      <c r="E25" s="388">
        <v>154.80000000000001</v>
      </c>
      <c r="F25" s="388">
        <v>345.1</v>
      </c>
      <c r="G25" s="388">
        <v>26</v>
      </c>
      <c r="H25" s="388">
        <v>182.8</v>
      </c>
      <c r="K25" s="358"/>
      <c r="L25" s="757"/>
    </row>
    <row r="26" spans="1:12" x14ac:dyDescent="0.3">
      <c r="A26" s="366"/>
      <c r="B26" s="379" t="s">
        <v>3</v>
      </c>
      <c r="C26" s="408" t="s">
        <v>595</v>
      </c>
      <c r="D26" s="388">
        <f>65*$D$8</f>
        <v>73.449999999999989</v>
      </c>
      <c r="E26" s="388">
        <f>70*$D$8</f>
        <v>79.099999999999994</v>
      </c>
      <c r="F26" s="388">
        <f>AVERAGE(30,45)*$D$8</f>
        <v>42.374999999999993</v>
      </c>
      <c r="G26" s="407"/>
      <c r="H26" s="406"/>
    </row>
    <row r="27" spans="1:12" x14ac:dyDescent="0.3">
      <c r="A27" s="366"/>
      <c r="B27" s="383"/>
      <c r="C27" s="381"/>
      <c r="D27" s="381"/>
      <c r="E27" s="381"/>
      <c r="F27" s="381"/>
      <c r="G27" s="394"/>
      <c r="H27" s="381"/>
    </row>
    <row r="28" spans="1:12" x14ac:dyDescent="0.3">
      <c r="A28" s="366"/>
      <c r="B28" s="381"/>
      <c r="C28" s="381"/>
      <c r="D28" s="381"/>
      <c r="E28" s="381"/>
      <c r="F28" s="381"/>
      <c r="G28" s="381"/>
      <c r="H28" s="381"/>
    </row>
    <row r="29" spans="1:12" x14ac:dyDescent="0.3">
      <c r="A29" s="366"/>
      <c r="B29" s="385" t="s">
        <v>225</v>
      </c>
      <c r="C29" s="384"/>
      <c r="D29" s="384"/>
      <c r="E29" s="384"/>
      <c r="F29" s="384"/>
      <c r="G29" s="384"/>
      <c r="H29" s="384"/>
    </row>
    <row r="30" spans="1:12" x14ac:dyDescent="0.3">
      <c r="A30" s="366"/>
      <c r="B30" s="381"/>
      <c r="C30" s="381"/>
      <c r="D30" s="381"/>
      <c r="E30" s="381"/>
      <c r="F30" s="381"/>
      <c r="G30" s="381"/>
      <c r="H30" s="381"/>
    </row>
    <row r="31" spans="1:12" x14ac:dyDescent="0.3">
      <c r="A31" s="366"/>
      <c r="B31" s="405" t="s">
        <v>226</v>
      </c>
      <c r="C31" s="392" t="s">
        <v>596</v>
      </c>
      <c r="D31" s="870">
        <v>14.99</v>
      </c>
      <c r="E31" s="381"/>
      <c r="F31" s="381"/>
      <c r="G31" s="381"/>
      <c r="H31" s="381"/>
    </row>
    <row r="32" spans="1:12" x14ac:dyDescent="0.3">
      <c r="A32" s="366"/>
      <c r="B32" s="381"/>
      <c r="C32" s="390"/>
      <c r="D32" s="358"/>
      <c r="E32" s="381"/>
      <c r="F32" s="381"/>
      <c r="G32" s="381"/>
      <c r="H32" s="381"/>
    </row>
    <row r="33" spans="1:8" x14ac:dyDescent="0.3">
      <c r="A33" s="366"/>
      <c r="B33" s="393" t="s">
        <v>227</v>
      </c>
      <c r="C33" s="404"/>
      <c r="D33" s="403" t="s">
        <v>597</v>
      </c>
      <c r="E33" s="381"/>
      <c r="F33" s="381"/>
      <c r="G33" s="381"/>
      <c r="H33" s="381"/>
    </row>
    <row r="34" spans="1:8" x14ac:dyDescent="0.3">
      <c r="A34" s="366"/>
      <c r="B34" s="396"/>
      <c r="C34" s="402" t="s">
        <v>228</v>
      </c>
      <c r="D34" s="401">
        <v>0.60399999999999998</v>
      </c>
      <c r="E34" s="381"/>
      <c r="F34" s="381"/>
      <c r="G34" s="381"/>
      <c r="H34" s="381"/>
    </row>
    <row r="35" spans="1:8" x14ac:dyDescent="0.3">
      <c r="A35" s="366"/>
      <c r="B35" s="396"/>
      <c r="C35" s="399" t="s">
        <v>462</v>
      </c>
      <c r="D35" s="398">
        <v>0.97</v>
      </c>
      <c r="E35" s="381" t="s">
        <v>464</v>
      </c>
      <c r="F35" s="397"/>
      <c r="G35" s="400"/>
      <c r="H35" s="381"/>
    </row>
    <row r="36" spans="1:8" x14ac:dyDescent="0.3">
      <c r="A36" s="366"/>
      <c r="B36" s="396"/>
      <c r="C36" s="395" t="s">
        <v>463</v>
      </c>
      <c r="D36" s="893">
        <v>0.32100000000000001</v>
      </c>
      <c r="E36" s="381" t="s">
        <v>465</v>
      </c>
      <c r="F36" s="397"/>
      <c r="G36" s="397"/>
      <c r="H36" s="381"/>
    </row>
    <row r="37" spans="1:8" x14ac:dyDescent="0.3">
      <c r="A37" s="366"/>
      <c r="B37" s="396"/>
      <c r="C37" s="816"/>
      <c r="D37" s="817"/>
      <c r="E37" s="381"/>
      <c r="F37" s="394"/>
      <c r="G37" s="381"/>
      <c r="H37" s="381"/>
    </row>
    <row r="38" spans="1:8" x14ac:dyDescent="0.3">
      <c r="A38" s="366"/>
      <c r="B38" s="385" t="s">
        <v>13</v>
      </c>
      <c r="C38" s="384"/>
      <c r="D38" s="384"/>
      <c r="E38" s="384"/>
      <c r="F38" s="384"/>
      <c r="G38" s="384"/>
      <c r="H38" s="384"/>
    </row>
    <row r="39" spans="1:8" x14ac:dyDescent="0.3">
      <c r="A39" s="366"/>
      <c r="B39" s="381"/>
      <c r="C39" s="381"/>
      <c r="D39" s="381"/>
      <c r="E39" s="381"/>
      <c r="F39" s="381"/>
      <c r="G39" s="381"/>
      <c r="H39" s="381"/>
    </row>
    <row r="40" spans="1:8" x14ac:dyDescent="0.3">
      <c r="A40" s="366"/>
      <c r="B40" s="383"/>
      <c r="C40" s="381"/>
      <c r="D40" s="380" t="s">
        <v>4</v>
      </c>
      <c r="E40" s="380" t="s">
        <v>5</v>
      </c>
      <c r="F40" s="380" t="s">
        <v>6</v>
      </c>
      <c r="G40" s="380" t="s">
        <v>7</v>
      </c>
      <c r="H40" s="380" t="s">
        <v>260</v>
      </c>
    </row>
    <row r="41" spans="1:8" x14ac:dyDescent="0.3">
      <c r="A41" s="366"/>
      <c r="B41" s="393" t="s">
        <v>469</v>
      </c>
      <c r="C41" s="392" t="s">
        <v>594</v>
      </c>
      <c r="D41" s="388">
        <f>155*0.68</f>
        <v>105.4</v>
      </c>
      <c r="E41" s="388">
        <f>130*0.64</f>
        <v>83.2</v>
      </c>
      <c r="F41" s="388">
        <f>55*$D$8</f>
        <v>62.149999999999991</v>
      </c>
      <c r="G41" s="388">
        <f>207*$D$8</f>
        <v>233.90999999999997</v>
      </c>
      <c r="H41" s="388">
        <f>4.75*35*$D$8</f>
        <v>187.86249999999998</v>
      </c>
    </row>
    <row r="42" spans="1:8" x14ac:dyDescent="0.3">
      <c r="A42" s="366"/>
      <c r="B42" s="382"/>
      <c r="C42" s="381"/>
      <c r="D42" s="383"/>
      <c r="E42" s="383"/>
      <c r="F42" s="383"/>
      <c r="G42" s="383"/>
      <c r="H42" s="383"/>
    </row>
    <row r="43" spans="1:8" x14ac:dyDescent="0.3">
      <c r="A43" s="366"/>
      <c r="B43" s="383"/>
      <c r="C43" s="381"/>
      <c r="D43" s="380" t="s">
        <v>4</v>
      </c>
      <c r="E43" s="380" t="s">
        <v>5</v>
      </c>
      <c r="F43" s="380" t="s">
        <v>6</v>
      </c>
      <c r="G43" s="380" t="s">
        <v>7</v>
      </c>
      <c r="H43" s="380" t="s">
        <v>260</v>
      </c>
    </row>
    <row r="44" spans="1:8" x14ac:dyDescent="0.3">
      <c r="A44" s="366"/>
      <c r="B44" s="379" t="s">
        <v>466</v>
      </c>
      <c r="C44" s="379" t="s">
        <v>594</v>
      </c>
      <c r="D44" s="388">
        <v>274</v>
      </c>
      <c r="E44" s="388">
        <v>195</v>
      </c>
      <c r="F44" s="388">
        <v>238.6</v>
      </c>
      <c r="G44" s="388">
        <v>340.8</v>
      </c>
      <c r="H44" s="388">
        <v>277.3</v>
      </c>
    </row>
    <row r="45" spans="1:8" x14ac:dyDescent="0.3">
      <c r="A45" s="366"/>
      <c r="B45" s="381"/>
      <c r="C45" s="381"/>
    </row>
    <row r="46" spans="1:8" x14ac:dyDescent="0.3">
      <c r="A46" s="366"/>
      <c r="B46" s="383"/>
      <c r="C46" s="381"/>
      <c r="D46" s="380" t="s">
        <v>4</v>
      </c>
      <c r="E46" s="380" t="s">
        <v>5</v>
      </c>
      <c r="F46" s="380" t="s">
        <v>6</v>
      </c>
      <c r="G46" s="380" t="s">
        <v>7</v>
      </c>
      <c r="H46" s="380" t="s">
        <v>260</v>
      </c>
    </row>
    <row r="47" spans="1:8" x14ac:dyDescent="0.3">
      <c r="A47" s="366"/>
      <c r="B47" s="379" t="s">
        <v>229</v>
      </c>
      <c r="C47" s="379" t="s">
        <v>594</v>
      </c>
      <c r="D47" s="388">
        <f>251*$D$8</f>
        <v>283.63</v>
      </c>
      <c r="E47" s="388">
        <f>135*$D$8</f>
        <v>152.54999999999998</v>
      </c>
      <c r="F47" s="388">
        <f>230*$D$8</f>
        <v>259.89999999999998</v>
      </c>
      <c r="G47" s="388">
        <f>246*$D$8</f>
        <v>277.97999999999996</v>
      </c>
      <c r="H47" s="388">
        <f>85*$D$8</f>
        <v>96.05</v>
      </c>
    </row>
    <row r="48" spans="1:8" x14ac:dyDescent="0.3">
      <c r="A48" s="366"/>
      <c r="B48" s="390"/>
      <c r="C48" s="381"/>
      <c r="D48" s="381"/>
      <c r="E48" s="381"/>
      <c r="F48" s="381"/>
      <c r="G48" s="381"/>
      <c r="H48" s="381"/>
    </row>
    <row r="49" spans="1:8" x14ac:dyDescent="0.3">
      <c r="A49" s="366"/>
      <c r="B49" s="383"/>
      <c r="C49" s="381"/>
      <c r="D49" s="380" t="s">
        <v>4</v>
      </c>
      <c r="E49" s="380" t="s">
        <v>5</v>
      </c>
      <c r="F49" s="380" t="s">
        <v>6</v>
      </c>
      <c r="G49" s="389"/>
      <c r="H49" s="358"/>
    </row>
    <row r="50" spans="1:8" x14ac:dyDescent="0.3">
      <c r="A50" s="366"/>
      <c r="B50" s="379" t="s">
        <v>230</v>
      </c>
      <c r="C50" s="379" t="s">
        <v>595</v>
      </c>
      <c r="D50" s="388">
        <f>3.5*$D$8</f>
        <v>3.9549999999999996</v>
      </c>
      <c r="E50" s="388">
        <f>3.5*$D$8</f>
        <v>3.9549999999999996</v>
      </c>
      <c r="F50" s="388">
        <f>3.5*$D$8</f>
        <v>3.9549999999999996</v>
      </c>
      <c r="G50" s="387"/>
      <c r="H50" s="381"/>
    </row>
    <row r="51" spans="1:8" x14ac:dyDescent="0.3">
      <c r="A51" s="366"/>
      <c r="B51" s="386"/>
      <c r="C51" s="386"/>
      <c r="D51" s="386"/>
      <c r="E51" s="386"/>
      <c r="F51" s="386"/>
      <c r="G51" s="386"/>
      <c r="H51" s="386"/>
    </row>
    <row r="52" spans="1:8" x14ac:dyDescent="0.3">
      <c r="A52" s="366"/>
      <c r="B52" s="385" t="s">
        <v>231</v>
      </c>
      <c r="C52" s="384"/>
      <c r="D52" s="384"/>
      <c r="E52" s="384"/>
      <c r="F52" s="384"/>
      <c r="G52" s="384"/>
      <c r="H52" s="384"/>
    </row>
    <row r="53" spans="1:8" x14ac:dyDescent="0.3">
      <c r="A53" s="366"/>
      <c r="B53" s="381"/>
      <c r="C53" s="381"/>
      <c r="D53" s="381"/>
      <c r="E53" s="381"/>
      <c r="F53" s="381"/>
      <c r="G53" s="381"/>
      <c r="H53" s="381"/>
    </row>
    <row r="54" spans="1:8" x14ac:dyDescent="0.3">
      <c r="A54" s="366"/>
      <c r="B54" s="381"/>
      <c r="C54" s="381"/>
      <c r="D54" s="380" t="s">
        <v>4</v>
      </c>
      <c r="E54" s="380" t="s">
        <v>5</v>
      </c>
      <c r="F54" s="380" t="s">
        <v>6</v>
      </c>
      <c r="G54" s="380" t="s">
        <v>7</v>
      </c>
      <c r="H54" s="380" t="s">
        <v>260</v>
      </c>
    </row>
    <row r="55" spans="1:8" x14ac:dyDescent="0.3">
      <c r="A55" s="366"/>
      <c r="B55" s="379" t="s">
        <v>229</v>
      </c>
      <c r="C55" s="379" t="s">
        <v>343</v>
      </c>
      <c r="D55" s="378">
        <v>4</v>
      </c>
      <c r="E55" s="378">
        <v>2</v>
      </c>
      <c r="F55" s="378">
        <v>2</v>
      </c>
      <c r="G55" s="378">
        <v>3</v>
      </c>
      <c r="H55" s="378">
        <v>3</v>
      </c>
    </row>
    <row r="56" spans="1:8" x14ac:dyDescent="0.3">
      <c r="B56" s="24"/>
      <c r="C56" s="24"/>
      <c r="D56" s="24"/>
      <c r="E56" s="24"/>
      <c r="F56" s="24"/>
      <c r="G56" s="24"/>
      <c r="H56" s="24"/>
    </row>
    <row r="57" spans="1:8" x14ac:dyDescent="0.3">
      <c r="B57" s="381"/>
      <c r="C57" s="381"/>
      <c r="D57" s="380" t="s">
        <v>4</v>
      </c>
      <c r="E57" s="380" t="s">
        <v>5</v>
      </c>
      <c r="F57" s="380" t="s">
        <v>6</v>
      </c>
      <c r="G57" s="380" t="s">
        <v>7</v>
      </c>
      <c r="H57" s="380" t="s">
        <v>260</v>
      </c>
    </row>
    <row r="58" spans="1:8" x14ac:dyDescent="0.3">
      <c r="B58" s="379" t="s">
        <v>530</v>
      </c>
      <c r="C58" s="888" t="s">
        <v>535</v>
      </c>
      <c r="D58" s="989">
        <v>200</v>
      </c>
      <c r="E58" s="989">
        <v>120</v>
      </c>
      <c r="F58" s="989">
        <v>200</v>
      </c>
      <c r="G58" s="989">
        <v>180</v>
      </c>
      <c r="H58" s="989">
        <v>200</v>
      </c>
    </row>
    <row r="59" spans="1:8" ht="14.5" x14ac:dyDescent="0.35">
      <c r="C59" s="889" t="s">
        <v>536</v>
      </c>
      <c r="D59" s="990">
        <v>86</v>
      </c>
      <c r="E59" s="990">
        <v>68</v>
      </c>
      <c r="F59" s="990">
        <v>92</v>
      </c>
      <c r="G59" s="990">
        <v>91</v>
      </c>
      <c r="H59" s="990">
        <v>96</v>
      </c>
    </row>
    <row r="60" spans="1:8" ht="14.5" x14ac:dyDescent="0.35">
      <c r="C60" s="890" t="s">
        <v>537</v>
      </c>
      <c r="D60" s="991">
        <v>149</v>
      </c>
      <c r="E60" s="991">
        <v>208</v>
      </c>
      <c r="F60" s="991">
        <v>209</v>
      </c>
      <c r="G60" s="991">
        <v>344</v>
      </c>
      <c r="H60" s="991">
        <v>238</v>
      </c>
    </row>
  </sheetData>
  <sheetProtection selectLockedCells="1"/>
  <dataValidations count="1">
    <dataValidation type="decimal" errorStyle="information" allowBlank="1" showInputMessage="1" showErrorMessage="1" errorTitle="Input Range" error="Value between 0.01 and 0.15" promptTitle="Select discount rate" prompt="0.01-0.15" sqref="D9">
      <formula1>0</formula1>
      <formula2>0.15</formula2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43"/>
  <sheetViews>
    <sheetView topLeftCell="R32" zoomScale="170" zoomScaleNormal="170" workbookViewId="0">
      <selection activeCell="Q17" sqref="Q17"/>
    </sheetView>
  </sheetViews>
  <sheetFormatPr defaultColWidth="9" defaultRowHeight="14" x14ac:dyDescent="0.3"/>
  <cols>
    <col min="2" max="2" width="14.33203125" customWidth="1"/>
    <col min="3" max="3" width="10.58203125" customWidth="1"/>
    <col min="6" max="6" width="11" customWidth="1"/>
    <col min="7" max="7" width="18.08203125" customWidth="1"/>
  </cols>
  <sheetData>
    <row r="4" spans="2:14" x14ac:dyDescent="0.3">
      <c r="B4" s="254"/>
      <c r="C4" s="254"/>
      <c r="D4" s="254"/>
      <c r="E4" s="254"/>
      <c r="F4" s="98"/>
      <c r="G4" s="98"/>
      <c r="H4" s="98"/>
      <c r="I4" s="254"/>
      <c r="J4" s="254"/>
      <c r="K4" s="254"/>
      <c r="L4" s="254"/>
      <c r="M4" s="254"/>
      <c r="N4" s="98"/>
    </row>
    <row r="5" spans="2:14" ht="15" customHeight="1" x14ac:dyDescent="0.3">
      <c r="B5" s="1099" t="s">
        <v>616</v>
      </c>
      <c r="C5" s="1100"/>
      <c r="D5" s="255"/>
      <c r="E5" s="255"/>
      <c r="F5" s="39"/>
      <c r="G5" s="39"/>
      <c r="H5" s="39"/>
      <c r="I5" s="255"/>
      <c r="J5" s="255"/>
      <c r="K5" s="255"/>
      <c r="L5" s="255"/>
      <c r="M5" s="255"/>
      <c r="N5" s="39"/>
    </row>
    <row r="6" spans="2:14" x14ac:dyDescent="0.3">
      <c r="B6" s="256"/>
      <c r="C6" s="39"/>
      <c r="D6" s="39"/>
      <c r="E6" s="255"/>
      <c r="H6" s="39"/>
      <c r="I6" s="255"/>
      <c r="J6" s="255"/>
      <c r="K6" s="255"/>
      <c r="L6" s="255"/>
      <c r="M6" s="255"/>
      <c r="N6" s="39"/>
    </row>
    <row r="7" spans="2:14" x14ac:dyDescent="0.3">
      <c r="B7" s="256"/>
      <c r="C7" s="39"/>
      <c r="D7" s="39"/>
      <c r="E7" s="255"/>
      <c r="H7" s="255"/>
      <c r="I7" s="255"/>
      <c r="J7" s="255"/>
      <c r="K7" s="255"/>
      <c r="L7" s="255"/>
      <c r="M7" s="255"/>
      <c r="N7" s="39"/>
    </row>
    <row r="8" spans="2:14" x14ac:dyDescent="0.3">
      <c r="B8" s="98"/>
      <c r="C8" s="39"/>
      <c r="D8" s="39"/>
      <c r="E8" s="255"/>
      <c r="H8" s="255"/>
      <c r="I8" s="255"/>
      <c r="J8" s="255"/>
      <c r="K8" s="255"/>
      <c r="L8" s="255"/>
      <c r="M8" s="255"/>
      <c r="N8" s="39"/>
    </row>
    <row r="14" spans="2:14" x14ac:dyDescent="0.3">
      <c r="B14" s="39"/>
      <c r="C14" s="39"/>
      <c r="D14" s="1101" t="s">
        <v>311</v>
      </c>
      <c r="E14" s="1102"/>
      <c r="F14" s="1102"/>
      <c r="G14" s="1102"/>
      <c r="H14" s="272"/>
      <c r="I14" s="263" t="s">
        <v>312</v>
      </c>
      <c r="J14" s="263" t="s">
        <v>313</v>
      </c>
    </row>
    <row r="15" spans="2:14" x14ac:dyDescent="0.3">
      <c r="B15" s="250"/>
      <c r="C15" s="250"/>
      <c r="D15" s="261">
        <v>-1</v>
      </c>
      <c r="E15" s="261">
        <v>-0.5</v>
      </c>
      <c r="F15" s="261">
        <v>0</v>
      </c>
      <c r="G15" s="261">
        <v>0.5</v>
      </c>
      <c r="H15" s="261">
        <v>1</v>
      </c>
      <c r="I15" s="264"/>
      <c r="J15" s="264"/>
    </row>
    <row r="16" spans="2:14" x14ac:dyDescent="0.3">
      <c r="B16" s="252" t="s">
        <v>8</v>
      </c>
      <c r="C16" s="253"/>
      <c r="D16" s="262"/>
      <c r="E16" s="262"/>
      <c r="F16" s="262"/>
      <c r="G16" s="262"/>
      <c r="H16" s="262"/>
      <c r="I16" s="263"/>
      <c r="J16" s="263"/>
    </row>
    <row r="17" spans="2:10" x14ac:dyDescent="0.3">
      <c r="B17" s="251"/>
      <c r="C17" s="251" t="s">
        <v>94</v>
      </c>
      <c r="D17" s="800">
        <f>'Sensitivity Analysis Price'!AA164</f>
        <v>-3372.8834968746237</v>
      </c>
      <c r="E17" s="800">
        <f>'Sensitivity Analysis Price'!Y164</f>
        <v>473.8164091804656</v>
      </c>
      <c r="F17" s="800">
        <f>'Sensitivity Analysis Price'!W164</f>
        <v>4320.5163152355553</v>
      </c>
      <c r="G17" s="800">
        <f>'Sensitivity Analysis Price'!X164</f>
        <v>8167.2162212906433</v>
      </c>
      <c r="H17" s="800">
        <f>'Sensitivity Analysis Price'!Z164</f>
        <v>12013.916127345736</v>
      </c>
      <c r="I17" s="296">
        <f t="shared" ref="I17:I22" si="0">MAX(D17:H17)-MIN(D17:H17)</f>
        <v>15386.799624220359</v>
      </c>
      <c r="J17" s="296">
        <f>RANK(I17,$I$17:$I$43)</f>
        <v>14</v>
      </c>
    </row>
    <row r="18" spans="2:10" x14ac:dyDescent="0.3">
      <c r="B18" s="251"/>
      <c r="C18" s="776" t="s">
        <v>95</v>
      </c>
      <c r="D18" s="800">
        <f>'Sensitivity Analysis Price'!AF164</f>
        <v>-4785.8392141021995</v>
      </c>
      <c r="E18" s="800">
        <f>'Sensitivity Analysis Price'!AD164</f>
        <v>-91.0949242686047</v>
      </c>
      <c r="F18" s="800">
        <f>'Sensitivity Analysis Price'!AB164</f>
        <v>4603.6493655649911</v>
      </c>
      <c r="G18" s="800">
        <f>'Sensitivity Analysis Price'!AC164</f>
        <v>9298.3936553985877</v>
      </c>
      <c r="H18" s="800">
        <f>'Sensitivity Analysis Price'!AE164</f>
        <v>13993.137945232185</v>
      </c>
      <c r="I18" s="296">
        <f t="shared" si="0"/>
        <v>18778.977159334383</v>
      </c>
      <c r="J18" s="296">
        <f t="shared" ref="J18:J40" si="1">RANK(I18,$I$17:$I$43)</f>
        <v>10</v>
      </c>
    </row>
    <row r="19" spans="2:10" x14ac:dyDescent="0.3">
      <c r="B19" s="251"/>
      <c r="C19" s="776" t="s">
        <v>260</v>
      </c>
      <c r="D19" s="800">
        <f>'Sensitivity Analysis Price'!AK164</f>
        <v>-12538.253637792393</v>
      </c>
      <c r="E19" s="800">
        <f>'Sensitivity Analysis Price'!AI164</f>
        <v>-3522.2218618090428</v>
      </c>
      <c r="F19" s="800">
        <f>'Sensitivity Analysis Price'!AG164</f>
        <v>5493.8099141743096</v>
      </c>
      <c r="G19" s="800">
        <f>'Sensitivity Analysis Price'!AH164</f>
        <v>14509.841690157669</v>
      </c>
      <c r="H19" s="800">
        <f>'Sensitivity Analysis Price'!AJ164</f>
        <v>23525.873466141005</v>
      </c>
      <c r="I19" s="296">
        <f t="shared" si="0"/>
        <v>36064.127103933395</v>
      </c>
      <c r="J19" s="296">
        <f t="shared" si="1"/>
        <v>1</v>
      </c>
    </row>
    <row r="20" spans="2:10" x14ac:dyDescent="0.3">
      <c r="B20" s="251"/>
      <c r="C20" s="257" t="s">
        <v>96</v>
      </c>
      <c r="D20" s="800">
        <f>'Sensitivity Analysis Price'!L164</f>
        <v>-7547.1792029081425</v>
      </c>
      <c r="E20" s="800">
        <f>'Sensitivity Analysis Price'!J164</f>
        <v>-2962.4909214398576</v>
      </c>
      <c r="F20" s="800">
        <f>'Sensitivity Analysis Price'!H164</f>
        <v>1622.1973600284255</v>
      </c>
      <c r="G20" s="800">
        <f>'Sensitivity Analysis Price'!I164</f>
        <v>6206.8856414967104</v>
      </c>
      <c r="H20" s="800">
        <f>'Sensitivity Analysis Price'!K164</f>
        <v>10791.573922964995</v>
      </c>
      <c r="I20" s="296">
        <f t="shared" si="0"/>
        <v>18338.75312587314</v>
      </c>
      <c r="J20" s="296">
        <f t="shared" si="1"/>
        <v>12</v>
      </c>
    </row>
    <row r="21" spans="2:10" x14ac:dyDescent="0.3">
      <c r="B21" s="258"/>
      <c r="C21" s="257" t="s">
        <v>451</v>
      </c>
      <c r="D21" s="800">
        <f>'Sensitivity Analysis Price'!Q164</f>
        <v>-5092.0798609659341</v>
      </c>
      <c r="E21" s="800">
        <f>'Sensitivity Analysis Price'!O164</f>
        <v>1140.4153052589954</v>
      </c>
      <c r="F21" s="800">
        <f>'Sensitivity Analysis Price'!M164</f>
        <v>7372.9104714839232</v>
      </c>
      <c r="G21" s="800">
        <f>'Sensitivity Analysis Price'!N164</f>
        <v>13605.405637708845</v>
      </c>
      <c r="H21" s="800">
        <f>'Sensitivity Analysis Price'!P164</f>
        <v>19837.900803933782</v>
      </c>
      <c r="I21" s="296">
        <f t="shared" si="0"/>
        <v>24929.980664899718</v>
      </c>
      <c r="J21" s="296">
        <f t="shared" si="1"/>
        <v>7</v>
      </c>
    </row>
    <row r="22" spans="2:10" x14ac:dyDescent="0.3">
      <c r="B22" s="259"/>
      <c r="C22" s="260" t="s">
        <v>299</v>
      </c>
      <c r="D22" s="801">
        <f>'Sensitivity Analysis Price'!V164</f>
        <v>-15886.316516307119</v>
      </c>
      <c r="E22" s="801">
        <f>'Sensitivity Analysis Price'!T164</f>
        <v>-7197.3716222013954</v>
      </c>
      <c r="F22" s="801">
        <f>'Sensitivity Analysis Price'!R164</f>
        <v>1491.5732719043299</v>
      </c>
      <c r="G22" s="801">
        <f>'Sensitivity Analysis Price'!S164</f>
        <v>10180.51816601005</v>
      </c>
      <c r="H22" s="801">
        <f>'Sensitivity Analysis Price'!U164</f>
        <v>18869.463060115773</v>
      </c>
      <c r="I22" s="297">
        <f t="shared" si="0"/>
        <v>34755.779576422894</v>
      </c>
      <c r="J22" s="297">
        <f t="shared" si="1"/>
        <v>4</v>
      </c>
    </row>
    <row r="23" spans="2:10" x14ac:dyDescent="0.3">
      <c r="B23" s="251" t="s">
        <v>314</v>
      </c>
      <c r="C23" s="63"/>
      <c r="D23" s="802"/>
      <c r="E23" s="802"/>
      <c r="F23" s="802"/>
      <c r="G23" s="802"/>
      <c r="H23" s="802"/>
      <c r="I23" s="802"/>
      <c r="J23" s="802"/>
    </row>
    <row r="24" spans="2:10" x14ac:dyDescent="0.3">
      <c r="B24" s="251"/>
      <c r="C24" s="251" t="s">
        <v>94</v>
      </c>
      <c r="D24" s="800">
        <f>'Sensitivity Analysis Yield'!AA164</f>
        <v>-3372.8834968746237</v>
      </c>
      <c r="E24" s="800">
        <f>'Sensitivity Analysis Yield'!Y164</f>
        <v>473.8164091804656</v>
      </c>
      <c r="F24" s="800">
        <f>'Sensitivity Analysis Yield'!W164</f>
        <v>4320.5163152355553</v>
      </c>
      <c r="G24" s="800">
        <f>'Sensitivity Analysis Yield'!X164</f>
        <v>8167.2162212906433</v>
      </c>
      <c r="H24" s="800">
        <f>'Sensitivity Analysis Yield'!Z164</f>
        <v>12013.916127345736</v>
      </c>
      <c r="I24" s="296">
        <f t="shared" ref="I24:I29" si="2">MAX(D24:H24)-MIN(D24:H24)</f>
        <v>15386.799624220359</v>
      </c>
      <c r="J24" s="296">
        <f t="shared" si="1"/>
        <v>14</v>
      </c>
    </row>
    <row r="25" spans="2:10" x14ac:dyDescent="0.3">
      <c r="B25" s="251"/>
      <c r="C25" s="776" t="s">
        <v>95</v>
      </c>
      <c r="D25" s="800">
        <f>'Sensitivity Analysis Yield'!AF164</f>
        <v>-4785.8392141021995</v>
      </c>
      <c r="E25" s="800">
        <f>'Sensitivity Analysis Yield'!AD164</f>
        <v>-91.0949242686047</v>
      </c>
      <c r="F25" s="800">
        <f>'Sensitivity Analysis Yield'!AB164</f>
        <v>4603.6493655649911</v>
      </c>
      <c r="G25" s="800">
        <f>'Sensitivity Analysis Yield'!AC164</f>
        <v>9298.3936553985877</v>
      </c>
      <c r="H25" s="800">
        <f>'Sensitivity Analysis Yield'!AE164</f>
        <v>13993.137945232185</v>
      </c>
      <c r="I25" s="296">
        <f t="shared" si="2"/>
        <v>18778.977159334383</v>
      </c>
      <c r="J25" s="296">
        <f t="shared" si="1"/>
        <v>10</v>
      </c>
    </row>
    <row r="26" spans="2:10" x14ac:dyDescent="0.3">
      <c r="B26" s="251"/>
      <c r="C26" s="776" t="s">
        <v>260</v>
      </c>
      <c r="D26" s="800">
        <f>'Sensitivity Analysis Yield'!AK164</f>
        <v>-12538.253637792393</v>
      </c>
      <c r="E26" s="800">
        <f>'Sensitivity Analysis Yield'!AI164</f>
        <v>-3522.2218618090428</v>
      </c>
      <c r="F26" s="800">
        <f>'Sensitivity Analysis Yield'!AG164</f>
        <v>5493.8099141743096</v>
      </c>
      <c r="G26" s="800">
        <f>'Sensitivity Analysis Yield'!AH164</f>
        <v>14509.841690157662</v>
      </c>
      <c r="H26" s="800">
        <f>'Sensitivity Analysis Yield'!AJ164</f>
        <v>23525.873466141005</v>
      </c>
      <c r="I26" s="296">
        <f t="shared" si="2"/>
        <v>36064.127103933395</v>
      </c>
      <c r="J26" s="296">
        <f t="shared" si="1"/>
        <v>1</v>
      </c>
    </row>
    <row r="27" spans="2:10" x14ac:dyDescent="0.3">
      <c r="B27" s="105"/>
      <c r="C27" s="257" t="s">
        <v>96</v>
      </c>
      <c r="D27" s="800">
        <f>'Sensitivity Analysis Yield'!L164</f>
        <v>-7547.1792029081425</v>
      </c>
      <c r="E27" s="800">
        <f>'Sensitivity Analysis Yield'!J164</f>
        <v>-2962.4909214398576</v>
      </c>
      <c r="F27" s="800">
        <f>'Sensitivity Analysis Yield'!H164</f>
        <v>1622.1973600284255</v>
      </c>
      <c r="G27" s="800">
        <f>'Sensitivity Analysis Yield'!I164</f>
        <v>6206.8856414967086</v>
      </c>
      <c r="H27" s="800">
        <f>'Sensitivity Analysis Yield'!K164</f>
        <v>10791.573922964995</v>
      </c>
      <c r="I27" s="296">
        <f t="shared" si="2"/>
        <v>18338.75312587314</v>
      </c>
      <c r="J27" s="296">
        <f t="shared" si="1"/>
        <v>12</v>
      </c>
    </row>
    <row r="28" spans="2:10" x14ac:dyDescent="0.3">
      <c r="B28" s="251"/>
      <c r="C28" s="257" t="s">
        <v>451</v>
      </c>
      <c r="D28" s="800">
        <f>'Sensitivity Analysis Yield'!Q164</f>
        <v>-5092.0798609659341</v>
      </c>
      <c r="E28" s="800">
        <f>'Sensitivity Analysis Yield'!O164</f>
        <v>1140.4153052589954</v>
      </c>
      <c r="F28" s="800">
        <f>'Sensitivity Analysis Yield'!M164</f>
        <v>7372.9104714839232</v>
      </c>
      <c r="G28" s="800">
        <f>'Sensitivity Analysis Yield'!N164</f>
        <v>13605.405637708845</v>
      </c>
      <c r="H28" s="800">
        <f>'Sensitivity Analysis Yield'!P164</f>
        <v>19837.900803933782</v>
      </c>
      <c r="I28" s="296">
        <f t="shared" si="2"/>
        <v>24929.980664899718</v>
      </c>
      <c r="J28" s="296">
        <f t="shared" si="1"/>
        <v>7</v>
      </c>
    </row>
    <row r="29" spans="2:10" x14ac:dyDescent="0.3">
      <c r="B29" s="249"/>
      <c r="C29" s="260" t="s">
        <v>299</v>
      </c>
      <c r="D29" s="801">
        <f>'Sensitivity Analysis Yield'!V164</f>
        <v>-15886.316516307119</v>
      </c>
      <c r="E29" s="801">
        <f>'Sensitivity Analysis Yield'!T164</f>
        <v>-7197.3716222013954</v>
      </c>
      <c r="F29" s="801">
        <f>'Sensitivity Analysis Yield'!R164</f>
        <v>1491.5732719043299</v>
      </c>
      <c r="G29" s="801">
        <f>'Sensitivity Analysis Yield'!S164</f>
        <v>10180.51816601005</v>
      </c>
      <c r="H29" s="801">
        <f>'Sensitivity Analysis Yield'!U164</f>
        <v>18869.463060115773</v>
      </c>
      <c r="I29" s="297">
        <f t="shared" si="2"/>
        <v>34755.779576422894</v>
      </c>
      <c r="J29" s="297">
        <f t="shared" si="1"/>
        <v>4</v>
      </c>
    </row>
    <row r="30" spans="2:10" x14ac:dyDescent="0.3">
      <c r="B30" s="251" t="s">
        <v>315</v>
      </c>
      <c r="C30" s="63"/>
      <c r="D30" s="802"/>
      <c r="E30" s="802"/>
      <c r="F30" s="802"/>
      <c r="G30" s="802"/>
      <c r="H30" s="802"/>
      <c r="I30" s="802"/>
      <c r="J30" s="802"/>
    </row>
    <row r="31" spans="2:10" x14ac:dyDescent="0.3">
      <c r="B31" s="251"/>
      <c r="C31" s="251" t="s">
        <v>94</v>
      </c>
      <c r="D31" s="800">
        <f>'Sensitivity Analysis Costs'!AA164</f>
        <v>9825.6300808001597</v>
      </c>
      <c r="E31" s="800">
        <f>'Sensitivity Analysis Costs'!Y164</f>
        <v>7073.0731980178571</v>
      </c>
      <c r="F31" s="800">
        <f>'Sensitivity Analysis Costs'!W164</f>
        <v>4320.5163152355553</v>
      </c>
      <c r="G31" s="800">
        <f>'Sensitivity Analysis Costs'!X164</f>
        <v>1567.9594324532573</v>
      </c>
      <c r="H31" s="800">
        <f>'Sensitivity Analysis Costs'!Z164</f>
        <v>-1184.597450329049</v>
      </c>
      <c r="I31" s="296">
        <f t="shared" ref="I31:I36" si="3">MAX(D31:H31)-MIN(D31:H31)</f>
        <v>11010.227531129209</v>
      </c>
      <c r="J31" s="296">
        <f t="shared" si="1"/>
        <v>18</v>
      </c>
    </row>
    <row r="32" spans="2:10" x14ac:dyDescent="0.3">
      <c r="B32" s="251"/>
      <c r="C32" s="776" t="s">
        <v>95</v>
      </c>
      <c r="D32" s="800">
        <f>'Sensitivity Analysis Costs'!AF164</f>
        <v>11521.718848357172</v>
      </c>
      <c r="E32" s="800">
        <f>'Sensitivity Analysis Costs'!AD164</f>
        <v>8062.6841069610819</v>
      </c>
      <c r="F32" s="800">
        <f>'Sensitivity Analysis Costs'!AB164</f>
        <v>4603.6493655649911</v>
      </c>
      <c r="G32" s="800">
        <f>'Sensitivity Analysis Costs'!AC164</f>
        <v>1144.6146241688984</v>
      </c>
      <c r="H32" s="800">
        <f>'Sensitivity Analysis Costs'!AE164</f>
        <v>-2314.4201172271896</v>
      </c>
      <c r="I32" s="296">
        <f t="shared" si="3"/>
        <v>13836.138965584361</v>
      </c>
      <c r="J32" s="296">
        <f t="shared" si="1"/>
        <v>17</v>
      </c>
    </row>
    <row r="33" spans="2:10" x14ac:dyDescent="0.3">
      <c r="B33" s="251"/>
      <c r="C33" s="776" t="s">
        <v>260</v>
      </c>
      <c r="D33" s="800">
        <f>'Sensitivity Analysis Costs'!AK164</f>
        <v>20164.293820656683</v>
      </c>
      <c r="E33" s="800">
        <f>'Sensitivity Analysis Costs'!AI164</f>
        <v>12829.051867415496</v>
      </c>
      <c r="F33" s="800">
        <f>'Sensitivity Analysis Costs'!AG164</f>
        <v>5493.8099141743096</v>
      </c>
      <c r="G33" s="800">
        <f>'Sensitivity Analysis Costs'!AH164</f>
        <v>-1841.4320390668763</v>
      </c>
      <c r="H33" s="800">
        <f>'Sensitivity Analysis Costs'!AJ164</f>
        <v>-9176.673992308064</v>
      </c>
      <c r="I33" s="296">
        <f t="shared" si="3"/>
        <v>29340.967812964747</v>
      </c>
      <c r="J33" s="296">
        <f t="shared" si="1"/>
        <v>6</v>
      </c>
    </row>
    <row r="34" spans="2:10" x14ac:dyDescent="0.3">
      <c r="B34" s="105"/>
      <c r="C34" s="257" t="s">
        <v>96</v>
      </c>
      <c r="D34" s="800">
        <f>'Sensitivity Analysis Costs'!L164</f>
        <v>11301.606831626548</v>
      </c>
      <c r="E34" s="800">
        <f>'Sensitivity Analysis Costs'!J164</f>
        <v>6461.9020958274868</v>
      </c>
      <c r="F34" s="800">
        <f>'Sensitivity Analysis Costs'!H164</f>
        <v>1622.1973600284255</v>
      </c>
      <c r="G34" s="800">
        <f>'Sensitivity Analysis Costs'!I164</f>
        <v>-3217.5073757706323</v>
      </c>
      <c r="H34" s="800">
        <f>'Sensitivity Analysis Costs'!K164</f>
        <v>-8057.2121115696973</v>
      </c>
      <c r="I34" s="296">
        <f t="shared" si="3"/>
        <v>19358.818943196246</v>
      </c>
      <c r="J34" s="296">
        <f t="shared" si="1"/>
        <v>9</v>
      </c>
    </row>
    <row r="35" spans="2:10" x14ac:dyDescent="0.3">
      <c r="B35" s="105"/>
      <c r="C35" s="257" t="s">
        <v>451</v>
      </c>
      <c r="D35" s="800">
        <f>'Sensitivity Analysis Costs'!Q164</f>
        <v>14597.220601139838</v>
      </c>
      <c r="E35" s="800">
        <f>'Sensitivity Analysis Costs'!O164</f>
        <v>10985.06553631188</v>
      </c>
      <c r="F35" s="800">
        <f>'Sensitivity Analysis Costs'!M164</f>
        <v>7372.9104714839232</v>
      </c>
      <c r="G35" s="800">
        <f>'Sensitivity Analysis Costs'!N164</f>
        <v>3760.755406655966</v>
      </c>
      <c r="H35" s="800">
        <f>'Sensitivity Analysis Costs'!P164</f>
        <v>148.60034182800882</v>
      </c>
      <c r="I35" s="296">
        <f t="shared" si="3"/>
        <v>14448.620259311829</v>
      </c>
      <c r="J35" s="296">
        <f t="shared" si="1"/>
        <v>16</v>
      </c>
    </row>
    <row r="36" spans="2:10" x14ac:dyDescent="0.3">
      <c r="B36" s="106"/>
      <c r="C36" s="260" t="s">
        <v>299</v>
      </c>
      <c r="D36" s="801">
        <f>'Sensitivity Analysis Costs'!V164</f>
        <v>19510.120056901429</v>
      </c>
      <c r="E36" s="801">
        <f>'Sensitivity Analysis Costs'!T164</f>
        <v>10500.846664402879</v>
      </c>
      <c r="F36" s="801">
        <f>'Sensitivity Analysis Costs'!R164</f>
        <v>1491.5732719043299</v>
      </c>
      <c r="G36" s="801">
        <f>'Sensitivity Analysis Costs'!S164</f>
        <v>-7517.7001205942252</v>
      </c>
      <c r="H36" s="801">
        <f>'Sensitivity Analysis Costs'!U164</f>
        <v>-16526.973513092769</v>
      </c>
      <c r="I36" s="297">
        <f t="shared" si="3"/>
        <v>36037.093569994198</v>
      </c>
      <c r="J36" s="297">
        <f t="shared" si="1"/>
        <v>3</v>
      </c>
    </row>
    <row r="37" spans="2:10" x14ac:dyDescent="0.3">
      <c r="B37" s="251" t="s">
        <v>297</v>
      </c>
      <c r="C37" s="776"/>
      <c r="D37" s="803"/>
      <c r="E37" s="803"/>
      <c r="F37" s="803"/>
      <c r="G37" s="803"/>
      <c r="H37" s="803"/>
      <c r="I37" s="803"/>
      <c r="J37" s="803"/>
    </row>
    <row r="38" spans="2:10" x14ac:dyDescent="0.3">
      <c r="B38" s="251"/>
      <c r="C38" s="251" t="s">
        <v>94</v>
      </c>
      <c r="D38" s="800">
        <f>'Sensitivity Analysis Discount R'!AA164</f>
        <v>6992.2648959999988</v>
      </c>
      <c r="E38" s="800">
        <f>'Sensitivity Analysis Discount R'!Y164</f>
        <v>5505.2548740137954</v>
      </c>
      <c r="F38" s="800">
        <f>'Sensitivity Analysis Discount R'!W164</f>
        <v>4320.5163152355553</v>
      </c>
      <c r="G38" s="800">
        <f>'Sensitivity Analysis Discount R'!X164</f>
        <v>3367.5118301471903</v>
      </c>
      <c r="H38" s="800">
        <f>'Sensitivity Analysis Discount R'!Z164</f>
        <v>2593.7719867585056</v>
      </c>
      <c r="I38" s="296">
        <f t="shared" ref="I38:I43" si="4">MAX(D38:H38)-MIN(D38:H38)</f>
        <v>4398.4929092414932</v>
      </c>
      <c r="J38" s="296">
        <f t="shared" si="1"/>
        <v>21</v>
      </c>
    </row>
    <row r="39" spans="2:10" x14ac:dyDescent="0.3">
      <c r="B39" s="251"/>
      <c r="C39" s="776" t="s">
        <v>95</v>
      </c>
      <c r="D39" s="800">
        <f>'Sensitivity Analysis Discount R'!AF164</f>
        <v>7134.5442559999919</v>
      </c>
      <c r="E39" s="800">
        <f>'Sensitivity Analysis Discount R'!AD164</f>
        <v>5732.3530467219625</v>
      </c>
      <c r="F39" s="800">
        <f>'Sensitivity Analysis Discount R'!AB164</f>
        <v>4603.6493655649911</v>
      </c>
      <c r="G39" s="800">
        <f>'Sensitivity Analysis Discount R'!AC164</f>
        <v>3687.0349411895659</v>
      </c>
      <c r="H39" s="800">
        <f>'Sensitivity Analysis Discount R'!AE164</f>
        <v>2936.2924369138564</v>
      </c>
      <c r="I39" s="296">
        <f t="shared" si="4"/>
        <v>4198.2518190861356</v>
      </c>
      <c r="J39" s="296">
        <f t="shared" si="1"/>
        <v>22</v>
      </c>
    </row>
    <row r="40" spans="2:10" x14ac:dyDescent="0.3">
      <c r="B40" s="251"/>
      <c r="C40" s="776" t="s">
        <v>260</v>
      </c>
      <c r="D40" s="800">
        <f>'Sensitivity Analysis Discount R'!AK164</f>
        <v>7253.5194240000019</v>
      </c>
      <c r="E40" s="800">
        <f>'Sensitivity Analysis Discount R'!AI164</f>
        <v>6278.4938630942634</v>
      </c>
      <c r="F40" s="800">
        <f>'Sensitivity Analysis Discount R'!AG164</f>
        <v>5493.8099141743096</v>
      </c>
      <c r="G40" s="800">
        <f>'Sensitivity Analysis Discount R'!AH164</f>
        <v>4856.3441317064735</v>
      </c>
      <c r="H40" s="800">
        <f>'Sensitivity Analysis Discount R'!AJ164</f>
        <v>4333.7415216367499</v>
      </c>
      <c r="I40" s="296">
        <f t="shared" si="4"/>
        <v>2919.777902363252</v>
      </c>
      <c r="J40" s="296">
        <f t="shared" si="1"/>
        <v>23</v>
      </c>
    </row>
    <row r="41" spans="2:10" x14ac:dyDescent="0.3">
      <c r="B41" s="258"/>
      <c r="C41" s="257" t="s">
        <v>96</v>
      </c>
      <c r="D41" s="800">
        <f>'Sensitivity Analysis Discount R'!L164</f>
        <v>4281.2562560000079</v>
      </c>
      <c r="E41" s="800">
        <f>'Sensitivity Analysis Discount R'!J164</f>
        <v>2807.3435300840301</v>
      </c>
      <c r="F41" s="800">
        <f>'Sensitivity Analysis Discount R'!$H$164</f>
        <v>1622.1973600284255</v>
      </c>
      <c r="G41" s="800">
        <f>'Sensitivity Analysis Discount R'!I164</f>
        <v>660.56356779665475</v>
      </c>
      <c r="H41" s="800">
        <f>'Sensitivity Analysis Discount R'!K164</f>
        <v>-126.57478687301227</v>
      </c>
      <c r="I41" s="296">
        <f t="shared" si="4"/>
        <v>4407.8310428730201</v>
      </c>
      <c r="J41" s="296">
        <f>RANK(I41,$I$20:$I$42)</f>
        <v>17</v>
      </c>
    </row>
    <row r="42" spans="2:10" x14ac:dyDescent="0.3">
      <c r="B42" s="258"/>
      <c r="C42" s="257" t="s">
        <v>451</v>
      </c>
      <c r="D42" s="800">
        <f>'Sensitivity Analysis Discount R'!Q164</f>
        <v>10889.335956000006</v>
      </c>
      <c r="E42" s="800">
        <f>'Sensitivity Analysis Discount R'!O164</f>
        <v>8940.8435664802437</v>
      </c>
      <c r="F42" s="800">
        <f>'Sensitivity Analysis Discount R'!$M$164</f>
        <v>7372.9104714839232</v>
      </c>
      <c r="G42" s="800">
        <f>'Sensitivity Analysis Discount R'!N164</f>
        <v>6099.8416120455904</v>
      </c>
      <c r="H42" s="800">
        <f>'Sensitivity Analysis Discount R'!P164</f>
        <v>5057.1937793220277</v>
      </c>
      <c r="I42" s="296">
        <f t="shared" si="4"/>
        <v>5832.1421766779786</v>
      </c>
      <c r="J42" s="296">
        <f>RANK(I42,$I$20:$I$43)</f>
        <v>16</v>
      </c>
    </row>
    <row r="43" spans="2:10" x14ac:dyDescent="0.3">
      <c r="B43" s="106"/>
      <c r="C43" s="777" t="s">
        <v>299</v>
      </c>
      <c r="D43" s="804">
        <f>'Sensitivity Analysis Discount R'!V164</f>
        <v>1896.9924594285803</v>
      </c>
      <c r="E43" s="804">
        <f>'Sensitivity Analysis Discount R'!T164</f>
        <v>1672.8096558279758</v>
      </c>
      <c r="F43" s="804">
        <f>'Sensitivity Analysis Discount R'!R164</f>
        <v>1491.5732719043299</v>
      </c>
      <c r="G43" s="804">
        <f>'Sensitivity Analysis Discount R'!S164</f>
        <v>1343.6783877619473</v>
      </c>
      <c r="H43" s="804">
        <f>'Sensitivity Analysis Discount R'!U164</f>
        <v>1221.8937856004304</v>
      </c>
      <c r="I43" s="297">
        <f t="shared" si="4"/>
        <v>675.09867382814991</v>
      </c>
      <c r="J43" s="297">
        <f>RANK(I43,$I$20:$I$43)</f>
        <v>21</v>
      </c>
    </row>
  </sheetData>
  <mergeCells count="2">
    <mergeCell ref="B5:C5"/>
    <mergeCell ref="D14:G1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193"/>
  <sheetViews>
    <sheetView topLeftCell="C152" zoomScaleNormal="100" workbookViewId="0">
      <selection activeCell="G188" sqref="G188"/>
    </sheetView>
  </sheetViews>
  <sheetFormatPr defaultColWidth="9" defaultRowHeight="14" x14ac:dyDescent="0.3"/>
  <cols>
    <col min="2" max="2" width="45" customWidth="1"/>
    <col min="5" max="5" width="4.08203125" customWidth="1"/>
    <col min="6" max="6" width="9" customWidth="1"/>
    <col min="7" max="7" width="8" customWidth="1"/>
    <col min="8" max="9" width="9" customWidth="1"/>
    <col min="10" max="10" width="4.08203125" customWidth="1"/>
    <col min="11" max="14" width="9" customWidth="1"/>
    <col min="15" max="15" width="4.08203125" customWidth="1"/>
    <col min="16" max="19" width="9" customWidth="1"/>
    <col min="20" max="20" width="4.08203125" customWidth="1"/>
    <col min="25" max="25" width="4.08203125" customWidth="1"/>
  </cols>
  <sheetData>
    <row r="1" spans="2:29" ht="14.5" thickBot="1" x14ac:dyDescent="0.35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</row>
    <row r="2" spans="2:29" ht="14.5" thickBot="1" x14ac:dyDescent="0.35">
      <c r="B2" s="421" t="s">
        <v>598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</row>
    <row r="3" spans="2:29" x14ac:dyDescent="0.3">
      <c r="B3" s="422"/>
      <c r="C3" s="366"/>
      <c r="D3" s="366"/>
      <c r="E3" s="366"/>
      <c r="F3" s="423"/>
      <c r="G3" s="366"/>
      <c r="H3" s="366"/>
      <c r="I3" s="366"/>
      <c r="J3" s="366"/>
      <c r="K3" s="366"/>
      <c r="L3" s="366"/>
      <c r="M3" s="423"/>
      <c r="N3" s="424"/>
      <c r="O3" s="424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</row>
    <row r="4" spans="2:29" x14ac:dyDescent="0.3">
      <c r="B4" s="425" t="s">
        <v>40</v>
      </c>
      <c r="C4" s="84">
        <f>'Arable Inputs'!D31</f>
        <v>14.99</v>
      </c>
      <c r="D4" s="366"/>
      <c r="E4" s="366"/>
      <c r="F4" s="423"/>
      <c r="G4" s="424"/>
      <c r="H4" s="366"/>
      <c r="I4" s="423"/>
      <c r="J4" s="423"/>
      <c r="K4" s="424"/>
      <c r="L4" s="366"/>
      <c r="M4" s="423"/>
      <c r="N4" s="424"/>
      <c r="O4" s="424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</row>
    <row r="5" spans="2:29" x14ac:dyDescent="0.3"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</row>
    <row r="6" spans="2:29" x14ac:dyDescent="0.3">
      <c r="B6" s="426"/>
      <c r="C6" s="366"/>
      <c r="D6" s="366"/>
      <c r="E6" s="366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</row>
    <row r="7" spans="2:29" x14ac:dyDescent="0.3">
      <c r="B7" s="428"/>
      <c r="C7" s="428"/>
      <c r="D7" s="428"/>
      <c r="E7" s="429"/>
      <c r="F7" s="430" t="s">
        <v>4</v>
      </c>
      <c r="G7" s="431"/>
      <c r="H7" s="431"/>
      <c r="I7" s="431"/>
      <c r="J7" s="429"/>
      <c r="K7" s="432" t="s">
        <v>5</v>
      </c>
      <c r="L7" s="431"/>
      <c r="M7" s="431"/>
      <c r="N7" s="433"/>
      <c r="O7" s="431"/>
      <c r="P7" s="432" t="s">
        <v>6</v>
      </c>
      <c r="Q7" s="431"/>
      <c r="R7" s="431"/>
      <c r="S7" s="433"/>
      <c r="T7" s="431"/>
      <c r="U7" s="432" t="s">
        <v>7</v>
      </c>
      <c r="V7" s="431"/>
      <c r="W7" s="431"/>
      <c r="X7" s="433"/>
      <c r="Y7" s="431"/>
      <c r="Z7" s="432" t="s">
        <v>260</v>
      </c>
      <c r="AA7" s="431"/>
      <c r="AB7" s="431"/>
      <c r="AC7" s="433"/>
    </row>
    <row r="8" spans="2:29" ht="22.5" customHeight="1" x14ac:dyDescent="0.3">
      <c r="B8" s="434"/>
      <c r="C8" s="435"/>
      <c r="D8" s="435"/>
      <c r="E8" s="436"/>
      <c r="F8" s="1025" t="s">
        <v>38</v>
      </c>
      <c r="G8" s="1026"/>
      <c r="H8" s="1023">
        <f>H35+H48+H53+H71+H81+H105+H116+H134+H141+H160</f>
        <v>17.100000000000001</v>
      </c>
      <c r="I8" s="1024"/>
      <c r="J8" s="437"/>
      <c r="K8" s="1034" t="s">
        <v>38</v>
      </c>
      <c r="L8" s="1035"/>
      <c r="M8" s="1024">
        <f>M35+M48+M53+M71+M81+M105+M116+M134+M141+M160</f>
        <v>15.899999999999999</v>
      </c>
      <c r="N8" s="1037"/>
      <c r="O8" s="438"/>
      <c r="P8" s="1034" t="s">
        <v>38</v>
      </c>
      <c r="Q8" s="1025"/>
      <c r="R8" s="1024">
        <f>R35+R48+R53+R71+R81+R105+R116+R134+R141+R160</f>
        <v>17.899999999999999</v>
      </c>
      <c r="S8" s="1037"/>
      <c r="T8" s="438"/>
      <c r="U8" s="1034" t="s">
        <v>38</v>
      </c>
      <c r="V8" s="1025"/>
      <c r="W8" s="1024">
        <f>W35+W48+W53+W71+W81+W105+W116+W134+W141+W160</f>
        <v>27.9</v>
      </c>
      <c r="X8" s="1037"/>
      <c r="Y8" s="438"/>
      <c r="Z8" s="1034" t="s">
        <v>38</v>
      </c>
      <c r="AA8" s="1025"/>
      <c r="AB8" s="1024">
        <f>AB35+AB48+AB53+AB71+AB81+AB105+AB116+AB134+AB141+AB160</f>
        <v>9.3000000000000007</v>
      </c>
      <c r="AC8" s="1037"/>
    </row>
    <row r="9" spans="2:29" ht="22.5" customHeight="1" x14ac:dyDescent="0.3">
      <c r="B9" s="439"/>
      <c r="C9" s="435"/>
      <c r="D9" s="435"/>
      <c r="E9" s="436"/>
      <c r="F9" s="1029" t="s">
        <v>37</v>
      </c>
      <c r="G9" s="1030"/>
      <c r="H9" s="1027">
        <f>I35+I48+I54+I71+I81+I105+I116+I134+I141+I160</f>
        <v>256.32900000000001</v>
      </c>
      <c r="I9" s="1028"/>
      <c r="J9" s="440"/>
      <c r="K9" s="1036" t="s">
        <v>37</v>
      </c>
      <c r="L9" s="1029"/>
      <c r="M9" s="1028">
        <f>N35+N48+N54+N71+N81+N105+N116+N134+N141+N160</f>
        <v>238.34100000000001</v>
      </c>
      <c r="N9" s="1038"/>
      <c r="O9" s="441"/>
      <c r="P9" s="1036" t="s">
        <v>37</v>
      </c>
      <c r="Q9" s="1029"/>
      <c r="R9" s="1028">
        <f>S35+S48+S54+S71+S81+S105+S116+S134+S141+S160</f>
        <v>268.32099999999997</v>
      </c>
      <c r="S9" s="1038"/>
      <c r="T9" s="441"/>
      <c r="U9" s="1036" t="s">
        <v>37</v>
      </c>
      <c r="V9" s="1029"/>
      <c r="W9" s="1028">
        <f>X35+X48+X54+X71+X81+X105+X116+X134+X141+X160</f>
        <v>418.221</v>
      </c>
      <c r="X9" s="1038"/>
      <c r="Y9" s="441"/>
      <c r="Z9" s="1036" t="s">
        <v>37</v>
      </c>
      <c r="AA9" s="1029"/>
      <c r="AB9" s="1028">
        <f>AC35+AC48+AC54+AC71+AC81+AC105+AC116+AC134+AC141+AC160</f>
        <v>139.40700000000001</v>
      </c>
      <c r="AC9" s="1038"/>
    </row>
    <row r="10" spans="2:29" ht="22.5" customHeight="1" x14ac:dyDescent="0.3">
      <c r="B10" s="439" t="s">
        <v>242</v>
      </c>
      <c r="C10" s="442"/>
      <c r="D10" s="435"/>
      <c r="E10" s="436"/>
      <c r="F10" s="1029" t="s">
        <v>36</v>
      </c>
      <c r="G10" s="1030"/>
      <c r="H10" s="1027">
        <f>G35+G48+G53+G71+G81+G105+G116+G134+G141+G160</f>
        <v>641.19273599999997</v>
      </c>
      <c r="I10" s="1028"/>
      <c r="J10" s="440"/>
      <c r="K10" s="1036" t="s">
        <v>36</v>
      </c>
      <c r="L10" s="1029"/>
      <c r="M10" s="1028">
        <f>L35+L48+L53+L71+L81+L105+L116+L134+L141+L160</f>
        <v>578.46236799999997</v>
      </c>
      <c r="N10" s="1038"/>
      <c r="O10" s="441"/>
      <c r="P10" s="1036" t="s">
        <v>36</v>
      </c>
      <c r="Q10" s="1029"/>
      <c r="R10" s="1028">
        <f>Q35+Q48+Q53+Q71+Q81+Q105+Q116+Q134+Q141+Q160</f>
        <v>369.96322685714284</v>
      </c>
      <c r="S10" s="1038"/>
      <c r="T10" s="441"/>
      <c r="U10" s="1036" t="s">
        <v>36</v>
      </c>
      <c r="V10" s="1029"/>
      <c r="W10" s="1028">
        <f>V35+V48+V53+V71+V81+V105+V116+V134+V141+V160</f>
        <v>578.73356799999988</v>
      </c>
      <c r="X10" s="1038"/>
      <c r="Y10" s="441"/>
      <c r="Z10" s="1036" t="s">
        <v>36</v>
      </c>
      <c r="AA10" s="1029"/>
      <c r="AB10" s="1028">
        <f>AA35+AA48+AA53+AA71+AA81+AA105+AA116+AA134+AA141+AA160</f>
        <v>496.95953599999996</v>
      </c>
      <c r="AC10" s="1038"/>
    </row>
    <row r="11" spans="2:29" ht="22.5" customHeight="1" x14ac:dyDescent="0.3">
      <c r="B11" s="16"/>
      <c r="C11" s="428"/>
      <c r="D11" s="428"/>
      <c r="E11" s="443"/>
      <c r="F11" s="1022" t="s">
        <v>39</v>
      </c>
      <c r="G11" s="1031"/>
      <c r="H11" s="1032">
        <f>H10-H9</f>
        <v>384.86373599999996</v>
      </c>
      <c r="I11" s="1033"/>
      <c r="J11" s="444"/>
      <c r="K11" s="1021" t="s">
        <v>39</v>
      </c>
      <c r="L11" s="1022"/>
      <c r="M11" s="1039">
        <f>M10-M9</f>
        <v>340.12136799999996</v>
      </c>
      <c r="N11" s="1040"/>
      <c r="O11" s="445"/>
      <c r="P11" s="1021" t="s">
        <v>39</v>
      </c>
      <c r="Q11" s="1022"/>
      <c r="R11" s="1033">
        <f>R10-R9</f>
        <v>101.64222685714287</v>
      </c>
      <c r="S11" s="1040"/>
      <c r="T11" s="445"/>
      <c r="U11" s="1021" t="s">
        <v>39</v>
      </c>
      <c r="V11" s="1022"/>
      <c r="W11" s="1033">
        <f>W10-W9</f>
        <v>160.51256799999987</v>
      </c>
      <c r="X11" s="1040"/>
      <c r="Y11" s="445"/>
      <c r="Z11" s="1021" t="s">
        <v>39</v>
      </c>
      <c r="AA11" s="1041"/>
      <c r="AB11" s="1033">
        <f>AB10-AB9</f>
        <v>357.55253599999992</v>
      </c>
      <c r="AC11" s="1040"/>
    </row>
    <row r="12" spans="2:29" x14ac:dyDescent="0.3">
      <c r="B12" s="446"/>
      <c r="C12" s="447" t="s">
        <v>100</v>
      </c>
      <c r="D12" s="448" t="s">
        <v>101</v>
      </c>
      <c r="E12" s="449" t="s">
        <v>243</v>
      </c>
      <c r="F12" s="450" t="s">
        <v>42</v>
      </c>
      <c r="G12" s="451" t="s">
        <v>43</v>
      </c>
      <c r="H12" s="450" t="s">
        <v>44</v>
      </c>
      <c r="I12" s="450" t="s">
        <v>45</v>
      </c>
      <c r="J12" s="452" t="s">
        <v>243</v>
      </c>
      <c r="K12" s="453" t="s">
        <v>42</v>
      </c>
      <c r="L12" s="451" t="s">
        <v>45</v>
      </c>
      <c r="M12" s="450" t="s">
        <v>44</v>
      </c>
      <c r="N12" s="451" t="s">
        <v>45</v>
      </c>
      <c r="O12" s="452" t="s">
        <v>243</v>
      </c>
      <c r="P12" s="453" t="s">
        <v>42</v>
      </c>
      <c r="Q12" s="451" t="s">
        <v>45</v>
      </c>
      <c r="R12" s="450" t="s">
        <v>44</v>
      </c>
      <c r="S12" s="451" t="s">
        <v>45</v>
      </c>
      <c r="T12" s="452" t="s">
        <v>243</v>
      </c>
      <c r="U12" s="453" t="s">
        <v>42</v>
      </c>
      <c r="V12" s="451" t="s">
        <v>45</v>
      </c>
      <c r="W12" s="450" t="s">
        <v>44</v>
      </c>
      <c r="X12" s="451" t="s">
        <v>45</v>
      </c>
      <c r="Y12" s="452" t="s">
        <v>243</v>
      </c>
      <c r="Z12" s="453" t="s">
        <v>42</v>
      </c>
      <c r="AA12" s="451" t="s">
        <v>45</v>
      </c>
      <c r="AB12" s="450" t="s">
        <v>44</v>
      </c>
      <c r="AC12" s="451" t="s">
        <v>45</v>
      </c>
    </row>
    <row r="13" spans="2:29" x14ac:dyDescent="0.3">
      <c r="B13" s="432" t="s">
        <v>41</v>
      </c>
      <c r="C13" s="454"/>
      <c r="D13" s="455"/>
      <c r="E13" s="455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7"/>
    </row>
    <row r="14" spans="2:29" x14ac:dyDescent="0.3">
      <c r="B14" s="16" t="s">
        <v>121</v>
      </c>
      <c r="C14" s="458">
        <f>61.38*'Arable Inputs'!$D$8</f>
        <v>69.359399999999994</v>
      </c>
      <c r="D14" s="459">
        <f>52.06*'Arable Inputs'!$D$8</f>
        <v>58.827799999999996</v>
      </c>
      <c r="E14" s="460"/>
      <c r="F14" s="435"/>
      <c r="G14" s="461"/>
      <c r="H14" s="435"/>
      <c r="I14" s="435"/>
      <c r="J14" s="460"/>
      <c r="K14" s="435"/>
      <c r="L14" s="461"/>
      <c r="M14" s="435"/>
      <c r="N14" s="435"/>
      <c r="O14" s="460"/>
      <c r="P14" s="435"/>
      <c r="Q14" s="461"/>
      <c r="R14" s="16"/>
      <c r="S14" s="435"/>
      <c r="T14" s="460"/>
      <c r="U14" s="435"/>
      <c r="V14" s="461"/>
      <c r="W14" s="435"/>
      <c r="X14" s="435"/>
      <c r="Y14" s="460"/>
      <c r="Z14" s="435"/>
      <c r="AA14" s="461"/>
      <c r="AB14" s="462"/>
      <c r="AC14" s="461"/>
    </row>
    <row r="15" spans="2:29" x14ac:dyDescent="0.3">
      <c r="B15" s="16" t="s">
        <v>122</v>
      </c>
      <c r="C15" s="458">
        <f>63.88*'Arable Inputs'!$D$8</f>
        <v>72.184399999999997</v>
      </c>
      <c r="D15" s="459">
        <f>57.54*'Arable Inputs'!$D$8</f>
        <v>65.020199999999988</v>
      </c>
      <c r="E15" s="460">
        <v>2</v>
      </c>
      <c r="F15" s="463">
        <v>1</v>
      </c>
      <c r="G15" s="985">
        <f>IF(F15&gt;=1,CHOOSE(E15,$C15,$D15)*F15)</f>
        <v>65.020199999999988</v>
      </c>
      <c r="H15" s="809">
        <v>1.4</v>
      </c>
      <c r="I15" s="579">
        <f>H15*$C$4</f>
        <v>20.986000000000001</v>
      </c>
      <c r="J15" s="460">
        <v>2</v>
      </c>
      <c r="K15" s="463">
        <v>1</v>
      </c>
      <c r="L15" s="985">
        <f>IF(K15&gt;=1,CHOOSE(J15,$C15,$D15)*K15)</f>
        <v>65.020199999999988</v>
      </c>
      <c r="M15" s="809">
        <v>1.4</v>
      </c>
      <c r="N15" s="579">
        <f>M15*$C$4</f>
        <v>20.986000000000001</v>
      </c>
      <c r="O15" s="460"/>
      <c r="P15" s="435"/>
      <c r="Q15" s="461"/>
      <c r="R15" s="813"/>
      <c r="S15" s="424"/>
      <c r="T15" s="460">
        <v>2</v>
      </c>
      <c r="U15" s="463">
        <v>1</v>
      </c>
      <c r="V15" s="985">
        <f>IF(U15&gt;=1,CHOOSE(T15,$C15,$D15)*U15)</f>
        <v>65.020199999999988</v>
      </c>
      <c r="W15" s="809">
        <v>1.4</v>
      </c>
      <c r="X15" s="579">
        <f>W15*$C$4</f>
        <v>20.986000000000001</v>
      </c>
      <c r="Y15" s="460">
        <v>2</v>
      </c>
      <c r="Z15" s="463">
        <v>1</v>
      </c>
      <c r="AA15" s="985">
        <f>IF(Z15&gt;=1,CHOOSE(Y15,$C15,$D15)*Z15)</f>
        <v>65.020199999999988</v>
      </c>
      <c r="AB15" s="860">
        <v>1.4</v>
      </c>
      <c r="AC15" s="985">
        <f>AB15*$C$4</f>
        <v>20.986000000000001</v>
      </c>
    </row>
    <row r="16" spans="2:29" x14ac:dyDescent="0.3">
      <c r="B16" s="16" t="s">
        <v>123</v>
      </c>
      <c r="C16" s="458">
        <f>(C14+6.92)*'Arable Inputs'!$D$8</f>
        <v>86.195721999999989</v>
      </c>
      <c r="D16" s="459">
        <f>(D14+10.44)*'Arable Inputs'!$D$8</f>
        <v>78.27261399999999</v>
      </c>
      <c r="E16" s="460"/>
      <c r="F16" s="435"/>
      <c r="G16" s="985"/>
      <c r="H16" s="435"/>
      <c r="I16" s="579"/>
      <c r="J16" s="460"/>
      <c r="K16" s="435"/>
      <c r="L16" s="985"/>
      <c r="M16" s="435"/>
      <c r="N16" s="579"/>
      <c r="O16" s="460"/>
      <c r="P16" s="435"/>
      <c r="Q16" s="461"/>
      <c r="R16" s="435"/>
      <c r="S16" s="435"/>
      <c r="T16" s="460"/>
      <c r="U16" s="435"/>
      <c r="V16" s="985"/>
      <c r="W16" s="435"/>
      <c r="X16" s="579"/>
      <c r="Y16" s="460"/>
      <c r="Z16" s="435"/>
      <c r="AA16" s="985"/>
      <c r="AB16" s="462"/>
      <c r="AC16" s="985"/>
    </row>
    <row r="17" spans="2:29" x14ac:dyDescent="0.3">
      <c r="B17" s="16" t="s">
        <v>102</v>
      </c>
      <c r="C17" s="458">
        <f>76.5*'Arable Inputs'!$D$8</f>
        <v>86.444999999999993</v>
      </c>
      <c r="D17" s="459">
        <f>68.49*'Arable Inputs'!$D$8</f>
        <v>77.393699999999981</v>
      </c>
      <c r="E17" s="460"/>
      <c r="F17" s="435"/>
      <c r="G17" s="985"/>
      <c r="H17" s="435"/>
      <c r="I17" s="579"/>
      <c r="J17" s="460"/>
      <c r="K17" s="435"/>
      <c r="L17" s="985"/>
      <c r="M17" s="435"/>
      <c r="N17" s="579"/>
      <c r="O17" s="460"/>
      <c r="P17" s="435"/>
      <c r="Q17" s="461"/>
      <c r="R17" s="435"/>
      <c r="S17" s="435"/>
      <c r="T17" s="460"/>
      <c r="U17" s="435"/>
      <c r="V17" s="985"/>
      <c r="W17" s="435"/>
      <c r="X17" s="579"/>
      <c r="Y17" s="460"/>
      <c r="Z17" s="435"/>
      <c r="AA17" s="985"/>
      <c r="AB17" s="462"/>
      <c r="AC17" s="985"/>
    </row>
    <row r="18" spans="2:29" x14ac:dyDescent="0.3">
      <c r="B18" s="16" t="s">
        <v>125</v>
      </c>
      <c r="C18" s="458">
        <f>75.12*'Arable Inputs'!$D$8</f>
        <v>84.885599999999997</v>
      </c>
      <c r="D18" s="459">
        <v>62.16</v>
      </c>
      <c r="E18" s="460"/>
      <c r="F18" s="435"/>
      <c r="G18" s="985"/>
      <c r="H18" s="435"/>
      <c r="I18" s="579"/>
      <c r="J18" s="460"/>
      <c r="K18" s="435"/>
      <c r="L18" s="985"/>
      <c r="M18" s="435"/>
      <c r="N18" s="579"/>
      <c r="O18" s="460"/>
      <c r="P18" s="435"/>
      <c r="Q18" s="461"/>
      <c r="R18" s="435"/>
      <c r="S18" s="435"/>
      <c r="T18" s="460"/>
      <c r="U18" s="435"/>
      <c r="V18" s="985"/>
      <c r="W18" s="435"/>
      <c r="X18" s="579"/>
      <c r="Y18" s="460"/>
      <c r="Z18" s="435"/>
      <c r="AA18" s="985"/>
      <c r="AB18" s="462"/>
      <c r="AC18" s="985"/>
    </row>
    <row r="19" spans="2:29" x14ac:dyDescent="0.3">
      <c r="B19" s="16" t="s">
        <v>124</v>
      </c>
      <c r="C19" s="458" t="s">
        <v>118</v>
      </c>
      <c r="D19" s="459">
        <f>88.06*'Arable Inputs'!$D$8</f>
        <v>99.507799999999989</v>
      </c>
      <c r="E19" s="460"/>
      <c r="F19" s="435"/>
      <c r="G19" s="985"/>
      <c r="H19" s="435"/>
      <c r="I19" s="579"/>
      <c r="J19" s="460"/>
      <c r="K19" s="435"/>
      <c r="L19" s="985"/>
      <c r="M19" s="435"/>
      <c r="N19" s="579"/>
      <c r="O19" s="460"/>
      <c r="P19" s="435"/>
      <c r="Q19" s="461"/>
      <c r="R19" s="435"/>
      <c r="S19" s="435"/>
      <c r="T19" s="460"/>
      <c r="U19" s="435"/>
      <c r="V19" s="985"/>
      <c r="W19" s="435"/>
      <c r="X19" s="579"/>
      <c r="Y19" s="460"/>
      <c r="Z19" s="435"/>
      <c r="AA19" s="985"/>
      <c r="AB19" s="462"/>
      <c r="AC19" s="985"/>
    </row>
    <row r="20" spans="2:29" x14ac:dyDescent="0.3">
      <c r="B20" s="16" t="s">
        <v>103</v>
      </c>
      <c r="C20" s="458">
        <f>59.3*'Arable Inputs'!$D$8</f>
        <v>67.008999999999986</v>
      </c>
      <c r="D20" s="459">
        <f>52.25*'Arable Inputs'!$D$8</f>
        <v>59.042499999999997</v>
      </c>
      <c r="E20" s="460"/>
      <c r="F20" s="435"/>
      <c r="G20" s="985"/>
      <c r="H20" s="435"/>
      <c r="I20" s="579"/>
      <c r="J20" s="460"/>
      <c r="K20" s="435"/>
      <c r="L20" s="985"/>
      <c r="M20" s="435"/>
      <c r="N20" s="579"/>
      <c r="O20" s="460"/>
      <c r="P20" s="435"/>
      <c r="Q20" s="461"/>
      <c r="R20" s="435"/>
      <c r="S20" s="435"/>
      <c r="T20" s="460"/>
      <c r="U20" s="435"/>
      <c r="V20" s="985"/>
      <c r="W20" s="435"/>
      <c r="X20" s="579"/>
      <c r="Y20" s="460"/>
      <c r="Z20" s="435"/>
      <c r="AA20" s="985"/>
      <c r="AB20" s="462"/>
      <c r="AC20" s="985"/>
    </row>
    <row r="21" spans="2:29" x14ac:dyDescent="0.3">
      <c r="B21" s="16" t="s">
        <v>104</v>
      </c>
      <c r="C21" s="458">
        <f>70.77*'Arable Inputs'!$D$8</f>
        <v>79.970099999999988</v>
      </c>
      <c r="D21" s="459">
        <f>59.72*'Arable Inputs'!$D$8</f>
        <v>67.483599999999996</v>
      </c>
      <c r="E21" s="460"/>
      <c r="F21" s="435"/>
      <c r="G21" s="985"/>
      <c r="H21" s="435"/>
      <c r="I21" s="579"/>
      <c r="J21" s="460"/>
      <c r="K21" s="435"/>
      <c r="L21" s="985"/>
      <c r="M21" s="435"/>
      <c r="N21" s="579"/>
      <c r="O21" s="460"/>
      <c r="P21" s="435"/>
      <c r="Q21" s="461"/>
      <c r="R21" s="435"/>
      <c r="S21" s="435"/>
      <c r="T21" s="460"/>
      <c r="U21" s="435"/>
      <c r="V21" s="985"/>
      <c r="W21" s="435"/>
      <c r="X21" s="579"/>
      <c r="Y21" s="460"/>
      <c r="Z21" s="435"/>
      <c r="AA21" s="985"/>
      <c r="AB21" s="462"/>
      <c r="AC21" s="985"/>
    </row>
    <row r="22" spans="2:29" x14ac:dyDescent="0.3">
      <c r="B22" s="16" t="s">
        <v>46</v>
      </c>
      <c r="C22" s="458">
        <f>18.93*'Arable Inputs'!$D$8</f>
        <v>21.390899999999998</v>
      </c>
      <c r="D22" s="459">
        <f>15.22*'Arable Inputs'!$D$8</f>
        <v>17.198599999999999</v>
      </c>
      <c r="E22" s="460"/>
      <c r="F22" s="435"/>
      <c r="G22" s="985"/>
      <c r="H22" s="435"/>
      <c r="I22" s="579"/>
      <c r="J22" s="460"/>
      <c r="K22" s="435"/>
      <c r="L22" s="985"/>
      <c r="M22" s="435"/>
      <c r="N22" s="579"/>
      <c r="O22" s="460"/>
      <c r="P22" s="435"/>
      <c r="Q22" s="461"/>
      <c r="R22" s="435"/>
      <c r="S22" s="435"/>
      <c r="T22" s="460"/>
      <c r="U22" s="435"/>
      <c r="V22" s="985"/>
      <c r="W22" s="435"/>
      <c r="X22" s="579"/>
      <c r="Y22" s="460"/>
      <c r="Z22" s="435"/>
      <c r="AA22" s="985"/>
      <c r="AB22" s="462"/>
      <c r="AC22" s="985"/>
    </row>
    <row r="23" spans="2:29" x14ac:dyDescent="0.3">
      <c r="B23" s="16" t="s">
        <v>127</v>
      </c>
      <c r="C23" s="458">
        <f>51.89*'Arable Inputs'!$D$8</f>
        <v>58.635699999999993</v>
      </c>
      <c r="D23" s="459">
        <f>33.4*'Arable Inputs'!$D$8</f>
        <v>37.741999999999997</v>
      </c>
      <c r="E23" s="460"/>
      <c r="F23" s="435"/>
      <c r="G23" s="985"/>
      <c r="H23" s="435"/>
      <c r="I23" s="579"/>
      <c r="J23" s="460"/>
      <c r="K23" s="435"/>
      <c r="L23" s="985"/>
      <c r="M23" s="435"/>
      <c r="N23" s="579"/>
      <c r="O23" s="460"/>
      <c r="P23" s="435"/>
      <c r="Q23" s="461"/>
      <c r="R23" s="435"/>
      <c r="S23" s="435"/>
      <c r="T23" s="460"/>
      <c r="U23" s="435"/>
      <c r="V23" s="985"/>
      <c r="W23" s="435"/>
      <c r="X23" s="579"/>
      <c r="Y23" s="460"/>
      <c r="Z23" s="435"/>
      <c r="AA23" s="985"/>
      <c r="AB23" s="462"/>
      <c r="AC23" s="985"/>
    </row>
    <row r="24" spans="2:29" x14ac:dyDescent="0.3">
      <c r="B24" s="16" t="s">
        <v>126</v>
      </c>
      <c r="C24" s="458">
        <f>59.3*'Arable Inputs'!$D$8</f>
        <v>67.008999999999986</v>
      </c>
      <c r="D24" s="459">
        <f>41.49*'Arable Inputs'!$D$8</f>
        <v>46.883699999999997</v>
      </c>
      <c r="E24" s="460"/>
      <c r="F24" s="435"/>
      <c r="G24" s="985"/>
      <c r="H24" s="435"/>
      <c r="I24" s="579"/>
      <c r="J24" s="460"/>
      <c r="K24" s="435"/>
      <c r="L24" s="985"/>
      <c r="M24" s="435"/>
      <c r="N24" s="579"/>
      <c r="O24" s="460"/>
      <c r="P24" s="435"/>
      <c r="Q24" s="461"/>
      <c r="R24" s="435"/>
      <c r="S24" s="435"/>
      <c r="T24" s="460"/>
      <c r="U24" s="435"/>
      <c r="V24" s="985"/>
      <c r="W24" s="435"/>
      <c r="X24" s="579"/>
      <c r="Y24" s="460"/>
      <c r="Z24" s="435"/>
      <c r="AA24" s="985"/>
      <c r="AB24" s="462"/>
      <c r="AC24" s="985"/>
    </row>
    <row r="25" spans="2:29" x14ac:dyDescent="0.3">
      <c r="B25" s="16" t="s">
        <v>128</v>
      </c>
      <c r="C25" s="458">
        <f>59.3*'Arable Inputs'!$D$8</f>
        <v>67.008999999999986</v>
      </c>
      <c r="D25" s="459">
        <f>52.41*'Arable Inputs'!$D$8</f>
        <v>59.223299999999988</v>
      </c>
      <c r="E25" s="460">
        <v>2</v>
      </c>
      <c r="F25" s="463">
        <v>1</v>
      </c>
      <c r="G25" s="985">
        <f>IF(F25&gt;=1,CHOOSE(E25,$C25,$D25)*F25)</f>
        <v>59.223299999999988</v>
      </c>
      <c r="H25" s="812">
        <f>1+1.1</f>
        <v>2.1</v>
      </c>
      <c r="I25" s="579">
        <f>H25*$C$4</f>
        <v>31.479000000000003</v>
      </c>
      <c r="J25" s="460">
        <v>2</v>
      </c>
      <c r="K25" s="463">
        <v>1</v>
      </c>
      <c r="L25" s="985">
        <f>IF(K25&gt;=1,CHOOSE(J25,$C25,$D25)*K25)</f>
        <v>59.223299999999988</v>
      </c>
      <c r="M25" s="812">
        <f>1+1.1</f>
        <v>2.1</v>
      </c>
      <c r="N25" s="579">
        <f>M25*$C$4</f>
        <v>31.479000000000003</v>
      </c>
      <c r="O25" s="460"/>
      <c r="P25" s="435"/>
      <c r="Q25" s="461"/>
      <c r="R25" s="813"/>
      <c r="S25" s="424"/>
      <c r="T25" s="460"/>
      <c r="U25" s="435"/>
      <c r="V25" s="985"/>
      <c r="W25" s="435"/>
      <c r="X25" s="579"/>
      <c r="Y25" s="460">
        <v>2</v>
      </c>
      <c r="Z25" s="463">
        <v>1</v>
      </c>
      <c r="AA25" s="985">
        <f>IF(Z25&gt;=1,CHOOSE(Y25,$C25,$D25)*Z25)</f>
        <v>59.223299999999988</v>
      </c>
      <c r="AB25" s="835">
        <v>2.1</v>
      </c>
      <c r="AC25" s="985">
        <f>AB25*$C$4</f>
        <v>31.479000000000003</v>
      </c>
    </row>
    <row r="26" spans="2:29" x14ac:dyDescent="0.3">
      <c r="B26" s="16" t="s">
        <v>129</v>
      </c>
      <c r="C26" s="458">
        <f>51.89*'Arable Inputs'!$D$8</f>
        <v>58.635699999999993</v>
      </c>
      <c r="D26" s="459">
        <f>39.31*'Arable Inputs'!$D$8</f>
        <v>44.420299999999997</v>
      </c>
      <c r="E26" s="460"/>
      <c r="F26" s="435"/>
      <c r="G26" s="985"/>
      <c r="H26" s="435"/>
      <c r="I26" s="579"/>
      <c r="J26" s="460"/>
      <c r="K26" s="435"/>
      <c r="L26" s="985"/>
      <c r="M26" s="435"/>
      <c r="N26" s="579"/>
      <c r="O26" s="460"/>
      <c r="P26" s="435"/>
      <c r="Q26" s="461"/>
      <c r="R26" s="813"/>
      <c r="S26" s="424"/>
      <c r="T26" s="460"/>
      <c r="U26" s="435"/>
      <c r="V26" s="985"/>
      <c r="W26" s="813"/>
      <c r="X26" s="579"/>
      <c r="Y26" s="460"/>
      <c r="Z26" s="435"/>
      <c r="AA26" s="985"/>
      <c r="AB26" s="834"/>
      <c r="AC26" s="985"/>
    </row>
    <row r="27" spans="2:29" x14ac:dyDescent="0.3">
      <c r="B27" s="16" t="s">
        <v>105</v>
      </c>
      <c r="C27" s="458">
        <f>34.59*'Arable Inputs'!$D$8</f>
        <v>39.0867</v>
      </c>
      <c r="D27" s="459">
        <f>21.76*'Arable Inputs'!$D$8</f>
        <v>24.588799999999999</v>
      </c>
      <c r="E27" s="460"/>
      <c r="F27" s="435"/>
      <c r="G27" s="985"/>
      <c r="H27" s="435"/>
      <c r="I27" s="579"/>
      <c r="J27" s="460"/>
      <c r="K27" s="435"/>
      <c r="L27" s="985"/>
      <c r="M27" s="435"/>
      <c r="N27" s="579"/>
      <c r="O27" s="460"/>
      <c r="P27" s="435"/>
      <c r="Q27" s="461"/>
      <c r="R27" s="435"/>
      <c r="S27" s="435"/>
      <c r="T27" s="460"/>
      <c r="U27" s="435"/>
      <c r="V27" s="985"/>
      <c r="W27" s="435"/>
      <c r="X27" s="579"/>
      <c r="Y27" s="460"/>
      <c r="Z27" s="435"/>
      <c r="AA27" s="985"/>
      <c r="AB27" s="462"/>
      <c r="AC27" s="985"/>
    </row>
    <row r="28" spans="2:29" x14ac:dyDescent="0.3">
      <c r="B28" s="16" t="s">
        <v>106</v>
      </c>
      <c r="C28" s="458">
        <f>37.07*'Arable Inputs'!$D$8</f>
        <v>41.889099999999999</v>
      </c>
      <c r="D28" s="459">
        <f>25.65*'Arable Inputs'!$D$8</f>
        <v>28.984499999999997</v>
      </c>
      <c r="E28" s="460"/>
      <c r="F28" s="435"/>
      <c r="G28" s="985"/>
      <c r="H28" s="435"/>
      <c r="I28" s="579"/>
      <c r="J28" s="460"/>
      <c r="K28" s="435"/>
      <c r="L28" s="985"/>
      <c r="M28" s="435"/>
      <c r="N28" s="579"/>
      <c r="O28" s="460"/>
      <c r="P28" s="435"/>
      <c r="Q28" s="461"/>
      <c r="R28" s="435"/>
      <c r="S28" s="435"/>
      <c r="T28" s="460"/>
      <c r="U28" s="435"/>
      <c r="V28" s="985"/>
      <c r="W28" s="435"/>
      <c r="X28" s="579"/>
      <c r="Y28" s="460"/>
      <c r="Z28" s="435"/>
      <c r="AA28" s="985"/>
      <c r="AB28" s="462"/>
      <c r="AC28" s="985"/>
    </row>
    <row r="29" spans="2:29" x14ac:dyDescent="0.3">
      <c r="B29" s="16" t="s">
        <v>109</v>
      </c>
      <c r="C29" s="458">
        <f>67.26*'Arable Inputs'!$D$8</f>
        <v>76.003799999999998</v>
      </c>
      <c r="D29" s="459">
        <f>52.91*'Arable Inputs'!$D$8</f>
        <v>59.788299999999992</v>
      </c>
      <c r="E29" s="460"/>
      <c r="F29" s="435"/>
      <c r="G29" s="985"/>
      <c r="H29" s="435"/>
      <c r="I29" s="579"/>
      <c r="J29" s="460"/>
      <c r="K29" s="435"/>
      <c r="L29" s="985"/>
      <c r="M29" s="435"/>
      <c r="N29" s="579"/>
      <c r="O29" s="460"/>
      <c r="P29" s="435"/>
      <c r="Q29" s="461"/>
      <c r="R29" s="435"/>
      <c r="S29" s="435"/>
      <c r="T29" s="460"/>
      <c r="U29" s="435"/>
      <c r="V29" s="985"/>
      <c r="W29" s="435"/>
      <c r="X29" s="579"/>
      <c r="Y29" s="460"/>
      <c r="Z29" s="435"/>
      <c r="AA29" s="985"/>
      <c r="AB29" s="462"/>
      <c r="AC29" s="985"/>
    </row>
    <row r="30" spans="2:29" x14ac:dyDescent="0.3">
      <c r="B30" s="16" t="s">
        <v>108</v>
      </c>
      <c r="C30" s="458">
        <f>37.07*'Arable Inputs'!$D$8</f>
        <v>41.889099999999999</v>
      </c>
      <c r="D30" s="459">
        <f>37.32*'Arable Inputs'!$D$8</f>
        <v>42.171599999999998</v>
      </c>
      <c r="E30" s="460"/>
      <c r="F30" s="435"/>
      <c r="G30" s="985"/>
      <c r="H30" s="435"/>
      <c r="I30" s="579"/>
      <c r="J30" s="460"/>
      <c r="K30" s="435"/>
      <c r="L30" s="985"/>
      <c r="M30" s="435"/>
      <c r="N30" s="579"/>
      <c r="O30" s="460">
        <v>2</v>
      </c>
      <c r="P30" s="463">
        <v>1</v>
      </c>
      <c r="Q30" s="985">
        <f>IF(P30&gt;=1,CHOOSE(O30,$C30,$D30)*P30)</f>
        <v>42.171599999999998</v>
      </c>
      <c r="R30" s="812">
        <v>1.6</v>
      </c>
      <c r="S30" s="579">
        <f>R30*$C$4</f>
        <v>23.984000000000002</v>
      </c>
      <c r="T30" s="460">
        <v>2</v>
      </c>
      <c r="U30" s="463">
        <v>1</v>
      </c>
      <c r="V30" s="985">
        <f>IF(U30&gt;=1,CHOOSE(T30,$C30,$D30)*U30)</f>
        <v>42.171599999999998</v>
      </c>
      <c r="W30" s="809">
        <v>3.2</v>
      </c>
      <c r="X30" s="579">
        <f>W30*$C$4</f>
        <v>47.968000000000004</v>
      </c>
      <c r="Y30" s="460"/>
      <c r="Z30" s="435"/>
      <c r="AA30" s="985"/>
      <c r="AB30" s="866"/>
      <c r="AC30" s="985"/>
    </row>
    <row r="31" spans="2:29" x14ac:dyDescent="0.3">
      <c r="B31" s="16" t="s">
        <v>107</v>
      </c>
      <c r="C31" s="458">
        <f>29.9*'Arable Inputs'!$D$8</f>
        <v>33.786999999999992</v>
      </c>
      <c r="D31" s="459">
        <f>16.68*'Arable Inputs'!$D$8</f>
        <v>18.848399999999998</v>
      </c>
      <c r="E31" s="460"/>
      <c r="F31" s="366"/>
      <c r="G31" s="985"/>
      <c r="H31" s="366"/>
      <c r="I31" s="579"/>
      <c r="J31" s="460"/>
      <c r="K31" s="466"/>
      <c r="L31" s="985"/>
      <c r="M31" s="435"/>
      <c r="N31" s="579"/>
      <c r="O31" s="460"/>
      <c r="P31" s="366" t="s">
        <v>561</v>
      </c>
      <c r="Q31" s="985"/>
      <c r="R31" s="366"/>
      <c r="S31" s="579"/>
      <c r="T31" s="460">
        <v>2</v>
      </c>
      <c r="U31" s="463">
        <v>1</v>
      </c>
      <c r="V31" s="985">
        <f>IF(U31&gt;=1,CHOOSE(T31,$C31,$D31)*U31)</f>
        <v>18.848399999999998</v>
      </c>
      <c r="W31" s="809">
        <v>0.8</v>
      </c>
      <c r="X31" s="579">
        <f>W31*$C$4</f>
        <v>11.992000000000001</v>
      </c>
      <c r="Y31" s="460"/>
      <c r="Z31" s="435"/>
      <c r="AA31" s="985"/>
      <c r="AB31" s="462"/>
      <c r="AC31" s="985"/>
    </row>
    <row r="32" spans="2:29" x14ac:dyDescent="0.3">
      <c r="B32" s="16" t="s">
        <v>130</v>
      </c>
      <c r="C32" s="458">
        <f>21.42*'Arable Inputs'!$D$8</f>
        <v>24.204599999999999</v>
      </c>
      <c r="D32" s="459">
        <f>8.89*'Arable Inputs'!$D$8</f>
        <v>10.0457</v>
      </c>
      <c r="E32" s="460">
        <v>2</v>
      </c>
      <c r="F32" s="463">
        <v>1</v>
      </c>
      <c r="G32" s="985">
        <f>IF(F32&gt;=1,CHOOSE(E32,$C32,$D32)*F32)</f>
        <v>10.0457</v>
      </c>
      <c r="H32" s="809">
        <v>1.1000000000000001</v>
      </c>
      <c r="I32" s="579">
        <f>H32*$C$4</f>
        <v>16.489000000000001</v>
      </c>
      <c r="J32" s="460">
        <v>2</v>
      </c>
      <c r="K32" s="463">
        <v>1</v>
      </c>
      <c r="L32" s="985">
        <f>IF(K32&gt;=1,CHOOSE(J32,$C32,$D32)*K32)</f>
        <v>10.0457</v>
      </c>
      <c r="M32" s="809">
        <v>1.1000000000000001</v>
      </c>
      <c r="N32" s="579">
        <f>M32*$C$4</f>
        <v>16.489000000000001</v>
      </c>
      <c r="O32" s="460">
        <v>2</v>
      </c>
      <c r="P32" s="463">
        <v>1</v>
      </c>
      <c r="Q32" s="985">
        <f>IF(P32&gt;=1,CHOOSE(O32,$C32,$D32)*P32)</f>
        <v>10.0457</v>
      </c>
      <c r="R32" s="809">
        <v>1.6</v>
      </c>
      <c r="S32" s="579">
        <f>R32*$C$4</f>
        <v>23.984000000000002</v>
      </c>
      <c r="T32" s="460"/>
      <c r="U32" s="435"/>
      <c r="V32" s="985"/>
      <c r="W32" s="813"/>
      <c r="X32" s="579"/>
      <c r="Y32" s="460">
        <v>2</v>
      </c>
      <c r="Z32" s="463">
        <v>1</v>
      </c>
      <c r="AA32" s="985">
        <f>IF(Z32&gt;=1,CHOOSE(Y32,$C32,$D32)*Z32)</f>
        <v>10.0457</v>
      </c>
      <c r="AB32" s="835">
        <v>1.1000000000000001</v>
      </c>
      <c r="AC32" s="985">
        <f>AB32*$C$4</f>
        <v>16.489000000000001</v>
      </c>
    </row>
    <row r="33" spans="2:29" x14ac:dyDescent="0.3">
      <c r="B33" s="16" t="s">
        <v>54</v>
      </c>
      <c r="C33" s="458">
        <f>276.75*'Arable Inputs'!$D$8</f>
        <v>312.72749999999996</v>
      </c>
      <c r="D33" s="467">
        <f>217.01*'Arable Inputs'!$D$8</f>
        <v>245.22129999999996</v>
      </c>
      <c r="E33" s="460"/>
      <c r="F33" s="435"/>
      <c r="G33" s="985"/>
      <c r="H33" s="435"/>
      <c r="I33" s="579"/>
      <c r="J33" s="460"/>
      <c r="K33" s="435"/>
      <c r="L33" s="985"/>
      <c r="M33" s="435"/>
      <c r="N33" s="579"/>
      <c r="O33" s="460"/>
      <c r="P33" s="435"/>
      <c r="Q33" s="985"/>
      <c r="R33" s="435"/>
      <c r="S33" s="579"/>
      <c r="T33" s="460"/>
      <c r="U33" s="435"/>
      <c r="V33" s="985"/>
      <c r="W33" s="435"/>
      <c r="X33" s="579"/>
      <c r="Y33" s="460"/>
      <c r="Z33" s="435"/>
      <c r="AA33" s="985"/>
      <c r="AB33" s="462"/>
      <c r="AC33" s="985"/>
    </row>
    <row r="34" spans="2:29" x14ac:dyDescent="0.3">
      <c r="B34" s="16" t="s">
        <v>55</v>
      </c>
      <c r="C34" s="468">
        <f>85.25*'Arable Inputs'!$D$8</f>
        <v>96.332499999999996</v>
      </c>
      <c r="D34" s="467">
        <f>56.5*'Arable Inputs'!$D$8</f>
        <v>63.844999999999992</v>
      </c>
      <c r="E34" s="460"/>
      <c r="F34" s="435"/>
      <c r="G34" s="985"/>
      <c r="H34" s="435"/>
      <c r="I34" s="579"/>
      <c r="J34" s="460"/>
      <c r="K34" s="435"/>
      <c r="L34" s="985"/>
      <c r="M34" s="435"/>
      <c r="N34" s="579"/>
      <c r="O34" s="460"/>
      <c r="P34" s="435"/>
      <c r="Q34" s="985"/>
      <c r="R34" s="435"/>
      <c r="S34" s="579"/>
      <c r="T34" s="460"/>
      <c r="U34" s="435"/>
      <c r="V34" s="985"/>
      <c r="W34" s="435"/>
      <c r="X34" s="579"/>
      <c r="Y34" s="460"/>
      <c r="Z34" s="435"/>
      <c r="AA34" s="985"/>
      <c r="AB34" s="462"/>
      <c r="AC34" s="985"/>
    </row>
    <row r="35" spans="2:29" x14ac:dyDescent="0.3">
      <c r="B35" s="432" t="s">
        <v>47</v>
      </c>
      <c r="C35" s="469"/>
      <c r="D35" s="469"/>
      <c r="E35" s="470"/>
      <c r="F35" s="430" t="s">
        <v>12</v>
      </c>
      <c r="G35" s="826">
        <f>SUM(G14:G34)</f>
        <v>134.28919999999999</v>
      </c>
      <c r="H35" s="432">
        <f>SUM(H14:H34)</f>
        <v>4.5999999999999996</v>
      </c>
      <c r="I35" s="838">
        <f>SUM(I14:I34)</f>
        <v>68.954000000000008</v>
      </c>
      <c r="J35" s="473"/>
      <c r="K35" s="430"/>
      <c r="L35" s="826">
        <f>SUM(L14:L34)</f>
        <v>134.28919999999999</v>
      </c>
      <c r="M35" s="432">
        <f>SUM(M14:M34)</f>
        <v>4.5999999999999996</v>
      </c>
      <c r="N35" s="838">
        <f>SUM(N14:N34)</f>
        <v>68.954000000000008</v>
      </c>
      <c r="O35" s="473"/>
      <c r="P35" s="430"/>
      <c r="Q35" s="826">
        <f>SUM(Q14:Q34)</f>
        <v>52.217299999999994</v>
      </c>
      <c r="R35" s="432">
        <f>SUM(R14:R34)</f>
        <v>3.2</v>
      </c>
      <c r="S35" s="838">
        <f>SUM(S14:S34)</f>
        <v>47.968000000000004</v>
      </c>
      <c r="T35" s="473"/>
      <c r="U35" s="430"/>
      <c r="V35" s="826">
        <f>SUM(V14:V34)</f>
        <v>126.04019999999998</v>
      </c>
      <c r="W35" s="432">
        <f>SUM(W14:W34)</f>
        <v>5.3999999999999995</v>
      </c>
      <c r="X35" s="838">
        <f>SUM(X14:X34)</f>
        <v>80.946000000000012</v>
      </c>
      <c r="Y35" s="473"/>
      <c r="Z35" s="430"/>
      <c r="AA35" s="826">
        <f>SUM(AA14:AA34)</f>
        <v>134.28919999999999</v>
      </c>
      <c r="AB35" s="432">
        <f>SUM(AB14:AB34)</f>
        <v>4.5999999999999996</v>
      </c>
      <c r="AC35" s="826">
        <f>SUM(AC14:AC34)</f>
        <v>68.954000000000008</v>
      </c>
    </row>
    <row r="36" spans="2:29" s="39" customFormat="1" x14ac:dyDescent="0.3">
      <c r="B36" s="475"/>
      <c r="C36" s="469"/>
      <c r="D36" s="469"/>
      <c r="E36" s="469"/>
      <c r="F36" s="430"/>
      <c r="G36" s="430"/>
      <c r="H36" s="430"/>
      <c r="I36" s="430"/>
      <c r="J36" s="430"/>
      <c r="K36" s="430"/>
      <c r="L36" s="430"/>
      <c r="M36" s="430"/>
      <c r="N36" s="430"/>
      <c r="O36" s="430"/>
      <c r="P36" s="430"/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826"/>
    </row>
    <row r="37" spans="2:29" x14ac:dyDescent="0.3">
      <c r="B37" s="475" t="s">
        <v>147</v>
      </c>
      <c r="C37" s="469"/>
      <c r="D37" s="469"/>
      <c r="E37" s="469"/>
      <c r="F37" s="431"/>
      <c r="G37" s="431"/>
      <c r="H37" s="431"/>
      <c r="I37" s="431"/>
      <c r="J37" s="431"/>
      <c r="K37" s="431"/>
      <c r="L37" s="431"/>
      <c r="M37" s="431"/>
      <c r="N37" s="431"/>
      <c r="O37" s="431"/>
      <c r="P37" s="431"/>
      <c r="Q37" s="431"/>
      <c r="R37" s="431"/>
      <c r="S37" s="431"/>
      <c r="T37" s="431"/>
      <c r="U37" s="431"/>
      <c r="V37" s="431"/>
      <c r="W37" s="431"/>
      <c r="X37" s="431"/>
      <c r="Y37" s="431"/>
      <c r="Z37" s="431"/>
      <c r="AA37" s="431"/>
      <c r="AB37" s="431"/>
      <c r="AC37" s="433"/>
    </row>
    <row r="38" spans="2:29" x14ac:dyDescent="0.3">
      <c r="B38" s="16" t="s">
        <v>206</v>
      </c>
      <c r="C38" s="458">
        <f>12.36*'Arable Inputs'!$D$8</f>
        <v>13.966799999999997</v>
      </c>
      <c r="D38" s="459">
        <f>6.69*'Arable Inputs'!$D$8</f>
        <v>7.5596999999999994</v>
      </c>
      <c r="E38" s="460"/>
      <c r="F38" s="476"/>
      <c r="G38" s="477"/>
      <c r="H38" s="435"/>
      <c r="I38" s="435"/>
      <c r="J38" s="460"/>
      <c r="K38" s="476"/>
      <c r="L38" s="477"/>
      <c r="M38" s="435"/>
      <c r="N38" s="435"/>
      <c r="O38" s="460"/>
      <c r="P38" s="476"/>
      <c r="Q38" s="477"/>
      <c r="R38" s="435"/>
      <c r="S38" s="435"/>
      <c r="T38" s="460"/>
      <c r="U38" s="476"/>
      <c r="V38" s="477"/>
      <c r="W38" s="435"/>
      <c r="X38" s="435"/>
      <c r="Y38" s="460"/>
      <c r="Z38" s="476"/>
      <c r="AA38" s="477"/>
      <c r="AB38" s="462"/>
      <c r="AC38" s="461"/>
    </row>
    <row r="39" spans="2:29" x14ac:dyDescent="0.3">
      <c r="B39" s="16" t="s">
        <v>48</v>
      </c>
      <c r="C39" s="458">
        <f>(C38+3.71)*'Arable Inputs'!$D$8</f>
        <v>19.974783999999993</v>
      </c>
      <c r="D39" s="459" t="s">
        <v>118</v>
      </c>
      <c r="E39" s="460">
        <v>1</v>
      </c>
      <c r="F39" s="463">
        <v>4</v>
      </c>
      <c r="G39" s="985">
        <f>IF(F39&gt;=1,CHOOSE(E39,$C39,$D39)*F39)</f>
        <v>79.89913599999997</v>
      </c>
      <c r="H39" s="809">
        <f>0.3*F39</f>
        <v>1.2</v>
      </c>
      <c r="I39" s="579">
        <f>H39*$C$4</f>
        <v>17.988</v>
      </c>
      <c r="J39" s="460">
        <v>1</v>
      </c>
      <c r="K39" s="463">
        <v>2</v>
      </c>
      <c r="L39" s="985">
        <f>IF(K39&gt;=1,CHOOSE(J39,$C39,$D39)*K39)</f>
        <v>39.949567999999985</v>
      </c>
      <c r="M39" s="809">
        <f>0.3*K39</f>
        <v>0.6</v>
      </c>
      <c r="N39" s="579">
        <f>M39*$C$4</f>
        <v>8.9939999999999998</v>
      </c>
      <c r="O39" s="460">
        <v>1</v>
      </c>
      <c r="P39" s="463">
        <v>1</v>
      </c>
      <c r="Q39" s="985">
        <f>IF(P39&gt;=1,CHOOSE(O39,$C39,$D39)*P39)</f>
        <v>19.974783999999993</v>
      </c>
      <c r="R39" s="809">
        <f>1.6*P39</f>
        <v>1.6</v>
      </c>
      <c r="S39" s="579">
        <f>R39*$C$4</f>
        <v>23.984000000000002</v>
      </c>
      <c r="T39" s="460">
        <v>1</v>
      </c>
      <c r="U39" s="463">
        <v>2</v>
      </c>
      <c r="V39" s="985">
        <f>IF(U39&gt;=1,CHOOSE(T39,$C39,$D39)*U39)</f>
        <v>39.949567999999985</v>
      </c>
      <c r="W39" s="809">
        <f>0.7*U39</f>
        <v>1.4</v>
      </c>
      <c r="X39" s="579">
        <f>W39*$C$4</f>
        <v>20.986000000000001</v>
      </c>
      <c r="Y39" s="460">
        <v>1</v>
      </c>
      <c r="Z39" s="463">
        <v>4</v>
      </c>
      <c r="AA39" s="985">
        <f>IF(Z39&gt;=1,CHOOSE(Y39,$C39,$D39)*Z39)</f>
        <v>79.89913599999997</v>
      </c>
      <c r="AB39" s="835">
        <f>0.3*Z39</f>
        <v>1.2</v>
      </c>
      <c r="AC39" s="985">
        <f>AB39*$C$4</f>
        <v>17.988</v>
      </c>
    </row>
    <row r="40" spans="2:29" x14ac:dyDescent="0.3">
      <c r="B40" s="16" t="s">
        <v>131</v>
      </c>
      <c r="C40" s="458">
        <f>6.1*'Arable Inputs'!$D$8</f>
        <v>6.8929999999999989</v>
      </c>
      <c r="D40" s="459" t="s">
        <v>118</v>
      </c>
      <c r="E40" s="460"/>
      <c r="F40" s="435"/>
      <c r="G40" s="985"/>
      <c r="H40" s="435"/>
      <c r="I40" s="579"/>
      <c r="J40" s="460"/>
      <c r="K40" s="435"/>
      <c r="L40" s="985"/>
      <c r="M40" s="435"/>
      <c r="N40" s="579"/>
      <c r="O40" s="460"/>
      <c r="P40" s="435"/>
      <c r="Q40" s="985"/>
      <c r="R40" s="435"/>
      <c r="S40" s="579"/>
      <c r="T40" s="460"/>
      <c r="U40" s="435"/>
      <c r="V40" s="985"/>
      <c r="W40" s="435"/>
      <c r="X40" s="579"/>
      <c r="Y40" s="460"/>
      <c r="Z40" s="435"/>
      <c r="AA40" s="985"/>
      <c r="AB40" s="462"/>
      <c r="AC40" s="985"/>
    </row>
    <row r="41" spans="2:29" x14ac:dyDescent="0.3">
      <c r="B41" s="16" t="s">
        <v>49</v>
      </c>
      <c r="C41" s="458">
        <f>14.83*'Arable Inputs'!$D$8</f>
        <v>16.757899999999999</v>
      </c>
      <c r="D41" s="459">
        <f>12.09*'Arable Inputs'!$D$8</f>
        <v>13.661699999999998</v>
      </c>
      <c r="E41" s="460"/>
      <c r="F41" s="435"/>
      <c r="G41" s="985"/>
      <c r="H41" s="435"/>
      <c r="I41" s="579"/>
      <c r="J41" s="460"/>
      <c r="K41" s="435"/>
      <c r="L41" s="985"/>
      <c r="M41" s="435"/>
      <c r="N41" s="579"/>
      <c r="O41" s="460"/>
      <c r="P41" s="435"/>
      <c r="Q41" s="985"/>
      <c r="R41" s="435"/>
      <c r="S41" s="579"/>
      <c r="T41" s="460"/>
      <c r="U41" s="435"/>
      <c r="V41" s="985"/>
      <c r="W41" s="435"/>
      <c r="X41" s="579"/>
      <c r="Y41" s="460"/>
      <c r="Z41" s="435"/>
      <c r="AA41" s="985"/>
      <c r="AB41" s="462"/>
      <c r="AC41" s="985"/>
    </row>
    <row r="42" spans="2:29" x14ac:dyDescent="0.3">
      <c r="B42" s="16" t="s">
        <v>176</v>
      </c>
      <c r="C42" s="458">
        <f>49.5*'Arable Inputs'!$D$8</f>
        <v>55.934999999999995</v>
      </c>
      <c r="D42" s="459">
        <f>49.64*'Arable Inputs'!$D$8</f>
        <v>56.093199999999996</v>
      </c>
      <c r="E42" s="460"/>
      <c r="F42" s="435"/>
      <c r="G42" s="985"/>
      <c r="H42" s="813"/>
      <c r="I42" s="579"/>
      <c r="J42" s="460"/>
      <c r="K42" s="435"/>
      <c r="L42" s="985"/>
      <c r="M42" s="813"/>
      <c r="N42" s="579"/>
      <c r="O42" s="460"/>
      <c r="P42" s="435"/>
      <c r="Q42" s="985"/>
      <c r="R42" s="813"/>
      <c r="S42" s="579"/>
      <c r="T42" s="460"/>
      <c r="U42" s="435"/>
      <c r="V42" s="985"/>
      <c r="W42" s="435"/>
      <c r="X42" s="579"/>
      <c r="Y42" s="460"/>
      <c r="Z42" s="435"/>
      <c r="AA42" s="985"/>
      <c r="AB42" s="814"/>
      <c r="AC42" s="985"/>
    </row>
    <row r="43" spans="2:29" x14ac:dyDescent="0.3">
      <c r="B43" s="16" t="s">
        <v>177</v>
      </c>
      <c r="C43" s="458">
        <f>44.5*'Arable Inputs'!$D$8</f>
        <v>50.284999999999997</v>
      </c>
      <c r="D43" s="459" t="s">
        <v>118</v>
      </c>
      <c r="E43" s="460"/>
      <c r="F43" s="435"/>
      <c r="G43" s="985"/>
      <c r="H43" s="435"/>
      <c r="I43" s="579"/>
      <c r="J43" s="460"/>
      <c r="K43" s="435"/>
      <c r="L43" s="985"/>
      <c r="M43" s="435"/>
      <c r="N43" s="579"/>
      <c r="O43" s="460"/>
      <c r="P43" s="435"/>
      <c r="Q43" s="985"/>
      <c r="R43" s="435"/>
      <c r="S43" s="579"/>
      <c r="T43" s="460"/>
      <c r="U43" s="435"/>
      <c r="V43" s="985"/>
      <c r="W43" s="435"/>
      <c r="X43" s="579"/>
      <c r="Y43" s="460"/>
      <c r="Z43" s="435"/>
      <c r="AA43" s="985"/>
      <c r="AB43" s="462"/>
      <c r="AC43" s="985"/>
    </row>
    <row r="44" spans="2:29" x14ac:dyDescent="0.3">
      <c r="B44" s="16" t="s">
        <v>178</v>
      </c>
      <c r="C44" s="458">
        <f>50*'Arable Inputs'!$D$8</f>
        <v>56.499999999999993</v>
      </c>
      <c r="D44" s="459">
        <f>54.11*'Arable Inputs'!$D$8</f>
        <v>61.144299999999994</v>
      </c>
      <c r="E44" s="460"/>
      <c r="F44" s="435"/>
      <c r="G44" s="985"/>
      <c r="H44" s="435"/>
      <c r="I44" s="579"/>
      <c r="J44" s="460"/>
      <c r="K44" s="435"/>
      <c r="L44" s="985"/>
      <c r="M44" s="435"/>
      <c r="N44" s="579"/>
      <c r="O44" s="460"/>
      <c r="P44" s="435"/>
      <c r="Q44" s="985"/>
      <c r="R44" s="435"/>
      <c r="S44" s="579"/>
      <c r="T44" s="460"/>
      <c r="U44" s="435"/>
      <c r="V44" s="985"/>
      <c r="W44" s="435"/>
      <c r="X44" s="579"/>
      <c r="Y44" s="460"/>
      <c r="Z44" s="435"/>
      <c r="AA44" s="985"/>
      <c r="AB44" s="462"/>
      <c r="AC44" s="985"/>
    </row>
    <row r="45" spans="2:29" x14ac:dyDescent="0.3">
      <c r="B45" s="16" t="s">
        <v>179</v>
      </c>
      <c r="C45" s="458">
        <f>78.2*'Arable Inputs'!$D$8</f>
        <v>88.366</v>
      </c>
      <c r="D45" s="459" t="s">
        <v>118</v>
      </c>
      <c r="E45" s="460"/>
      <c r="F45" s="435"/>
      <c r="G45" s="985"/>
      <c r="H45" s="435"/>
      <c r="I45" s="579"/>
      <c r="J45" s="460"/>
      <c r="K45" s="435"/>
      <c r="L45" s="985"/>
      <c r="M45" s="435"/>
      <c r="N45" s="579"/>
      <c r="O45" s="460"/>
      <c r="P45" s="435"/>
      <c r="Q45" s="985"/>
      <c r="R45" s="435"/>
      <c r="S45" s="579"/>
      <c r="T45" s="460"/>
      <c r="U45" s="435"/>
      <c r="V45" s="985"/>
      <c r="W45" s="435"/>
      <c r="X45" s="579"/>
      <c r="Y45" s="460"/>
      <c r="Z45" s="435"/>
      <c r="AA45" s="985"/>
      <c r="AB45" s="462"/>
      <c r="AC45" s="985"/>
    </row>
    <row r="46" spans="2:29" x14ac:dyDescent="0.3">
      <c r="B46" s="16" t="s">
        <v>180</v>
      </c>
      <c r="C46" s="458">
        <f>40*'Arable Inputs'!$D$8</f>
        <v>45.199999999999996</v>
      </c>
      <c r="D46" s="459" t="s">
        <v>118</v>
      </c>
      <c r="E46" s="460"/>
      <c r="F46" s="435"/>
      <c r="G46" s="985"/>
      <c r="H46" s="435"/>
      <c r="I46" s="579"/>
      <c r="J46" s="460"/>
      <c r="K46" s="435"/>
      <c r="L46" s="985"/>
      <c r="M46" s="435"/>
      <c r="N46" s="579"/>
      <c r="O46" s="460"/>
      <c r="P46" s="435"/>
      <c r="Q46" s="985"/>
      <c r="R46" s="435"/>
      <c r="S46" s="579"/>
      <c r="T46" s="460"/>
      <c r="U46" s="435"/>
      <c r="V46" s="985"/>
      <c r="W46" s="435"/>
      <c r="X46" s="579"/>
      <c r="Y46" s="460"/>
      <c r="Z46" s="435"/>
      <c r="AA46" s="985"/>
      <c r="AB46" s="462"/>
      <c r="AC46" s="985"/>
    </row>
    <row r="47" spans="2:29" x14ac:dyDescent="0.3">
      <c r="B47" s="16" t="s">
        <v>181</v>
      </c>
      <c r="C47" s="468">
        <f>54.83*'Arable Inputs'!$D$8</f>
        <v>61.957899999999995</v>
      </c>
      <c r="D47" s="478" t="s">
        <v>118</v>
      </c>
      <c r="E47" s="479"/>
      <c r="F47" s="428"/>
      <c r="G47" s="993"/>
      <c r="H47" s="435"/>
      <c r="I47" s="579"/>
      <c r="J47" s="460"/>
      <c r="K47" s="428"/>
      <c r="L47" s="993"/>
      <c r="M47" s="435"/>
      <c r="N47" s="579"/>
      <c r="O47" s="460"/>
      <c r="P47" s="428"/>
      <c r="Q47" s="993"/>
      <c r="R47" s="435"/>
      <c r="S47" s="579"/>
      <c r="T47" s="460"/>
      <c r="U47" s="428"/>
      <c r="V47" s="993"/>
      <c r="W47" s="435"/>
      <c r="X47" s="579"/>
      <c r="Y47" s="460"/>
      <c r="Z47" s="428"/>
      <c r="AA47" s="993"/>
      <c r="AB47" s="462"/>
      <c r="AC47" s="985"/>
    </row>
    <row r="48" spans="2:29" s="39" customFormat="1" x14ac:dyDescent="0.3">
      <c r="B48" s="432" t="s">
        <v>50</v>
      </c>
      <c r="C48" s="469"/>
      <c r="D48" s="469"/>
      <c r="E48" s="470"/>
      <c r="F48" s="430" t="s">
        <v>12</v>
      </c>
      <c r="G48" s="838">
        <f>SUM(G38:G47)</f>
        <v>79.89913599999997</v>
      </c>
      <c r="H48" s="808">
        <f>SUM(H38:H47)</f>
        <v>1.2</v>
      </c>
      <c r="I48" s="838">
        <f>SUM(I38:I47)</f>
        <v>17.988</v>
      </c>
      <c r="J48" s="473"/>
      <c r="K48" s="430"/>
      <c r="L48" s="838">
        <f>SUM(L38:L47)</f>
        <v>39.949567999999985</v>
      </c>
      <c r="M48" s="808">
        <f>SUM(M38:M47)</f>
        <v>0.6</v>
      </c>
      <c r="N48" s="838">
        <f>SUM(N38:N47)</f>
        <v>8.9939999999999998</v>
      </c>
      <c r="O48" s="473"/>
      <c r="P48" s="430"/>
      <c r="Q48" s="838">
        <f>SUM(Q38:Q47)</f>
        <v>19.974783999999993</v>
      </c>
      <c r="R48" s="808">
        <f>SUM(R38:R47)</f>
        <v>1.6</v>
      </c>
      <c r="S48" s="838">
        <f>SUM(S38:S47)</f>
        <v>23.984000000000002</v>
      </c>
      <c r="T48" s="473"/>
      <c r="U48" s="430"/>
      <c r="V48" s="838">
        <f>SUM(V38:V47)</f>
        <v>39.949567999999985</v>
      </c>
      <c r="W48" s="808">
        <f>SUM(W38:W47)</f>
        <v>1.4</v>
      </c>
      <c r="X48" s="838">
        <f>SUM(X38:X47)</f>
        <v>20.986000000000001</v>
      </c>
      <c r="Y48" s="473"/>
      <c r="Z48" s="430"/>
      <c r="AA48" s="838">
        <f>SUM(AA38:AA47)</f>
        <v>79.89913599999997</v>
      </c>
      <c r="AB48" s="808">
        <f>SUM(AB38:AB47)</f>
        <v>1.2</v>
      </c>
      <c r="AC48" s="826">
        <f>SUM(AC38:AC47)</f>
        <v>17.988</v>
      </c>
    </row>
    <row r="49" spans="2:30" s="39" customFormat="1" x14ac:dyDescent="0.3">
      <c r="B49" s="432"/>
      <c r="C49" s="469"/>
      <c r="D49" s="469"/>
      <c r="E49" s="469"/>
      <c r="F49" s="430"/>
      <c r="G49" s="430"/>
      <c r="H49" s="430"/>
      <c r="I49" s="430"/>
      <c r="J49" s="430"/>
      <c r="K49" s="430"/>
      <c r="L49" s="430"/>
      <c r="M49" s="430"/>
      <c r="N49" s="430"/>
      <c r="O49" s="430"/>
      <c r="P49" s="430"/>
      <c r="Q49" s="430"/>
      <c r="R49" s="430"/>
      <c r="S49" s="430"/>
      <c r="T49" s="430"/>
      <c r="U49" s="430"/>
      <c r="V49" s="430"/>
      <c r="W49" s="430"/>
      <c r="X49" s="430"/>
      <c r="Y49" s="430"/>
      <c r="Z49" s="430"/>
      <c r="AA49" s="430"/>
      <c r="AB49" s="430"/>
      <c r="AC49" s="471"/>
    </row>
    <row r="50" spans="2:30" x14ac:dyDescent="0.3">
      <c r="B50" s="432" t="s">
        <v>132</v>
      </c>
      <c r="C50" s="482"/>
      <c r="D50" s="482"/>
      <c r="E50" s="482"/>
      <c r="F50" s="431"/>
      <c r="G50" s="431"/>
      <c r="H50" s="431"/>
      <c r="I50" s="431"/>
      <c r="J50" s="431"/>
      <c r="K50" s="431"/>
      <c r="L50" s="431"/>
      <c r="M50" s="431"/>
      <c r="N50" s="431"/>
      <c r="O50" s="431"/>
      <c r="P50" s="431"/>
      <c r="Q50" s="431"/>
      <c r="R50" s="431"/>
      <c r="S50" s="431"/>
      <c r="T50" s="431"/>
      <c r="U50" s="431"/>
      <c r="V50" s="431"/>
      <c r="W50" s="431"/>
      <c r="X50" s="431"/>
      <c r="Y50" s="431"/>
      <c r="Z50" s="431"/>
      <c r="AA50" s="431"/>
      <c r="AB50" s="431"/>
      <c r="AC50" s="433"/>
    </row>
    <row r="51" spans="2:30" x14ac:dyDescent="0.3">
      <c r="B51" s="483" t="s">
        <v>133</v>
      </c>
      <c r="C51" s="458">
        <f>98.84*'Arable Inputs'!$D$8</f>
        <v>111.6892</v>
      </c>
      <c r="D51" s="459" t="s">
        <v>118</v>
      </c>
      <c r="E51" s="484"/>
      <c r="F51" s="435"/>
      <c r="G51" s="461"/>
      <c r="H51" s="435"/>
      <c r="I51" s="476"/>
      <c r="J51" s="460"/>
      <c r="K51" s="435"/>
      <c r="L51" s="461"/>
      <c r="M51" s="435"/>
      <c r="N51" s="435"/>
      <c r="O51" s="460"/>
      <c r="P51" s="435"/>
      <c r="Q51" s="461"/>
      <c r="R51" s="435"/>
      <c r="S51" s="435"/>
      <c r="T51" s="460"/>
      <c r="U51" s="435"/>
      <c r="V51" s="461"/>
      <c r="W51" s="435"/>
      <c r="X51" s="435"/>
      <c r="Y51" s="460"/>
      <c r="Z51" s="435"/>
      <c r="AA51" s="461"/>
      <c r="AB51" s="435"/>
      <c r="AC51" s="461"/>
      <c r="AD51" s="64"/>
    </row>
    <row r="52" spans="2:30" x14ac:dyDescent="0.3">
      <c r="B52" s="77" t="s">
        <v>175</v>
      </c>
      <c r="C52" s="468">
        <f>98*'Arable Inputs'!$D$8</f>
        <v>110.74</v>
      </c>
      <c r="D52" s="478" t="s">
        <v>118</v>
      </c>
      <c r="E52" s="485"/>
      <c r="F52" s="428"/>
      <c r="G52" s="480"/>
      <c r="H52" s="428"/>
      <c r="I52" s="428"/>
      <c r="J52" s="479"/>
      <c r="K52" s="428"/>
      <c r="L52" s="480"/>
      <c r="M52" s="428"/>
      <c r="N52" s="428"/>
      <c r="O52" s="479"/>
      <c r="P52" s="428"/>
      <c r="Q52" s="480"/>
      <c r="R52" s="428"/>
      <c r="S52" s="428"/>
      <c r="T52" s="479"/>
      <c r="U52" s="428"/>
      <c r="V52" s="480"/>
      <c r="W52" s="428"/>
      <c r="X52" s="428"/>
      <c r="Y52" s="479"/>
      <c r="Z52" s="428"/>
      <c r="AA52" s="480"/>
      <c r="AB52" s="428"/>
      <c r="AC52" s="480"/>
      <c r="AD52" s="63"/>
    </row>
    <row r="53" spans="2:30" x14ac:dyDescent="0.3">
      <c r="B53" s="432" t="s">
        <v>134</v>
      </c>
      <c r="C53" s="482"/>
      <c r="D53" s="482"/>
      <c r="E53" s="486"/>
      <c r="F53" s="430" t="s">
        <v>12</v>
      </c>
      <c r="G53" s="471"/>
      <c r="H53" s="430"/>
      <c r="I53" s="430"/>
      <c r="J53" s="473"/>
      <c r="K53" s="430"/>
      <c r="L53" s="471"/>
      <c r="M53" s="430"/>
      <c r="N53" s="430"/>
      <c r="O53" s="473"/>
      <c r="P53" s="430"/>
      <c r="Q53" s="471"/>
      <c r="R53" s="430"/>
      <c r="S53" s="430"/>
      <c r="T53" s="473"/>
      <c r="U53" s="430"/>
      <c r="V53" s="471"/>
      <c r="W53" s="430"/>
      <c r="X53" s="430"/>
      <c r="Y53" s="473"/>
      <c r="Z53" s="430"/>
      <c r="AA53" s="471"/>
      <c r="AB53" s="430"/>
      <c r="AC53" s="471"/>
    </row>
    <row r="54" spans="2:30" s="39" customFormat="1" x14ac:dyDescent="0.3">
      <c r="B54" s="96"/>
      <c r="C54" s="487"/>
      <c r="D54" s="487"/>
      <c r="E54" s="488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435"/>
      <c r="T54" s="435"/>
      <c r="U54" s="435"/>
      <c r="V54" s="435"/>
      <c r="W54" s="435"/>
      <c r="X54" s="435"/>
      <c r="Y54" s="435"/>
      <c r="Z54" s="435"/>
      <c r="AA54" s="435"/>
      <c r="AB54" s="462"/>
      <c r="AC54" s="461"/>
    </row>
    <row r="55" spans="2:30" s="39" customFormat="1" x14ac:dyDescent="0.3">
      <c r="B55" s="432" t="s">
        <v>187</v>
      </c>
      <c r="C55" s="469"/>
      <c r="D55" s="469"/>
      <c r="E55" s="469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3"/>
    </row>
    <row r="56" spans="2:30" x14ac:dyDescent="0.3">
      <c r="B56" s="16" t="s">
        <v>110</v>
      </c>
      <c r="C56" s="458">
        <f>67.78*'Arable Inputs'!$D$8</f>
        <v>76.591399999999993</v>
      </c>
      <c r="D56" s="459">
        <f>57.48*'Arable Inputs'!$D$8</f>
        <v>64.952399999999997</v>
      </c>
      <c r="E56" s="491"/>
      <c r="F56" s="435"/>
      <c r="G56" s="461"/>
      <c r="H56" s="435"/>
      <c r="I56" s="435"/>
      <c r="J56" s="460"/>
      <c r="K56" s="435"/>
      <c r="L56" s="461"/>
      <c r="M56" s="435"/>
      <c r="N56" s="435"/>
      <c r="O56" s="460">
        <v>2</v>
      </c>
      <c r="P56" s="463">
        <v>1</v>
      </c>
      <c r="Q56" s="985">
        <f>IF(P56&gt;=1,CHOOSE(O56,$C56,$D56)*P56)</f>
        <v>64.952399999999997</v>
      </c>
      <c r="R56" s="812">
        <v>1.2</v>
      </c>
      <c r="S56" s="579">
        <f>R56*$C$4</f>
        <v>17.988</v>
      </c>
      <c r="T56" s="460"/>
      <c r="U56" s="435"/>
      <c r="V56" s="461"/>
      <c r="W56" s="435"/>
      <c r="X56" s="435"/>
      <c r="Y56" s="460"/>
      <c r="Z56" s="435"/>
      <c r="AA56" s="461"/>
      <c r="AB56" s="435"/>
      <c r="AC56" s="461"/>
    </row>
    <row r="57" spans="2:30" x14ac:dyDescent="0.3">
      <c r="B57" s="16" t="s">
        <v>111</v>
      </c>
      <c r="C57" s="458">
        <f>50.14*'Arable Inputs'!$D$8</f>
        <v>56.658199999999994</v>
      </c>
      <c r="D57" s="459">
        <f>27.04*'Arable Inputs'!$D$8</f>
        <v>30.555199999999996</v>
      </c>
      <c r="E57" s="460">
        <v>2</v>
      </c>
      <c r="F57" s="463">
        <v>1</v>
      </c>
      <c r="G57" s="985">
        <f>IF(F57&gt;=1,CHOOSE(E57,$C57,$D57)*F57)</f>
        <v>30.555199999999996</v>
      </c>
      <c r="H57" s="809">
        <v>1.1000000000000001</v>
      </c>
      <c r="I57" s="579">
        <f>H57*$C$4</f>
        <v>16.489000000000001</v>
      </c>
      <c r="J57" s="460">
        <v>2</v>
      </c>
      <c r="K57" s="463">
        <v>1</v>
      </c>
      <c r="L57" s="985">
        <f>IF(K57&gt;=1,CHOOSE(J57,$C57,$D57)*K57)</f>
        <v>30.555199999999996</v>
      </c>
      <c r="M57" s="809">
        <v>1.1000000000000001</v>
      </c>
      <c r="N57" s="579">
        <f>M57*$C$4</f>
        <v>16.489000000000001</v>
      </c>
      <c r="O57" s="460"/>
      <c r="P57" s="366"/>
      <c r="Q57" s="985"/>
      <c r="R57" s="366"/>
      <c r="S57" s="579"/>
      <c r="T57" s="460"/>
      <c r="U57" s="435"/>
      <c r="V57" s="461"/>
      <c r="W57" s="435"/>
      <c r="X57" s="435"/>
      <c r="Y57" s="460"/>
      <c r="Z57" s="435"/>
      <c r="AA57" s="461"/>
      <c r="AB57" s="462"/>
      <c r="AC57" s="461"/>
    </row>
    <row r="58" spans="2:30" x14ac:dyDescent="0.3">
      <c r="B58" s="16" t="s">
        <v>112</v>
      </c>
      <c r="C58" s="458">
        <f>61.78*'Arable Inputs'!$D$8</f>
        <v>69.811399999999992</v>
      </c>
      <c r="D58" s="459">
        <f>58.52*'Arable Inputs'!$D$8</f>
        <v>66.127600000000001</v>
      </c>
      <c r="E58" s="484"/>
      <c r="F58" s="435"/>
      <c r="G58" s="985"/>
      <c r="H58" s="435"/>
      <c r="I58" s="579"/>
      <c r="J58" s="460"/>
      <c r="K58" s="435"/>
      <c r="L58" s="985"/>
      <c r="M58" s="435"/>
      <c r="N58" s="579"/>
      <c r="O58" s="460"/>
      <c r="P58" s="435"/>
      <c r="Q58" s="985"/>
      <c r="R58" s="435"/>
      <c r="S58" s="579"/>
      <c r="T58" s="460"/>
      <c r="U58" s="435"/>
      <c r="V58" s="461"/>
      <c r="W58" s="435"/>
      <c r="X58" s="435"/>
      <c r="Y58" s="460"/>
      <c r="Z58" s="435"/>
      <c r="AA58" s="461"/>
      <c r="AB58" s="462"/>
      <c r="AC58" s="461"/>
    </row>
    <row r="59" spans="2:30" x14ac:dyDescent="0.3">
      <c r="B59" s="16" t="s">
        <v>113</v>
      </c>
      <c r="C59" s="458">
        <f>51.89*'Arable Inputs'!$D$8</f>
        <v>58.635699999999993</v>
      </c>
      <c r="D59" s="459">
        <f>50.58*'Arable Inputs'!$D$8</f>
        <v>57.155399999999993</v>
      </c>
      <c r="E59" s="484"/>
      <c r="F59" s="435"/>
      <c r="G59" s="985"/>
      <c r="H59" s="435"/>
      <c r="I59" s="579"/>
      <c r="J59" s="460"/>
      <c r="K59" s="435"/>
      <c r="L59" s="985"/>
      <c r="M59" s="435"/>
      <c r="N59" s="579"/>
      <c r="O59" s="460"/>
      <c r="P59" s="435"/>
      <c r="Q59" s="985"/>
      <c r="R59" s="435"/>
      <c r="S59" s="579"/>
      <c r="T59" s="460"/>
      <c r="U59" s="435"/>
      <c r="V59" s="461"/>
      <c r="W59" s="435"/>
      <c r="X59" s="435"/>
      <c r="Y59" s="460"/>
      <c r="Z59" s="435"/>
      <c r="AA59" s="461"/>
      <c r="AB59" s="462"/>
      <c r="AC59" s="461"/>
    </row>
    <row r="60" spans="2:30" x14ac:dyDescent="0.3">
      <c r="B60" s="16" t="s">
        <v>114</v>
      </c>
      <c r="C60" s="458">
        <f>58.71*'Arable Inputs'!$D$8</f>
        <v>66.342299999999994</v>
      </c>
      <c r="D60" s="459">
        <f>61.14*'Arable Inputs'!$D$8</f>
        <v>69.088200000000001</v>
      </c>
      <c r="E60" s="484"/>
      <c r="F60" s="435"/>
      <c r="G60" s="985"/>
      <c r="H60" s="435"/>
      <c r="I60" s="579"/>
      <c r="J60" s="460"/>
      <c r="K60" s="435"/>
      <c r="L60" s="985"/>
      <c r="M60" s="435"/>
      <c r="N60" s="579"/>
      <c r="O60" s="460"/>
      <c r="P60" s="435"/>
      <c r="Q60" s="985"/>
      <c r="R60" s="435"/>
      <c r="S60" s="579"/>
      <c r="T60" s="460"/>
      <c r="U60" s="435"/>
      <c r="V60" s="461"/>
      <c r="W60" s="435"/>
      <c r="X60" s="435"/>
      <c r="Y60" s="460"/>
      <c r="Z60" s="435"/>
      <c r="AA60" s="461"/>
      <c r="AB60" s="462"/>
      <c r="AC60" s="461"/>
    </row>
    <row r="61" spans="2:30" x14ac:dyDescent="0.3">
      <c r="B61" s="16" t="s">
        <v>53</v>
      </c>
      <c r="C61" s="458">
        <f>51.97*'Arable Inputs'!$D$8</f>
        <v>58.726099999999995</v>
      </c>
      <c r="D61" s="459">
        <f>57.16*'Arable Inputs'!$D$8</f>
        <v>64.590799999999987</v>
      </c>
      <c r="E61" s="484"/>
      <c r="F61" s="435"/>
      <c r="G61" s="985"/>
      <c r="H61" s="435"/>
      <c r="I61" s="579"/>
      <c r="J61" s="460"/>
      <c r="K61" s="435"/>
      <c r="L61" s="985"/>
      <c r="M61" s="435"/>
      <c r="N61" s="579"/>
      <c r="O61" s="460"/>
      <c r="P61" s="435"/>
      <c r="Q61" s="985"/>
      <c r="R61" s="435"/>
      <c r="S61" s="579"/>
      <c r="T61" s="460">
        <v>2</v>
      </c>
      <c r="U61" s="463">
        <v>1</v>
      </c>
      <c r="V61" s="985">
        <f>IF(U61&gt;=1,CHOOSE(T61,$C61,$D61)*U61)</f>
        <v>64.590799999999987</v>
      </c>
      <c r="W61" s="809">
        <v>1</v>
      </c>
      <c r="X61" s="579">
        <f>W61*$C$4</f>
        <v>14.99</v>
      </c>
      <c r="Y61" s="460"/>
      <c r="Z61" s="435"/>
      <c r="AA61" s="461"/>
      <c r="AB61" s="462"/>
      <c r="AC61" s="461"/>
    </row>
    <row r="62" spans="2:30" x14ac:dyDescent="0.3">
      <c r="B62" s="16" t="s">
        <v>115</v>
      </c>
      <c r="C62" s="458">
        <f>78.26*'Arable Inputs'!$D$8</f>
        <v>88.433799999999991</v>
      </c>
      <c r="D62" s="459" t="s">
        <v>118</v>
      </c>
      <c r="E62" s="484"/>
      <c r="F62" s="435"/>
      <c r="G62" s="985"/>
      <c r="H62" s="435"/>
      <c r="I62" s="579"/>
      <c r="J62" s="460"/>
      <c r="K62" s="435"/>
      <c r="L62" s="985"/>
      <c r="M62" s="435"/>
      <c r="N62" s="579"/>
      <c r="O62" s="460"/>
      <c r="P62" s="435"/>
      <c r="Q62" s="985"/>
      <c r="R62" s="435"/>
      <c r="S62" s="579"/>
      <c r="T62" s="460"/>
      <c r="U62" s="435"/>
      <c r="V62" s="985"/>
      <c r="W62" s="435"/>
      <c r="X62" s="579"/>
      <c r="Y62" s="460"/>
      <c r="Z62" s="435"/>
      <c r="AA62" s="461"/>
      <c r="AB62" s="462"/>
      <c r="AC62" s="461"/>
    </row>
    <row r="63" spans="2:30" x14ac:dyDescent="0.3">
      <c r="B63" s="16" t="s">
        <v>51</v>
      </c>
      <c r="C63" s="458">
        <f>29.31*'Arable Inputs'!$D$8</f>
        <v>33.120299999999993</v>
      </c>
      <c r="D63" s="459">
        <f>20*'Arable Inputs'!$D$8</f>
        <v>22.599999999999998</v>
      </c>
      <c r="E63" s="484"/>
      <c r="F63" s="435"/>
      <c r="G63" s="985"/>
      <c r="H63" s="435"/>
      <c r="I63" s="579"/>
      <c r="J63" s="460"/>
      <c r="K63" s="435"/>
      <c r="L63" s="985"/>
      <c r="M63" s="435"/>
      <c r="N63" s="579"/>
      <c r="O63" s="460"/>
      <c r="P63" s="435"/>
      <c r="Q63" s="985"/>
      <c r="R63" s="435"/>
      <c r="S63" s="579"/>
      <c r="T63" s="460"/>
      <c r="U63" s="435"/>
      <c r="V63" s="985"/>
      <c r="W63" s="435"/>
      <c r="X63" s="579"/>
      <c r="Y63" s="460"/>
      <c r="Z63" s="435"/>
      <c r="AA63" s="461"/>
      <c r="AB63" s="462"/>
      <c r="AC63" s="461"/>
    </row>
    <row r="64" spans="2:30" x14ac:dyDescent="0.3">
      <c r="B64" s="16" t="s">
        <v>116</v>
      </c>
      <c r="C64" s="458">
        <f>31.16*'Arable Inputs'!$D$8</f>
        <v>35.210799999999999</v>
      </c>
      <c r="D64" s="459">
        <f>20.54*'Arable Inputs'!$D$8</f>
        <v>23.210199999999997</v>
      </c>
      <c r="E64" s="484"/>
      <c r="F64" s="435"/>
      <c r="G64" s="985"/>
      <c r="H64" s="435"/>
      <c r="I64" s="579"/>
      <c r="J64" s="460"/>
      <c r="K64" s="435"/>
      <c r="L64" s="985"/>
      <c r="M64" s="435"/>
      <c r="N64" s="579"/>
      <c r="O64" s="460"/>
      <c r="P64" s="435"/>
      <c r="Q64" s="985"/>
      <c r="R64" s="435"/>
      <c r="S64" s="579"/>
      <c r="T64" s="460"/>
      <c r="U64" s="435"/>
      <c r="V64" s="985"/>
      <c r="W64" s="435"/>
      <c r="X64" s="579"/>
      <c r="Y64" s="460"/>
      <c r="Z64" s="435"/>
      <c r="AA64" s="461"/>
      <c r="AB64" s="462"/>
      <c r="AC64" s="461"/>
    </row>
    <row r="65" spans="2:29" x14ac:dyDescent="0.3">
      <c r="B65" s="16" t="s">
        <v>117</v>
      </c>
      <c r="C65" s="458">
        <f>74.13*'Arable Inputs'!$D$8</f>
        <v>83.766899999999993</v>
      </c>
      <c r="D65" s="459" t="s">
        <v>118</v>
      </c>
      <c r="E65" s="484"/>
      <c r="F65" s="435"/>
      <c r="G65" s="985"/>
      <c r="H65" s="435"/>
      <c r="I65" s="579"/>
      <c r="J65" s="460"/>
      <c r="K65" s="435"/>
      <c r="L65" s="985"/>
      <c r="M65" s="435"/>
      <c r="N65" s="579"/>
      <c r="O65" s="460"/>
      <c r="P65" s="435"/>
      <c r="Q65" s="985"/>
      <c r="R65" s="435"/>
      <c r="S65" s="579"/>
      <c r="T65" s="460"/>
      <c r="U65" s="435"/>
      <c r="V65" s="985"/>
      <c r="W65" s="435"/>
      <c r="X65" s="579"/>
      <c r="Y65" s="460"/>
      <c r="Z65" s="435"/>
      <c r="AA65" s="461"/>
      <c r="AB65" s="462"/>
      <c r="AC65" s="461"/>
    </row>
    <row r="66" spans="2:29" x14ac:dyDescent="0.3">
      <c r="B66" s="16" t="s">
        <v>119</v>
      </c>
      <c r="C66" s="458">
        <f>23.3*'Arable Inputs'!$D$8</f>
        <v>26.328999999999997</v>
      </c>
      <c r="D66" s="459">
        <f>14.67*'Arable Inputs'!$D$8</f>
        <v>16.577099999999998</v>
      </c>
      <c r="E66" s="484"/>
      <c r="F66" s="435"/>
      <c r="G66" s="985"/>
      <c r="H66" s="435"/>
      <c r="I66" s="579"/>
      <c r="J66" s="460"/>
      <c r="K66" s="435"/>
      <c r="L66" s="985"/>
      <c r="M66" s="435"/>
      <c r="N66" s="579"/>
      <c r="O66" s="460"/>
      <c r="P66" s="435"/>
      <c r="Q66" s="985"/>
      <c r="R66" s="435"/>
      <c r="S66" s="579"/>
      <c r="T66" s="460"/>
      <c r="U66" s="435"/>
      <c r="V66" s="985"/>
      <c r="W66" s="435"/>
      <c r="X66" s="579"/>
      <c r="Y66" s="460"/>
      <c r="Z66" s="435"/>
      <c r="AA66" s="461"/>
      <c r="AB66" s="462"/>
      <c r="AC66" s="461"/>
    </row>
    <row r="67" spans="2:29" x14ac:dyDescent="0.3">
      <c r="B67" s="16" t="s">
        <v>52</v>
      </c>
      <c r="C67" s="458">
        <f>46.55*'Arable Inputs'!$D$8</f>
        <v>52.601499999999994</v>
      </c>
      <c r="D67" s="459" t="s">
        <v>118</v>
      </c>
      <c r="E67" s="484"/>
      <c r="F67" s="435"/>
      <c r="G67" s="985"/>
      <c r="H67" s="435"/>
      <c r="I67" s="579"/>
      <c r="J67" s="460"/>
      <c r="K67" s="435"/>
      <c r="L67" s="985"/>
      <c r="M67" s="435"/>
      <c r="N67" s="579"/>
      <c r="O67" s="460"/>
      <c r="P67" s="435"/>
      <c r="Q67" s="985"/>
      <c r="R67" s="435"/>
      <c r="S67" s="579"/>
      <c r="T67" s="460"/>
      <c r="U67" s="435"/>
      <c r="V67" s="985"/>
      <c r="W67" s="435"/>
      <c r="X67" s="579"/>
      <c r="Y67" s="460"/>
      <c r="Z67" s="435"/>
      <c r="AA67" s="985"/>
      <c r="AB67" s="835">
        <v>1.1000000000000001</v>
      </c>
      <c r="AC67" s="985">
        <f>AB67*$C$4</f>
        <v>16.489000000000001</v>
      </c>
    </row>
    <row r="68" spans="2:29" x14ac:dyDescent="0.3">
      <c r="B68" s="16" t="s">
        <v>120</v>
      </c>
      <c r="C68" s="458">
        <f>123.87*'Arable Inputs'!$D$8</f>
        <v>139.97309999999999</v>
      </c>
      <c r="D68" s="459" t="s">
        <v>118</v>
      </c>
      <c r="E68" s="484"/>
      <c r="F68" s="492"/>
      <c r="G68" s="994"/>
      <c r="H68" s="494"/>
      <c r="I68" s="995"/>
      <c r="J68" s="495"/>
      <c r="K68" s="492"/>
      <c r="L68" s="994"/>
      <c r="M68" s="494"/>
      <c r="N68" s="995"/>
      <c r="O68" s="495"/>
      <c r="P68" s="492"/>
      <c r="Q68" s="994"/>
      <c r="R68" s="494"/>
      <c r="S68" s="995"/>
      <c r="T68" s="495"/>
      <c r="U68" s="492"/>
      <c r="V68" s="994"/>
      <c r="W68" s="496"/>
      <c r="X68" s="996"/>
      <c r="Y68" s="460"/>
      <c r="Z68" s="435"/>
      <c r="AA68" s="985"/>
      <c r="AB68" s="865"/>
      <c r="AC68" s="985"/>
    </row>
    <row r="69" spans="2:29" x14ac:dyDescent="0.3">
      <c r="B69" s="16" t="s">
        <v>56</v>
      </c>
      <c r="C69" s="458">
        <f>187.8*'Arable Inputs'!$D$8</f>
        <v>212.214</v>
      </c>
      <c r="D69" s="459">
        <f>126.29*'Arable Inputs'!$D$8</f>
        <v>142.70769999999999</v>
      </c>
      <c r="E69" s="484"/>
      <c r="F69" s="435"/>
      <c r="G69" s="985"/>
      <c r="H69" s="435"/>
      <c r="I69" s="579"/>
      <c r="J69" s="460"/>
      <c r="K69" s="435"/>
      <c r="L69" s="985"/>
      <c r="M69" s="435"/>
      <c r="N69" s="579"/>
      <c r="O69" s="460"/>
      <c r="P69" s="435"/>
      <c r="Q69" s="985"/>
      <c r="R69" s="435"/>
      <c r="S69" s="579"/>
      <c r="T69" s="460"/>
      <c r="U69" s="435"/>
      <c r="V69" s="985"/>
      <c r="W69" s="435"/>
      <c r="X69" s="579"/>
      <c r="Y69" s="460"/>
      <c r="Z69" s="435"/>
      <c r="AA69" s="985"/>
      <c r="AB69" s="462"/>
      <c r="AC69" s="985"/>
    </row>
    <row r="70" spans="2:29" x14ac:dyDescent="0.3">
      <c r="B70" s="16" t="s">
        <v>208</v>
      </c>
      <c r="C70" s="458">
        <f>42*'Arable Inputs'!$D$8</f>
        <v>47.459999999999994</v>
      </c>
      <c r="D70" s="459">
        <f>35.63*'Arable Inputs'!$D$8</f>
        <v>40.261899999999997</v>
      </c>
      <c r="E70" s="484"/>
      <c r="F70" s="435"/>
      <c r="G70" s="985"/>
      <c r="H70" s="435"/>
      <c r="I70" s="579"/>
      <c r="J70" s="460"/>
      <c r="K70" s="435"/>
      <c r="L70" s="985"/>
      <c r="M70" s="435"/>
      <c r="N70" s="579"/>
      <c r="O70" s="460"/>
      <c r="P70" s="435"/>
      <c r="Q70" s="985"/>
      <c r="R70" s="813"/>
      <c r="S70" s="579"/>
      <c r="T70" s="460"/>
      <c r="U70" s="435"/>
      <c r="V70" s="985"/>
      <c r="W70" s="435"/>
      <c r="X70" s="579"/>
      <c r="Y70" s="460"/>
      <c r="Z70" s="428"/>
      <c r="AA70" s="985"/>
      <c r="AB70" s="462"/>
      <c r="AC70" s="985"/>
    </row>
    <row r="71" spans="2:29" s="39" customFormat="1" x14ac:dyDescent="0.3">
      <c r="B71" s="432" t="s">
        <v>57</v>
      </c>
      <c r="C71" s="469"/>
      <c r="D71" s="469"/>
      <c r="E71" s="470"/>
      <c r="F71" s="430" t="s">
        <v>12</v>
      </c>
      <c r="G71" s="826">
        <f>SUM(G56:G70)</f>
        <v>30.555199999999996</v>
      </c>
      <c r="H71" s="432">
        <f>SUM(H56:H70)</f>
        <v>1.1000000000000001</v>
      </c>
      <c r="I71" s="838">
        <f>SUM(I56:I70)</f>
        <v>16.489000000000001</v>
      </c>
      <c r="J71" s="473"/>
      <c r="K71" s="430"/>
      <c r="L71" s="826">
        <f>SUM(L56:L70)</f>
        <v>30.555199999999996</v>
      </c>
      <c r="M71" s="432">
        <f>SUM(M56:M70)</f>
        <v>1.1000000000000001</v>
      </c>
      <c r="N71" s="838">
        <f>SUM(N56:N70)</f>
        <v>16.489000000000001</v>
      </c>
      <c r="O71" s="473"/>
      <c r="P71" s="430"/>
      <c r="Q71" s="826">
        <f>SUM(Q56:Q70)</f>
        <v>64.952399999999997</v>
      </c>
      <c r="R71" s="432">
        <f>SUM(R56:R70)</f>
        <v>1.2</v>
      </c>
      <c r="S71" s="838">
        <f>SUM(S56:S70)</f>
        <v>17.988</v>
      </c>
      <c r="T71" s="473"/>
      <c r="U71" s="430"/>
      <c r="V71" s="826">
        <f>SUM(V56:V70)</f>
        <v>64.590799999999987</v>
      </c>
      <c r="W71" s="432">
        <f>SUM(W56:W70)</f>
        <v>1</v>
      </c>
      <c r="X71" s="838">
        <f>SUM(X56:X70)</f>
        <v>14.99</v>
      </c>
      <c r="Y71" s="473"/>
      <c r="Z71" s="430"/>
      <c r="AA71" s="842">
        <f>45*'Arable Inputs'!D8</f>
        <v>50.849999999999994</v>
      </c>
      <c r="AB71" s="432">
        <f>SUM(AB56:AB70)</f>
        <v>1.1000000000000001</v>
      </c>
      <c r="AC71" s="826">
        <f>SUM(AC56:AC70)</f>
        <v>16.489000000000001</v>
      </c>
    </row>
    <row r="72" spans="2:29" s="39" customFormat="1" x14ac:dyDescent="0.3">
      <c r="B72" s="432"/>
      <c r="C72" s="469"/>
      <c r="D72" s="469"/>
      <c r="E72" s="469"/>
      <c r="F72" s="430"/>
      <c r="G72" s="430"/>
      <c r="H72" s="430"/>
      <c r="I72" s="430"/>
      <c r="J72" s="430"/>
      <c r="K72" s="430"/>
      <c r="L72" s="430"/>
      <c r="M72" s="430"/>
      <c r="N72" s="430"/>
      <c r="O72" s="430"/>
      <c r="P72" s="430"/>
      <c r="Q72" s="430"/>
      <c r="R72" s="430"/>
      <c r="S72" s="430"/>
      <c r="T72" s="430"/>
      <c r="U72" s="430"/>
      <c r="V72" s="430"/>
      <c r="W72" s="430"/>
      <c r="X72" s="430"/>
      <c r="Y72" s="430"/>
      <c r="Z72" s="430"/>
      <c r="AA72" s="430"/>
      <c r="AB72" s="430"/>
      <c r="AC72" s="471"/>
    </row>
    <row r="73" spans="2:29" x14ac:dyDescent="0.3">
      <c r="B73" s="432" t="s">
        <v>35</v>
      </c>
      <c r="C73" s="469"/>
      <c r="D73" s="469"/>
      <c r="E73" s="469"/>
      <c r="F73" s="431"/>
      <c r="G73" s="431"/>
      <c r="H73" s="431"/>
      <c r="I73" s="431"/>
      <c r="J73" s="431"/>
      <c r="K73" s="431"/>
      <c r="L73" s="431"/>
      <c r="M73" s="431"/>
      <c r="N73" s="431"/>
      <c r="O73" s="431"/>
      <c r="P73" s="431"/>
      <c r="Q73" s="431"/>
      <c r="R73" s="431"/>
      <c r="S73" s="431"/>
      <c r="T73" s="431"/>
      <c r="U73" s="431"/>
      <c r="V73" s="431"/>
      <c r="W73" s="431"/>
      <c r="X73" s="431"/>
      <c r="Y73" s="431"/>
      <c r="Z73" s="431"/>
      <c r="AA73" s="997"/>
      <c r="AB73" s="431"/>
      <c r="AC73" s="433"/>
    </row>
    <row r="74" spans="2:29" x14ac:dyDescent="0.3">
      <c r="B74" s="16" t="s">
        <v>60</v>
      </c>
      <c r="C74" s="458">
        <f>12.63*'Arable Inputs'!$D$8</f>
        <v>14.271899999999999</v>
      </c>
      <c r="D74" s="497">
        <f>10.08*'Arable Inputs'!$D$8</f>
        <v>11.3904</v>
      </c>
      <c r="E74" s="460">
        <v>2</v>
      </c>
      <c r="F74" s="498">
        <f>'Arable Inputs'!D55</f>
        <v>4</v>
      </c>
      <c r="G74" s="985">
        <f>IF(F74&gt;=1,CHOOSE(E74,$C74,$D74)*F74)</f>
        <v>45.561599999999999</v>
      </c>
      <c r="H74" s="810">
        <f>0.3*F74</f>
        <v>1.2</v>
      </c>
      <c r="I74" s="579">
        <f>H74*$C$4</f>
        <v>17.988</v>
      </c>
      <c r="J74" s="460">
        <v>2</v>
      </c>
      <c r="K74" s="498">
        <f>'Arable Inputs'!E55</f>
        <v>2</v>
      </c>
      <c r="L74" s="985">
        <f>IF(K74&gt;=1,CHOOSE(J74,$C74,$D74)*K74)</f>
        <v>22.780799999999999</v>
      </c>
      <c r="M74" s="810">
        <f>0.3*K74</f>
        <v>0.6</v>
      </c>
      <c r="N74" s="424">
        <f>M74*$C$4</f>
        <v>8.9939999999999998</v>
      </c>
      <c r="O74" s="460">
        <v>2</v>
      </c>
      <c r="P74" s="499">
        <f>'Arable Inputs'!F55</f>
        <v>2</v>
      </c>
      <c r="Q74" s="985">
        <f>IF(P74&gt;=1,CHOOSE(O74,$C74,$D74)*P74)</f>
        <v>22.780799999999999</v>
      </c>
      <c r="R74" s="810">
        <f>0.6*P74</f>
        <v>1.2</v>
      </c>
      <c r="S74" s="579">
        <f>R74*$C$4</f>
        <v>17.988</v>
      </c>
      <c r="T74" s="460">
        <v>2</v>
      </c>
      <c r="U74" s="499">
        <f>'Arable Inputs'!G55</f>
        <v>3</v>
      </c>
      <c r="V74" s="985">
        <f>IF(U74&gt;=1,CHOOSE(T74,$C74,$D74)*U74)</f>
        <v>34.171199999999999</v>
      </c>
      <c r="W74" s="810">
        <f>(0.6+0.3)*U74</f>
        <v>2.6999999999999997</v>
      </c>
      <c r="X74" s="579">
        <f>W74*$C$4</f>
        <v>40.472999999999999</v>
      </c>
      <c r="Y74" s="460">
        <v>2</v>
      </c>
      <c r="Z74" s="499">
        <f>'Arable Inputs'!H55</f>
        <v>3</v>
      </c>
      <c r="AA74" s="985">
        <f>IF(Z74&gt;=1,CHOOSE(Y74,$C74,$D74)*Z74)</f>
        <v>34.171199999999999</v>
      </c>
      <c r="AB74" s="861">
        <f>0.3*Z74</f>
        <v>0.89999999999999991</v>
      </c>
      <c r="AC74" s="985">
        <f>AB74*$C$4</f>
        <v>13.491</v>
      </c>
    </row>
    <row r="75" spans="2:29" x14ac:dyDescent="0.3">
      <c r="B75" s="16" t="s">
        <v>59</v>
      </c>
      <c r="C75" s="458" t="s">
        <v>118</v>
      </c>
      <c r="D75" s="459">
        <f>8.16*'Arable Inputs'!$D$8</f>
        <v>9.2207999999999988</v>
      </c>
      <c r="E75" s="460"/>
      <c r="F75" s="435"/>
      <c r="G75" s="579"/>
      <c r="H75" s="16"/>
      <c r="I75" s="579"/>
      <c r="J75" s="460"/>
      <c r="K75" s="435"/>
      <c r="L75" s="579"/>
      <c r="M75" s="16"/>
      <c r="N75" s="435"/>
      <c r="O75" s="460"/>
      <c r="P75" s="435"/>
      <c r="Q75" s="579"/>
      <c r="R75" s="16"/>
      <c r="S75" s="579"/>
      <c r="T75" s="460"/>
      <c r="U75" s="435"/>
      <c r="V75" s="579"/>
      <c r="W75" s="16"/>
      <c r="X75" s="579"/>
      <c r="Y75" s="460"/>
      <c r="Z75" s="435"/>
      <c r="AA75" s="579"/>
      <c r="AB75" s="16"/>
      <c r="AC75" s="985"/>
    </row>
    <row r="76" spans="2:29" x14ac:dyDescent="0.3">
      <c r="B76" s="10" t="s">
        <v>58</v>
      </c>
      <c r="C76" s="500">
        <f>(C74+4.32)*'Arable Inputs'!$D$8</f>
        <v>21.008846999999996</v>
      </c>
      <c r="D76" s="459" t="s">
        <v>118</v>
      </c>
      <c r="E76" s="460"/>
      <c r="F76" s="435"/>
      <c r="G76" s="579"/>
      <c r="H76" s="16"/>
      <c r="I76" s="579"/>
      <c r="J76" s="460"/>
      <c r="K76" s="435"/>
      <c r="L76" s="579"/>
      <c r="M76" s="16"/>
      <c r="N76" s="435"/>
      <c r="O76" s="460"/>
      <c r="P76" s="435"/>
      <c r="Q76" s="579"/>
      <c r="R76" s="16"/>
      <c r="S76" s="579"/>
      <c r="T76" s="460"/>
      <c r="U76" s="435"/>
      <c r="V76" s="579"/>
      <c r="W76" s="16"/>
      <c r="X76" s="579"/>
      <c r="Y76" s="460"/>
      <c r="Z76" s="435"/>
      <c r="AA76" s="579"/>
      <c r="AB76" s="16"/>
      <c r="AC76" s="985"/>
    </row>
    <row r="77" spans="2:29" x14ac:dyDescent="0.3">
      <c r="B77" s="16" t="s">
        <v>135</v>
      </c>
      <c r="C77" s="458">
        <f>12.36*'Arable Inputs'!$D$8</f>
        <v>13.966799999999997</v>
      </c>
      <c r="D77" s="459" t="s">
        <v>118</v>
      </c>
      <c r="E77" s="460"/>
      <c r="F77" s="494"/>
      <c r="G77" s="995"/>
      <c r="H77" s="496"/>
      <c r="I77" s="996"/>
      <c r="J77" s="495"/>
      <c r="K77" s="494"/>
      <c r="L77" s="995"/>
      <c r="M77" s="496"/>
      <c r="N77" s="494"/>
      <c r="O77" s="495"/>
      <c r="P77" s="492"/>
      <c r="Q77" s="995"/>
      <c r="R77" s="496"/>
      <c r="S77" s="995"/>
      <c r="T77" s="495"/>
      <c r="U77" s="492"/>
      <c r="V77" s="995"/>
      <c r="W77" s="496"/>
      <c r="X77" s="995"/>
      <c r="Y77" s="495"/>
      <c r="Z77" s="492"/>
      <c r="AA77" s="995"/>
      <c r="AB77" s="496"/>
      <c r="AC77" s="994"/>
    </row>
    <row r="78" spans="2:29" x14ac:dyDescent="0.3">
      <c r="B78" s="16" t="s">
        <v>136</v>
      </c>
      <c r="C78" s="458">
        <f>8.9*'Arable Inputs'!$D$8</f>
        <v>10.056999999999999</v>
      </c>
      <c r="D78" s="459">
        <f>2.89*'Arable Inputs'!$D$8</f>
        <v>3.2656999999999998</v>
      </c>
      <c r="E78" s="460"/>
      <c r="F78" s="494"/>
      <c r="G78" s="995"/>
      <c r="H78" s="496"/>
      <c r="I78" s="996"/>
      <c r="J78" s="495"/>
      <c r="K78" s="494"/>
      <c r="L78" s="995"/>
      <c r="M78" s="496"/>
      <c r="N78" s="494"/>
      <c r="O78" s="495"/>
      <c r="P78" s="492"/>
      <c r="Q78" s="995"/>
      <c r="R78" s="496"/>
      <c r="S78" s="995"/>
      <c r="T78" s="495"/>
      <c r="U78" s="492"/>
      <c r="V78" s="995"/>
      <c r="W78" s="496"/>
      <c r="X78" s="995"/>
      <c r="Y78" s="495"/>
      <c r="Z78" s="492"/>
      <c r="AA78" s="995"/>
      <c r="AB78" s="496"/>
      <c r="AC78" s="994"/>
    </row>
    <row r="79" spans="2:29" x14ac:dyDescent="0.3">
      <c r="B79" s="16" t="s">
        <v>61</v>
      </c>
      <c r="C79" s="458">
        <f>25.95*'Arable Inputs'!$D$8</f>
        <v>29.323499999999996</v>
      </c>
      <c r="D79" s="459" t="s">
        <v>118</v>
      </c>
      <c r="E79" s="460"/>
      <c r="F79" s="435"/>
      <c r="G79" s="579"/>
      <c r="H79" s="16"/>
      <c r="I79" s="579"/>
      <c r="J79" s="460"/>
      <c r="K79" s="435"/>
      <c r="L79" s="579"/>
      <c r="M79" s="16"/>
      <c r="N79" s="435"/>
      <c r="O79" s="460"/>
      <c r="P79" s="435"/>
      <c r="Q79" s="579"/>
      <c r="R79" s="16"/>
      <c r="S79" s="579"/>
      <c r="T79" s="460"/>
      <c r="U79" s="435"/>
      <c r="V79" s="579"/>
      <c r="W79" s="16"/>
      <c r="X79" s="579"/>
      <c r="Y79" s="460"/>
      <c r="Z79" s="435"/>
      <c r="AA79" s="579"/>
      <c r="AB79" s="16"/>
      <c r="AC79" s="985"/>
    </row>
    <row r="80" spans="2:29" x14ac:dyDescent="0.3">
      <c r="B80" s="16" t="s">
        <v>137</v>
      </c>
      <c r="C80" s="458">
        <f>19.77*'Arable Inputs'!$D$8</f>
        <v>22.340099999999996</v>
      </c>
      <c r="D80" s="459" t="s">
        <v>118</v>
      </c>
      <c r="E80" s="460">
        <v>1</v>
      </c>
      <c r="F80" s="463">
        <v>1</v>
      </c>
      <c r="G80" s="985">
        <f>IF(F80&gt;=1,CHOOSE(E80,$C80,$D80)*F80)</f>
        <v>22.340099999999996</v>
      </c>
      <c r="H80" s="811">
        <v>1</v>
      </c>
      <c r="I80" s="579">
        <f>H80*$C$4</f>
        <v>14.99</v>
      </c>
      <c r="J80" s="460">
        <v>1</v>
      </c>
      <c r="K80" s="501">
        <v>1</v>
      </c>
      <c r="L80" s="985">
        <f>IF(K80&gt;=1,CHOOSE(J80,$C80,$D80)*K80)</f>
        <v>22.340099999999996</v>
      </c>
      <c r="M80" s="811">
        <v>1</v>
      </c>
      <c r="N80" s="424">
        <f>M80*$C$4</f>
        <v>14.99</v>
      </c>
      <c r="O80" s="460"/>
      <c r="P80" s="428"/>
      <c r="Q80" s="985"/>
      <c r="R80" s="998"/>
      <c r="S80" s="579"/>
      <c r="T80" s="460"/>
      <c r="U80" s="428"/>
      <c r="V80" s="985"/>
      <c r="W80" s="827"/>
      <c r="X80" s="579"/>
      <c r="Y80" s="460"/>
      <c r="Z80" s="428"/>
      <c r="AA80" s="985"/>
      <c r="AB80" s="999"/>
      <c r="AC80" s="985"/>
    </row>
    <row r="81" spans="2:29" s="39" customFormat="1" x14ac:dyDescent="0.3">
      <c r="B81" s="432" t="s">
        <v>62</v>
      </c>
      <c r="C81" s="469"/>
      <c r="D81" s="469"/>
      <c r="E81" s="470"/>
      <c r="F81" s="430" t="s">
        <v>12</v>
      </c>
      <c r="G81" s="826">
        <f>SUM(G74:G80)</f>
        <v>67.901699999999991</v>
      </c>
      <c r="H81" s="808">
        <f>SUM(H74:H80)</f>
        <v>2.2000000000000002</v>
      </c>
      <c r="I81" s="838">
        <f>SUM(I74:I80)</f>
        <v>32.978000000000002</v>
      </c>
      <c r="J81" s="473"/>
      <c r="K81" s="430"/>
      <c r="L81" s="826">
        <f>SUM(L74:L80)</f>
        <v>45.120899999999992</v>
      </c>
      <c r="M81" s="808">
        <f>SUM(M74:M80)</f>
        <v>1.6</v>
      </c>
      <c r="N81" s="472">
        <f>SUM(N74:N80)</f>
        <v>23.984000000000002</v>
      </c>
      <c r="O81" s="473"/>
      <c r="P81" s="430"/>
      <c r="Q81" s="826">
        <f>SUM(Q74:Q80)</f>
        <v>22.780799999999999</v>
      </c>
      <c r="R81" s="432">
        <f>SUM(R74:R80)</f>
        <v>1.2</v>
      </c>
      <c r="S81" s="838">
        <f>SUM(S74:S80)</f>
        <v>17.988</v>
      </c>
      <c r="T81" s="473"/>
      <c r="U81" s="430"/>
      <c r="V81" s="826">
        <f>SUM(V74:V80)</f>
        <v>34.171199999999999</v>
      </c>
      <c r="W81" s="808">
        <f>SUM(W74:W80)</f>
        <v>2.6999999999999997</v>
      </c>
      <c r="X81" s="838">
        <f>SUM(X74:X80)</f>
        <v>40.472999999999999</v>
      </c>
      <c r="Y81" s="473"/>
      <c r="Z81" s="430"/>
      <c r="AA81" s="826">
        <f>SUM(AA74:AA80)</f>
        <v>34.171199999999999</v>
      </c>
      <c r="AB81" s="432">
        <f>SUM(AB74:AB80)</f>
        <v>0.89999999999999991</v>
      </c>
      <c r="AC81" s="826">
        <f>SUM(AC74:AC80)</f>
        <v>13.491</v>
      </c>
    </row>
    <row r="82" spans="2:29" s="39" customFormat="1" x14ac:dyDescent="0.3">
      <c r="B82" s="432"/>
      <c r="C82" s="469"/>
      <c r="D82" s="469"/>
      <c r="E82" s="469"/>
      <c r="F82" s="430"/>
      <c r="G82" s="430"/>
      <c r="H82" s="430"/>
      <c r="I82" s="430"/>
      <c r="J82" s="430"/>
      <c r="K82" s="430"/>
      <c r="L82" s="430"/>
      <c r="M82" s="430"/>
      <c r="N82" s="430"/>
      <c r="O82" s="430"/>
      <c r="P82" s="430"/>
      <c r="Q82" s="430"/>
      <c r="R82" s="430"/>
      <c r="S82" s="430"/>
      <c r="T82" s="430"/>
      <c r="U82" s="430"/>
      <c r="V82" s="430"/>
      <c r="W82" s="430"/>
      <c r="X82" s="430"/>
      <c r="Y82" s="430"/>
      <c r="Z82" s="430"/>
      <c r="AA82" s="430"/>
      <c r="AB82" s="430"/>
      <c r="AC82" s="471"/>
    </row>
    <row r="83" spans="2:29" s="39" customFormat="1" x14ac:dyDescent="0.3">
      <c r="B83" s="432" t="s">
        <v>182</v>
      </c>
      <c r="C83" s="469"/>
      <c r="D83" s="469"/>
      <c r="E83" s="469"/>
      <c r="F83" s="431"/>
      <c r="G83" s="431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  <c r="AB83" s="431"/>
      <c r="AC83" s="433"/>
    </row>
    <row r="84" spans="2:29" x14ac:dyDescent="0.3">
      <c r="B84" s="16" t="s">
        <v>64</v>
      </c>
      <c r="C84" s="458">
        <f>89.13*'Arable Inputs'!$D$8</f>
        <v>100.71689999999998</v>
      </c>
      <c r="D84" s="497">
        <f>90.1*'Arable Inputs'!$D$8</f>
        <v>101.81299999999999</v>
      </c>
      <c r="E84" s="460">
        <v>2</v>
      </c>
      <c r="F84" s="463">
        <v>1</v>
      </c>
      <c r="G84" s="985">
        <f>IF(F84&gt;=1,CHOOSE(E84,$C84,$D84)*F84)</f>
        <v>101.81299999999999</v>
      </c>
      <c r="H84" s="812">
        <v>1.5</v>
      </c>
      <c r="I84" s="579">
        <f>H84*$C$4</f>
        <v>22.484999999999999</v>
      </c>
      <c r="J84" s="460">
        <v>2</v>
      </c>
      <c r="K84" s="463">
        <v>1</v>
      </c>
      <c r="L84" s="985">
        <f>IF(K84&gt;=1,CHOOSE(J84,$C84,$D84)*K84)</f>
        <v>101.81299999999999</v>
      </c>
      <c r="M84" s="812">
        <v>1.5</v>
      </c>
      <c r="N84" s="579">
        <f>M84*$C$4</f>
        <v>22.484999999999999</v>
      </c>
      <c r="O84" s="460"/>
      <c r="P84" s="435"/>
      <c r="Q84" s="461"/>
      <c r="R84" s="435"/>
      <c r="S84" s="435"/>
      <c r="T84" s="460"/>
      <c r="U84" s="435"/>
      <c r="V84" s="461"/>
      <c r="W84" s="435"/>
      <c r="X84" s="435"/>
      <c r="Y84" s="460"/>
      <c r="Z84" s="435"/>
      <c r="AA84" s="461"/>
      <c r="AB84" s="462"/>
      <c r="AC84" s="461"/>
    </row>
    <row r="85" spans="2:29" x14ac:dyDescent="0.3">
      <c r="B85" s="16" t="s">
        <v>138</v>
      </c>
      <c r="C85" s="458">
        <f>(C84+6.35)*'Arable Inputs'!$D$8</f>
        <v>120.98559699999996</v>
      </c>
      <c r="D85" s="459">
        <f>90.1*'Arable Inputs'!$D$8</f>
        <v>101.81299999999999</v>
      </c>
      <c r="E85" s="460"/>
      <c r="F85" s="435"/>
      <c r="G85" s="985"/>
      <c r="H85" s="435"/>
      <c r="I85" s="579"/>
      <c r="J85" s="460"/>
      <c r="K85" s="435"/>
      <c r="L85" s="985"/>
      <c r="M85" s="435"/>
      <c r="N85" s="579"/>
      <c r="O85" s="460"/>
      <c r="P85" s="435"/>
      <c r="Q85" s="461"/>
      <c r="R85" s="435"/>
      <c r="S85" s="435"/>
      <c r="T85" s="460"/>
      <c r="U85" s="435"/>
      <c r="V85" s="461"/>
      <c r="W85" s="435"/>
      <c r="X85" s="435"/>
      <c r="Y85" s="460"/>
      <c r="Z85" s="435"/>
      <c r="AA85" s="461"/>
      <c r="AB85" s="462"/>
      <c r="AC85" s="461"/>
    </row>
    <row r="86" spans="2:29" x14ac:dyDescent="0.3">
      <c r="B86" s="16" t="s">
        <v>139</v>
      </c>
      <c r="C86" s="458">
        <f>(C84+0.02)*'Arable Inputs'!$D$8</f>
        <v>113.83269699999997</v>
      </c>
      <c r="D86" s="459">
        <f>90.1*'Arable Inputs'!$D$8</f>
        <v>101.81299999999999</v>
      </c>
      <c r="E86" s="460"/>
      <c r="F86" s="435"/>
      <c r="G86" s="985"/>
      <c r="H86" s="435"/>
      <c r="I86" s="579"/>
      <c r="J86" s="460"/>
      <c r="K86" s="435"/>
      <c r="L86" s="985"/>
      <c r="M86" s="435"/>
      <c r="N86" s="579"/>
      <c r="O86" s="460"/>
      <c r="P86" s="435"/>
      <c r="Q86" s="461"/>
      <c r="R86" s="435"/>
      <c r="S86" s="435"/>
      <c r="T86" s="460"/>
      <c r="U86" s="435"/>
      <c r="V86" s="461"/>
      <c r="W86" s="435"/>
      <c r="X86" s="435"/>
      <c r="Y86" s="460"/>
      <c r="Z86" s="435"/>
      <c r="AA86" s="461"/>
      <c r="AB86" s="462"/>
      <c r="AC86" s="461"/>
    </row>
    <row r="87" spans="2:29" x14ac:dyDescent="0.3">
      <c r="B87" s="16" t="s">
        <v>140</v>
      </c>
      <c r="C87" s="458">
        <f>(C84+2.47)*'Arable Inputs'!$D$8</f>
        <v>116.60119699999997</v>
      </c>
      <c r="D87" s="459">
        <f>90.1*'Arable Inputs'!$D$8</f>
        <v>101.81299999999999</v>
      </c>
      <c r="E87" s="460"/>
      <c r="F87" s="435"/>
      <c r="G87" s="985"/>
      <c r="H87" s="435"/>
      <c r="I87" s="579"/>
      <c r="J87" s="460"/>
      <c r="K87" s="435"/>
      <c r="L87" s="985"/>
      <c r="M87" s="435"/>
      <c r="N87" s="579"/>
      <c r="O87" s="460"/>
      <c r="P87" s="435"/>
      <c r="Q87" s="461"/>
      <c r="R87" s="435"/>
      <c r="S87" s="435"/>
      <c r="T87" s="460"/>
      <c r="U87" s="435"/>
      <c r="V87" s="461"/>
      <c r="W87" s="435"/>
      <c r="X87" s="435"/>
      <c r="Y87" s="460"/>
      <c r="Z87" s="435"/>
      <c r="AA87" s="461"/>
      <c r="AB87" s="462"/>
      <c r="AC87" s="461"/>
    </row>
    <row r="88" spans="2:29" x14ac:dyDescent="0.3">
      <c r="B88" s="16" t="s">
        <v>141</v>
      </c>
      <c r="C88" s="458">
        <f>86.49*'Arable Inputs'!$D$8</f>
        <v>97.733699999999985</v>
      </c>
      <c r="D88" s="459" t="s">
        <v>118</v>
      </c>
      <c r="E88" s="460"/>
      <c r="F88" s="435"/>
      <c r="G88" s="985"/>
      <c r="H88" s="435"/>
      <c r="I88" s="579"/>
      <c r="J88" s="460"/>
      <c r="K88" s="435"/>
      <c r="L88" s="985"/>
      <c r="M88" s="435"/>
      <c r="N88" s="579"/>
      <c r="O88" s="460"/>
      <c r="P88" s="435"/>
      <c r="Q88" s="461"/>
      <c r="R88" s="435"/>
      <c r="S88" s="435"/>
      <c r="T88" s="460"/>
      <c r="U88" s="435"/>
      <c r="V88" s="461"/>
      <c r="W88" s="435"/>
      <c r="X88" s="435"/>
      <c r="Y88" s="460"/>
      <c r="Z88" s="435"/>
      <c r="AA88" s="461"/>
      <c r="AB88" s="462"/>
      <c r="AC88" s="461"/>
    </row>
    <row r="89" spans="2:29" x14ac:dyDescent="0.3">
      <c r="B89" s="16" t="s">
        <v>142</v>
      </c>
      <c r="C89" s="458">
        <f>89.6*'Arable Inputs'!$D$8</f>
        <v>101.24799999999999</v>
      </c>
      <c r="D89" s="459">
        <f>90.1*'Arable Inputs'!$D$8</f>
        <v>101.81299999999999</v>
      </c>
      <c r="E89" s="460"/>
      <c r="F89" s="435"/>
      <c r="G89" s="985"/>
      <c r="H89" s="435"/>
      <c r="I89" s="579"/>
      <c r="J89" s="460"/>
      <c r="K89" s="435"/>
      <c r="L89" s="985"/>
      <c r="M89" s="435"/>
      <c r="N89" s="579"/>
      <c r="O89" s="460">
        <v>2</v>
      </c>
      <c r="P89" s="463">
        <v>1</v>
      </c>
      <c r="Q89" s="985">
        <f>IF(P89&gt;=1,CHOOSE(O89,$C89,$D89)*P89)</f>
        <v>101.81299999999999</v>
      </c>
      <c r="R89" s="809">
        <v>2.4</v>
      </c>
      <c r="S89" s="579">
        <f>R89*$C$4</f>
        <v>35.975999999999999</v>
      </c>
      <c r="T89" s="460"/>
      <c r="U89" s="435"/>
      <c r="V89" s="461"/>
      <c r="W89" s="435"/>
      <c r="X89" s="424"/>
      <c r="Y89" s="460"/>
      <c r="Z89" s="435"/>
      <c r="AA89" s="461"/>
      <c r="AB89" s="462"/>
      <c r="AC89" s="461"/>
    </row>
    <row r="90" spans="2:29" x14ac:dyDescent="0.3">
      <c r="B90" s="16" t="s">
        <v>143</v>
      </c>
      <c r="C90" s="458">
        <f>93.16*'Arable Inputs'!$D$8</f>
        <v>105.27079999999998</v>
      </c>
      <c r="D90" s="459">
        <f>90.1*'Arable Inputs'!$D$8</f>
        <v>101.81299999999999</v>
      </c>
      <c r="E90" s="460"/>
      <c r="F90" s="435"/>
      <c r="G90" s="985"/>
      <c r="H90" s="435"/>
      <c r="I90" s="579"/>
      <c r="J90" s="460"/>
      <c r="K90" s="435"/>
      <c r="L90" s="985"/>
      <c r="M90" s="435"/>
      <c r="N90" s="579"/>
      <c r="O90" s="460"/>
      <c r="P90" s="435"/>
      <c r="Q90" s="985"/>
      <c r="R90" s="435"/>
      <c r="S90" s="579"/>
      <c r="T90" s="460"/>
      <c r="U90" s="435"/>
      <c r="V90" s="461"/>
      <c r="W90" s="435"/>
      <c r="X90" s="435"/>
      <c r="Y90" s="460"/>
      <c r="Z90" s="435"/>
      <c r="AA90" s="461"/>
      <c r="AB90" s="462"/>
      <c r="AC90" s="461"/>
    </row>
    <row r="91" spans="2:29" x14ac:dyDescent="0.3">
      <c r="B91" s="16" t="s">
        <v>144</v>
      </c>
      <c r="C91" s="458">
        <f>106.45*'Arable Inputs'!$D$8</f>
        <v>120.28849999999998</v>
      </c>
      <c r="D91" s="459" t="s">
        <v>118</v>
      </c>
      <c r="E91" s="460"/>
      <c r="F91" s="435"/>
      <c r="G91" s="985"/>
      <c r="H91" s="435"/>
      <c r="I91" s="579"/>
      <c r="J91" s="460"/>
      <c r="K91" s="435"/>
      <c r="L91" s="985"/>
      <c r="M91" s="435"/>
      <c r="N91" s="579"/>
      <c r="O91" s="460"/>
      <c r="P91" s="435"/>
      <c r="Q91" s="985"/>
      <c r="R91" s="435"/>
      <c r="S91" s="579"/>
      <c r="T91" s="460"/>
      <c r="U91" s="435"/>
      <c r="V91" s="461"/>
      <c r="W91" s="435"/>
      <c r="X91" s="435"/>
      <c r="Y91" s="460"/>
      <c r="Z91" s="435"/>
      <c r="AA91" s="461"/>
      <c r="AB91" s="462"/>
      <c r="AC91" s="464"/>
    </row>
    <row r="92" spans="2:29" x14ac:dyDescent="0.3">
      <c r="B92" s="16" t="s">
        <v>145</v>
      </c>
      <c r="C92" s="458">
        <f>44.48*'Arable Inputs'!$D$8</f>
        <v>50.262399999999992</v>
      </c>
      <c r="D92" s="459" t="s">
        <v>118</v>
      </c>
      <c r="E92" s="460"/>
      <c r="F92" s="435"/>
      <c r="G92" s="985"/>
      <c r="H92" s="435"/>
      <c r="I92" s="579"/>
      <c r="J92" s="460"/>
      <c r="K92" s="435"/>
      <c r="L92" s="985"/>
      <c r="M92" s="435"/>
      <c r="N92" s="579"/>
      <c r="O92" s="460"/>
      <c r="P92" s="435"/>
      <c r="Q92" s="985"/>
      <c r="R92" s="435"/>
      <c r="S92" s="579"/>
      <c r="T92" s="460"/>
      <c r="U92" s="435"/>
      <c r="V92" s="461"/>
      <c r="W92" s="435"/>
      <c r="X92" s="435"/>
      <c r="Y92" s="460"/>
      <c r="Z92" s="435"/>
      <c r="AA92" s="461"/>
      <c r="AB92" s="462"/>
      <c r="AC92" s="461"/>
    </row>
    <row r="93" spans="2:29" x14ac:dyDescent="0.3">
      <c r="B93" s="16" t="s">
        <v>146</v>
      </c>
      <c r="C93" s="458">
        <f>42*'Arable Inputs'!$D$8</f>
        <v>47.459999999999994</v>
      </c>
      <c r="D93" s="459">
        <f>35.63*'Arable Inputs'!$D$8</f>
        <v>40.261899999999997</v>
      </c>
      <c r="E93" s="460"/>
      <c r="F93" s="435"/>
      <c r="G93" s="985"/>
      <c r="H93" s="435"/>
      <c r="I93" s="579"/>
      <c r="J93" s="460"/>
      <c r="K93" s="435"/>
      <c r="L93" s="985"/>
      <c r="M93" s="435"/>
      <c r="N93" s="579"/>
      <c r="O93" s="460"/>
      <c r="P93" s="435"/>
      <c r="Q93" s="985"/>
      <c r="R93" s="435"/>
      <c r="S93" s="579"/>
      <c r="T93" s="460"/>
      <c r="U93" s="435"/>
      <c r="V93" s="461"/>
      <c r="W93" s="435"/>
      <c r="X93" s="435"/>
      <c r="Y93" s="460"/>
      <c r="Z93" s="435"/>
      <c r="AA93" s="461"/>
      <c r="AB93" s="462"/>
      <c r="AC93" s="461"/>
    </row>
    <row r="94" spans="2:29" x14ac:dyDescent="0.3">
      <c r="B94" s="10" t="s">
        <v>171</v>
      </c>
      <c r="C94" s="458">
        <f>778.37*'Arable Inputs'!$D$8</f>
        <v>879.55809999999997</v>
      </c>
      <c r="D94" s="459">
        <f>602.86*'Arable Inputs'!$D$8</f>
        <v>681.23179999999991</v>
      </c>
      <c r="E94" s="460"/>
      <c r="F94" s="435"/>
      <c r="G94" s="985"/>
      <c r="H94" s="435"/>
      <c r="I94" s="579"/>
      <c r="J94" s="460"/>
      <c r="K94" s="435"/>
      <c r="L94" s="985"/>
      <c r="M94" s="435"/>
      <c r="N94" s="579"/>
      <c r="O94" s="460"/>
      <c r="P94" s="435"/>
      <c r="Q94" s="985"/>
      <c r="R94" s="435"/>
      <c r="S94" s="579"/>
      <c r="T94" s="460"/>
      <c r="U94" s="435"/>
      <c r="V94" s="461"/>
      <c r="W94" s="435"/>
      <c r="X94" s="435"/>
      <c r="Y94" s="460"/>
      <c r="Z94" s="435"/>
      <c r="AA94" s="461"/>
      <c r="AB94" s="462"/>
      <c r="AC94" s="461"/>
    </row>
    <row r="95" spans="2:29" x14ac:dyDescent="0.3">
      <c r="B95" s="16" t="s">
        <v>172</v>
      </c>
      <c r="C95" s="458">
        <f>998.28*'Arable Inputs'!$D$8</f>
        <v>1128.0563999999999</v>
      </c>
      <c r="D95" s="459">
        <f>830.86*'Arable Inputs'!$D$8</f>
        <v>938.87179999999989</v>
      </c>
      <c r="E95" s="460"/>
      <c r="F95" s="435"/>
      <c r="G95" s="985"/>
      <c r="H95" s="435"/>
      <c r="I95" s="579"/>
      <c r="J95" s="460"/>
      <c r="K95" s="435"/>
      <c r="L95" s="985"/>
      <c r="M95" s="435"/>
      <c r="N95" s="579"/>
      <c r="O95" s="460"/>
      <c r="P95" s="435"/>
      <c r="Q95" s="985"/>
      <c r="R95" s="435"/>
      <c r="S95" s="579"/>
      <c r="T95" s="460"/>
      <c r="U95" s="435"/>
      <c r="V95" s="461"/>
      <c r="W95" s="435"/>
      <c r="X95" s="435"/>
      <c r="Y95" s="460"/>
      <c r="Z95" s="435"/>
      <c r="AA95" s="461"/>
      <c r="AB95" s="462"/>
      <c r="AC95" s="461"/>
    </row>
    <row r="96" spans="2:29" x14ac:dyDescent="0.3">
      <c r="B96" s="16" t="s">
        <v>173</v>
      </c>
      <c r="C96" s="458">
        <f>242.23*'Arable Inputs'!$D$8</f>
        <v>273.71989999999994</v>
      </c>
      <c r="D96" s="459">
        <f>280.99*'Arable Inputs'!$D$8</f>
        <v>317.51869999999997</v>
      </c>
      <c r="E96" s="460"/>
      <c r="F96" s="435"/>
      <c r="G96" s="985"/>
      <c r="H96" s="435"/>
      <c r="I96" s="579"/>
      <c r="J96" s="460"/>
      <c r="K96" s="435"/>
      <c r="L96" s="985"/>
      <c r="M96" s="435"/>
      <c r="N96" s="579"/>
      <c r="O96" s="460"/>
      <c r="P96" s="435"/>
      <c r="Q96" s="985"/>
      <c r="R96" s="435"/>
      <c r="S96" s="579"/>
      <c r="T96" s="460">
        <v>1</v>
      </c>
      <c r="U96" s="463">
        <v>1</v>
      </c>
      <c r="V96" s="985">
        <f>IF(U96&gt;=1,CHOOSE(T96,$C96,$D96)*U96)</f>
        <v>273.71989999999994</v>
      </c>
      <c r="W96" s="812">
        <v>14</v>
      </c>
      <c r="X96" s="579">
        <f>W96*$C$4</f>
        <v>209.86</v>
      </c>
      <c r="Y96" s="460"/>
      <c r="Z96" s="435"/>
      <c r="AA96" s="461"/>
      <c r="AB96" s="462"/>
      <c r="AC96" s="461"/>
    </row>
    <row r="97" spans="2:29" x14ac:dyDescent="0.3">
      <c r="B97" s="16" t="s">
        <v>174</v>
      </c>
      <c r="C97" s="458">
        <f>276.75*'Arable Inputs'!$D$8</f>
        <v>312.72749999999996</v>
      </c>
      <c r="D97" s="459" t="s">
        <v>118</v>
      </c>
      <c r="E97" s="460"/>
      <c r="F97" s="435"/>
      <c r="G97" s="985"/>
      <c r="H97" s="435"/>
      <c r="I97" s="579"/>
      <c r="J97" s="460"/>
      <c r="K97" s="435"/>
      <c r="L97" s="985"/>
      <c r="M97" s="435"/>
      <c r="N97" s="579"/>
      <c r="O97" s="460"/>
      <c r="P97" s="435"/>
      <c r="Q97" s="985"/>
      <c r="R97" s="435"/>
      <c r="S97" s="579"/>
      <c r="T97" s="460"/>
      <c r="U97" s="435"/>
      <c r="V97" s="985"/>
      <c r="W97" s="435"/>
      <c r="X97" s="579"/>
      <c r="Y97" s="460"/>
      <c r="Z97" s="435"/>
      <c r="AA97" s="461"/>
      <c r="AB97" s="462"/>
      <c r="AC97" s="461"/>
    </row>
    <row r="98" spans="2:29" x14ac:dyDescent="0.3">
      <c r="B98" s="16" t="s">
        <v>63</v>
      </c>
      <c r="C98" s="458">
        <f>64.99*'Arable Inputs'!$D$8</f>
        <v>73.438699999999983</v>
      </c>
      <c r="D98" s="459">
        <f>59.25*'Arable Inputs'!$D$8</f>
        <v>66.952500000000001</v>
      </c>
      <c r="E98" s="460"/>
      <c r="F98" s="435"/>
      <c r="G98" s="985"/>
      <c r="H98" s="435"/>
      <c r="I98" s="579"/>
      <c r="J98" s="460"/>
      <c r="K98" s="435"/>
      <c r="L98" s="985"/>
      <c r="M98" s="435"/>
      <c r="N98" s="579"/>
      <c r="O98" s="460"/>
      <c r="P98" s="435"/>
      <c r="Q98" s="985"/>
      <c r="R98" s="435"/>
      <c r="S98" s="579"/>
      <c r="T98" s="460"/>
      <c r="U98" s="435"/>
      <c r="V98" s="985"/>
      <c r="W98" s="435"/>
      <c r="X98" s="579"/>
      <c r="Y98" s="460"/>
      <c r="Z98" s="435"/>
      <c r="AA98" s="461"/>
      <c r="AB98" s="462"/>
      <c r="AC98" s="461"/>
    </row>
    <row r="99" spans="2:29" x14ac:dyDescent="0.3">
      <c r="B99" s="16" t="s">
        <v>148</v>
      </c>
      <c r="C99" s="458">
        <f>58.07*'Arable Inputs'!$D$8</f>
        <v>65.619099999999989</v>
      </c>
      <c r="D99" s="459">
        <f>45.57*'Arable Inputs'!$D$8</f>
        <v>51.494099999999996</v>
      </c>
      <c r="E99" s="460"/>
      <c r="F99" s="435"/>
      <c r="G99" s="985"/>
      <c r="H99" s="435"/>
      <c r="I99" s="579"/>
      <c r="J99" s="460"/>
      <c r="K99" s="435"/>
      <c r="L99" s="985"/>
      <c r="M99" s="435"/>
      <c r="N99" s="579"/>
      <c r="O99" s="460"/>
      <c r="P99" s="435"/>
      <c r="Q99" s="985"/>
      <c r="R99" s="435"/>
      <c r="S99" s="579"/>
      <c r="T99" s="460"/>
      <c r="U99" s="435"/>
      <c r="V99" s="985"/>
      <c r="W99" s="435"/>
      <c r="X99" s="579"/>
      <c r="Y99" s="460"/>
      <c r="Z99" s="435"/>
      <c r="AA99" s="461"/>
      <c r="AB99" s="462"/>
      <c r="AC99" s="461"/>
    </row>
    <row r="100" spans="2:29" x14ac:dyDescent="0.3">
      <c r="B100" s="16" t="s">
        <v>149</v>
      </c>
      <c r="C100" s="458">
        <f>145.29*'Arable Inputs'!$D$8</f>
        <v>164.17769999999999</v>
      </c>
      <c r="D100" s="459" t="s">
        <v>118</v>
      </c>
      <c r="E100" s="460"/>
      <c r="F100" s="435"/>
      <c r="G100" s="985"/>
      <c r="H100" s="435"/>
      <c r="I100" s="579"/>
      <c r="J100" s="460"/>
      <c r="K100" s="435"/>
      <c r="L100" s="985"/>
      <c r="M100" s="435"/>
      <c r="N100" s="579"/>
      <c r="O100" s="460"/>
      <c r="P100" s="435"/>
      <c r="Q100" s="985"/>
      <c r="R100" s="435"/>
      <c r="S100" s="579"/>
      <c r="T100" s="460"/>
      <c r="U100" s="435"/>
      <c r="V100" s="985"/>
      <c r="W100" s="435"/>
      <c r="X100" s="579"/>
      <c r="Y100" s="460"/>
      <c r="Z100" s="435"/>
      <c r="AA100" s="461"/>
      <c r="AB100" s="462"/>
      <c r="AC100" s="461"/>
    </row>
    <row r="101" spans="2:29" x14ac:dyDescent="0.3">
      <c r="B101" s="16" t="s">
        <v>150</v>
      </c>
      <c r="C101" s="458">
        <f>168.03*'Arable Inputs'!$D$8</f>
        <v>189.87389999999999</v>
      </c>
      <c r="D101" s="490" t="s">
        <v>118</v>
      </c>
      <c r="E101" s="460"/>
      <c r="F101" s="435"/>
      <c r="G101" s="985"/>
      <c r="H101" s="435"/>
      <c r="I101" s="579"/>
      <c r="J101" s="460"/>
      <c r="K101" s="435"/>
      <c r="L101" s="985"/>
      <c r="M101" s="435"/>
      <c r="N101" s="579"/>
      <c r="O101" s="460"/>
      <c r="P101" s="435"/>
      <c r="Q101" s="985"/>
      <c r="R101" s="435"/>
      <c r="S101" s="579"/>
      <c r="T101" s="460"/>
      <c r="U101" s="435"/>
      <c r="V101" s="985"/>
      <c r="W101" s="435"/>
      <c r="X101" s="579"/>
      <c r="Y101" s="460"/>
      <c r="Z101" s="435"/>
      <c r="AA101" s="461"/>
      <c r="AB101" s="462"/>
      <c r="AC101" s="461"/>
    </row>
    <row r="102" spans="2:29" x14ac:dyDescent="0.3">
      <c r="B102" s="16" t="s">
        <v>184</v>
      </c>
      <c r="C102" s="458">
        <f>168.03*'Arable Inputs'!$D$8</f>
        <v>189.87389999999999</v>
      </c>
      <c r="D102" s="490" t="s">
        <v>118</v>
      </c>
      <c r="E102" s="460"/>
      <c r="F102" s="435"/>
      <c r="G102" s="985"/>
      <c r="H102" s="435"/>
      <c r="I102" s="579"/>
      <c r="J102" s="460"/>
      <c r="K102" s="435"/>
      <c r="L102" s="985"/>
      <c r="M102" s="435"/>
      <c r="N102" s="579"/>
      <c r="O102" s="460"/>
      <c r="P102" s="435"/>
      <c r="Q102" s="985"/>
      <c r="R102" s="435"/>
      <c r="S102" s="579"/>
      <c r="T102" s="460"/>
      <c r="U102" s="435"/>
      <c r="V102" s="985"/>
      <c r="W102" s="435"/>
      <c r="X102" s="579"/>
      <c r="Y102" s="460"/>
      <c r="Z102" s="435"/>
      <c r="AA102" s="985"/>
      <c r="AB102" s="835">
        <v>1.5</v>
      </c>
      <c r="AC102" s="985">
        <f>AB102*$C$4</f>
        <v>22.484999999999999</v>
      </c>
    </row>
    <row r="103" spans="2:29" x14ac:dyDescent="0.3">
      <c r="B103" s="16" t="s">
        <v>207</v>
      </c>
      <c r="C103" s="502">
        <f>42.05*'Arable Inputs'!$D$8</f>
        <v>47.516499999999994</v>
      </c>
      <c r="D103" s="503">
        <f>35.63*'Arable Inputs'!$D$8</f>
        <v>40.261899999999997</v>
      </c>
      <c r="E103" s="460">
        <v>2</v>
      </c>
      <c r="F103" s="463">
        <v>1</v>
      </c>
      <c r="G103" s="985">
        <f>IF(F103&gt;=1,CHOOSE(E103,$C103,$D103)*F103)</f>
        <v>40.261899999999997</v>
      </c>
      <c r="H103" s="809">
        <v>1</v>
      </c>
      <c r="I103" s="579">
        <f>H103*$C$4</f>
        <v>14.99</v>
      </c>
      <c r="J103" s="460">
        <v>2</v>
      </c>
      <c r="K103" s="463">
        <v>1</v>
      </c>
      <c r="L103" s="985">
        <f>IF(K103&gt;=1,CHOOSE(J103,$C103,$D103)*K103)</f>
        <v>40.261899999999997</v>
      </c>
      <c r="M103" s="809">
        <v>1</v>
      </c>
      <c r="N103" s="579">
        <f>M103*$C$4</f>
        <v>14.99</v>
      </c>
      <c r="O103" s="460"/>
      <c r="P103" s="435"/>
      <c r="Q103" s="985"/>
      <c r="R103" s="435"/>
      <c r="S103" s="579"/>
      <c r="T103" s="460">
        <v>2</v>
      </c>
      <c r="U103" s="463">
        <v>1</v>
      </c>
      <c r="V103" s="985">
        <f>IF(U103&gt;=1,CHOOSE(T103,$C103,$D103)*U103)</f>
        <v>40.261899999999997</v>
      </c>
      <c r="W103" s="809">
        <v>3.4</v>
      </c>
      <c r="X103" s="579">
        <f>W103*$C$4</f>
        <v>50.966000000000001</v>
      </c>
      <c r="Y103" s="460"/>
      <c r="Z103" s="435"/>
      <c r="AA103" s="985"/>
      <c r="AB103" s="462"/>
      <c r="AC103" s="985"/>
    </row>
    <row r="104" spans="2:29" x14ac:dyDescent="0.3">
      <c r="B104" s="16" t="s">
        <v>98</v>
      </c>
      <c r="C104" s="502">
        <f>42.05*'Arable Inputs'!$D$8</f>
        <v>47.516499999999994</v>
      </c>
      <c r="D104" s="503">
        <f>35.63*'Arable Inputs'!$D$8</f>
        <v>40.261899999999997</v>
      </c>
      <c r="E104" s="460">
        <v>2</v>
      </c>
      <c r="F104" s="463">
        <v>3</v>
      </c>
      <c r="G104" s="985">
        <f>IF(F104&gt;=1,CHOOSE(E104,$C104,$D104)*F104)</f>
        <v>120.78569999999999</v>
      </c>
      <c r="H104" s="812">
        <v>0.7</v>
      </c>
      <c r="I104" s="579">
        <f>H104*$C$4</f>
        <v>10.493</v>
      </c>
      <c r="J104" s="460">
        <v>2</v>
      </c>
      <c r="K104" s="501">
        <v>3</v>
      </c>
      <c r="L104" s="985">
        <f>IF(K104&gt;=1,CHOOSE(J104,$C104,$D104)*K104)</f>
        <v>120.78569999999999</v>
      </c>
      <c r="M104" s="812">
        <v>0.7</v>
      </c>
      <c r="N104" s="579">
        <f>M104*$C$4</f>
        <v>10.493</v>
      </c>
      <c r="O104" s="460">
        <v>2</v>
      </c>
      <c r="P104" s="501">
        <v>1</v>
      </c>
      <c r="Q104" s="985">
        <f>IF(P104&gt;=1,CHOOSE(O104,$C104,$D104)*P104)</f>
        <v>40.261899999999997</v>
      </c>
      <c r="R104" s="812">
        <f>1.6+0.5</f>
        <v>2.1</v>
      </c>
      <c r="S104" s="579">
        <f>R104*$C$4</f>
        <v>31.479000000000003</v>
      </c>
      <c r="T104" s="460"/>
      <c r="U104" s="435"/>
      <c r="V104" s="985"/>
      <c r="W104" s="435"/>
      <c r="X104" s="579"/>
      <c r="Y104" s="460"/>
      <c r="Z104" s="435"/>
      <c r="AA104" s="985"/>
      <c r="AB104" s="462"/>
      <c r="AC104" s="985"/>
    </row>
    <row r="105" spans="2:29" x14ac:dyDescent="0.3">
      <c r="B105" s="432" t="s">
        <v>183</v>
      </c>
      <c r="C105" s="469"/>
      <c r="D105" s="469"/>
      <c r="E105" s="470"/>
      <c r="F105" s="430" t="s">
        <v>12</v>
      </c>
      <c r="G105" s="826">
        <f>SUM(G84:G104)</f>
        <v>262.86059999999998</v>
      </c>
      <c r="H105" s="432">
        <f>SUM(H84:H104)</f>
        <v>3.2</v>
      </c>
      <c r="I105" s="838">
        <f>SUM(I84:I104)</f>
        <v>47.968000000000004</v>
      </c>
      <c r="J105" s="473"/>
      <c r="K105" s="430"/>
      <c r="L105" s="826">
        <f>SUM(L84:L104)</f>
        <v>262.86059999999998</v>
      </c>
      <c r="M105" s="432">
        <f>SUM(M84:M104)</f>
        <v>3.2</v>
      </c>
      <c r="N105" s="838">
        <f>SUM(N84:N104)</f>
        <v>47.968000000000004</v>
      </c>
      <c r="O105" s="473"/>
      <c r="P105" s="430"/>
      <c r="Q105" s="826">
        <f>SUM(Q84:Q104)</f>
        <v>142.07489999999999</v>
      </c>
      <c r="R105" s="432">
        <f>SUM(R84:R104)</f>
        <v>4.5</v>
      </c>
      <c r="S105" s="838">
        <f>SUM(S84:S104)</f>
        <v>67.454999999999998</v>
      </c>
      <c r="T105" s="473"/>
      <c r="U105" s="430"/>
      <c r="V105" s="826">
        <f>SUM(V84:V104)</f>
        <v>313.98179999999991</v>
      </c>
      <c r="W105" s="432">
        <f>SUM(W84:W104)</f>
        <v>17.399999999999999</v>
      </c>
      <c r="X105" s="838">
        <f>SUM(X84:X104)</f>
        <v>260.82600000000002</v>
      </c>
      <c r="Y105" s="473"/>
      <c r="Z105" s="430"/>
      <c r="AA105" s="842">
        <f>175*'Arable Inputs'!D8</f>
        <v>197.74999999999997</v>
      </c>
      <c r="AB105" s="432">
        <f>SUM(AB84:AB104)</f>
        <v>1.5</v>
      </c>
      <c r="AC105" s="826">
        <f>SUM(AC84:AC104)</f>
        <v>22.484999999999999</v>
      </c>
    </row>
    <row r="106" spans="2:29" s="39" customFormat="1" x14ac:dyDescent="0.3">
      <c r="B106" s="96"/>
      <c r="C106" s="504"/>
      <c r="D106" s="504"/>
      <c r="E106" s="505"/>
      <c r="F106" s="506"/>
      <c r="G106" s="506"/>
      <c r="H106" s="506"/>
      <c r="I106" s="506"/>
      <c r="J106" s="506"/>
      <c r="K106" s="506"/>
      <c r="L106" s="506"/>
      <c r="M106" s="506"/>
      <c r="N106" s="506"/>
      <c r="O106" s="506"/>
      <c r="P106" s="506"/>
      <c r="Q106" s="506"/>
      <c r="R106" s="506"/>
      <c r="S106" s="506"/>
      <c r="T106" s="506"/>
      <c r="U106" s="506"/>
      <c r="V106" s="506"/>
      <c r="W106" s="506"/>
      <c r="X106" s="506"/>
      <c r="Y106" s="506"/>
      <c r="Z106" s="506"/>
      <c r="AA106" s="506"/>
      <c r="AB106" s="506"/>
      <c r="AC106" s="507"/>
    </row>
    <row r="107" spans="2:29" x14ac:dyDescent="0.3">
      <c r="B107" s="432" t="s">
        <v>185</v>
      </c>
      <c r="C107" s="469"/>
      <c r="D107" s="469"/>
      <c r="E107" s="469"/>
      <c r="F107" s="430"/>
      <c r="G107" s="430"/>
      <c r="H107" s="430"/>
      <c r="I107" s="430"/>
      <c r="J107" s="430"/>
      <c r="K107" s="430"/>
      <c r="L107" s="430"/>
      <c r="M107" s="430"/>
      <c r="N107" s="430"/>
      <c r="O107" s="430"/>
      <c r="P107" s="430"/>
      <c r="Q107" s="430"/>
      <c r="R107" s="430"/>
      <c r="S107" s="430"/>
      <c r="T107" s="430"/>
      <c r="U107" s="430"/>
      <c r="V107" s="430"/>
      <c r="W107" s="430"/>
      <c r="X107" s="430"/>
      <c r="Y107" s="430"/>
      <c r="Z107" s="430"/>
      <c r="AA107" s="430"/>
      <c r="AB107" s="430"/>
      <c r="AC107" s="471"/>
    </row>
    <row r="108" spans="2:29" x14ac:dyDescent="0.3">
      <c r="B108" s="16" t="s">
        <v>153</v>
      </c>
      <c r="C108" s="458">
        <f>44.88*'Arable Inputs'!$D$8</f>
        <v>50.714399999999998</v>
      </c>
      <c r="D108" s="490" t="s">
        <v>118</v>
      </c>
      <c r="E108" s="491"/>
      <c r="F108" s="506"/>
      <c r="G108" s="508"/>
      <c r="H108" s="506"/>
      <c r="I108" s="506"/>
      <c r="J108" s="509"/>
      <c r="K108" s="506"/>
      <c r="L108" s="508"/>
      <c r="M108" s="506"/>
      <c r="N108" s="506"/>
      <c r="O108" s="509"/>
      <c r="P108" s="506"/>
      <c r="Q108" s="508"/>
      <c r="R108" s="506"/>
      <c r="S108" s="506"/>
      <c r="T108" s="509"/>
      <c r="U108" s="506"/>
      <c r="V108" s="508"/>
      <c r="W108" s="506"/>
      <c r="X108" s="506"/>
      <c r="Y108" s="509"/>
      <c r="Z108" s="506"/>
      <c r="AA108" s="508"/>
      <c r="AB108" s="506"/>
      <c r="AC108" s="507"/>
    </row>
    <row r="109" spans="2:29" x14ac:dyDescent="0.3">
      <c r="B109" s="16" t="s">
        <v>66</v>
      </c>
      <c r="C109" s="458">
        <f>32.27*'Arable Inputs'!$D$8</f>
        <v>36.4651</v>
      </c>
      <c r="D109" s="459">
        <f>21.44*'Arable Inputs'!$D$8</f>
        <v>24.2272</v>
      </c>
      <c r="E109" s="491"/>
      <c r="F109" s="506"/>
      <c r="G109" s="507"/>
      <c r="H109" s="506"/>
      <c r="I109" s="506"/>
      <c r="J109" s="509"/>
      <c r="K109" s="506"/>
      <c r="L109" s="507"/>
      <c r="M109" s="506"/>
      <c r="N109" s="506"/>
      <c r="O109" s="509"/>
      <c r="P109" s="506"/>
      <c r="Q109" s="507"/>
      <c r="R109" s="506"/>
      <c r="S109" s="506"/>
      <c r="T109" s="509"/>
      <c r="U109" s="506"/>
      <c r="V109" s="507"/>
      <c r="W109" s="506"/>
      <c r="X109" s="506"/>
      <c r="Y109" s="509"/>
      <c r="Z109" s="506"/>
      <c r="AA109" s="507"/>
      <c r="AB109" s="506"/>
      <c r="AC109" s="507"/>
    </row>
    <row r="110" spans="2:29" x14ac:dyDescent="0.3">
      <c r="B110" s="16" t="s">
        <v>67</v>
      </c>
      <c r="C110" s="458">
        <f>29.18*'Arable Inputs'!$D$8</f>
        <v>32.973399999999998</v>
      </c>
      <c r="D110" s="459">
        <f>30.24*'Arable Inputs'!$D$8</f>
        <v>34.171199999999992</v>
      </c>
      <c r="E110" s="491"/>
      <c r="F110" s="506"/>
      <c r="G110" s="507"/>
      <c r="H110" s="506"/>
      <c r="I110" s="506"/>
      <c r="J110" s="509"/>
      <c r="K110" s="506"/>
      <c r="L110" s="507"/>
      <c r="M110" s="506"/>
      <c r="N110" s="506"/>
      <c r="O110" s="509"/>
      <c r="P110" s="506"/>
      <c r="Q110" s="507"/>
      <c r="R110" s="506"/>
      <c r="S110" s="506"/>
      <c r="T110" s="509"/>
      <c r="U110" s="506"/>
      <c r="V110" s="507"/>
      <c r="W110" s="506"/>
      <c r="X110" s="506"/>
      <c r="Y110" s="509"/>
      <c r="Z110" s="506"/>
      <c r="AA110" s="507"/>
      <c r="AB110" s="506"/>
      <c r="AC110" s="507"/>
    </row>
    <row r="111" spans="2:29" x14ac:dyDescent="0.3">
      <c r="B111" s="16" t="s">
        <v>68</v>
      </c>
      <c r="C111" s="458">
        <f>16.58*'Arable Inputs'!$D$8</f>
        <v>18.735399999999995</v>
      </c>
      <c r="D111" s="459">
        <f>14.51*'Arable Inputs'!$D$8</f>
        <v>16.396299999999997</v>
      </c>
      <c r="E111" s="491"/>
      <c r="F111" s="506"/>
      <c r="G111" s="507"/>
      <c r="H111" s="506"/>
      <c r="I111" s="506"/>
      <c r="J111" s="509"/>
      <c r="K111" s="506"/>
      <c r="L111" s="507"/>
      <c r="M111" s="506"/>
      <c r="N111" s="506"/>
      <c r="O111" s="509"/>
      <c r="P111" s="506"/>
      <c r="Q111" s="507"/>
      <c r="R111" s="506"/>
      <c r="S111" s="506"/>
      <c r="T111" s="509"/>
      <c r="U111" s="506"/>
      <c r="V111" s="507"/>
      <c r="W111" s="506"/>
      <c r="X111" s="506"/>
      <c r="Y111" s="509"/>
      <c r="Z111" s="506"/>
      <c r="AA111" s="507"/>
      <c r="AB111" s="506"/>
      <c r="AC111" s="507"/>
    </row>
    <row r="112" spans="2:29" x14ac:dyDescent="0.3">
      <c r="B112" s="16" t="s">
        <v>69</v>
      </c>
      <c r="C112" s="458">
        <f>19.94*'Arable Inputs'!$D$8</f>
        <v>22.5322</v>
      </c>
      <c r="D112" s="459">
        <f>20.13*'Arable Inputs'!$D$8</f>
        <v>22.746899999999997</v>
      </c>
      <c r="E112" s="491"/>
      <c r="F112" s="506"/>
      <c r="G112" s="507"/>
      <c r="H112" s="506"/>
      <c r="I112" s="506"/>
      <c r="J112" s="509"/>
      <c r="K112" s="506"/>
      <c r="L112" s="507"/>
      <c r="M112" s="506"/>
      <c r="N112" s="506"/>
      <c r="O112" s="509"/>
      <c r="P112" s="506"/>
      <c r="Q112" s="507"/>
      <c r="R112" s="506"/>
      <c r="S112" s="506"/>
      <c r="T112" s="509"/>
      <c r="U112" s="506"/>
      <c r="V112" s="507"/>
      <c r="W112" s="506"/>
      <c r="X112" s="506"/>
      <c r="Y112" s="509"/>
      <c r="Z112" s="506"/>
      <c r="AA112" s="507"/>
      <c r="AB112" s="506"/>
      <c r="AC112" s="507"/>
    </row>
    <row r="113" spans="2:29" x14ac:dyDescent="0.3">
      <c r="B113" s="16" t="s">
        <v>151</v>
      </c>
      <c r="C113" s="458">
        <f>160.62*'Arable Inputs'!$D$8</f>
        <v>181.50059999999999</v>
      </c>
      <c r="D113" s="490" t="s">
        <v>118</v>
      </c>
      <c r="E113" s="491"/>
      <c r="F113" s="435"/>
      <c r="G113" s="461"/>
      <c r="H113" s="435"/>
      <c r="I113" s="435"/>
      <c r="J113" s="460"/>
      <c r="K113" s="435"/>
      <c r="L113" s="461"/>
      <c r="M113" s="435"/>
      <c r="N113" s="435"/>
      <c r="O113" s="460"/>
      <c r="P113" s="435"/>
      <c r="Q113" s="461"/>
      <c r="R113" s="435"/>
      <c r="S113" s="435"/>
      <c r="T113" s="460"/>
      <c r="U113" s="435"/>
      <c r="V113" s="461"/>
      <c r="W113" s="435"/>
      <c r="X113" s="435"/>
      <c r="Y113" s="460"/>
      <c r="Z113" s="435"/>
      <c r="AA113" s="461"/>
      <c r="AB113" s="462"/>
      <c r="AC113" s="461"/>
    </row>
    <row r="114" spans="2:29" x14ac:dyDescent="0.3">
      <c r="B114" s="16" t="s">
        <v>152</v>
      </c>
      <c r="C114" s="489">
        <f>40.5*'Arable Inputs'!$D$8</f>
        <v>45.764999999999993</v>
      </c>
      <c r="D114" s="490" t="s">
        <v>118</v>
      </c>
      <c r="E114" s="491"/>
      <c r="F114" s="506"/>
      <c r="G114" s="507"/>
      <c r="H114" s="506"/>
      <c r="I114" s="506"/>
      <c r="J114" s="509"/>
      <c r="K114" s="506"/>
      <c r="L114" s="507"/>
      <c r="M114" s="506"/>
      <c r="N114" s="506"/>
      <c r="O114" s="509"/>
      <c r="P114" s="506"/>
      <c r="Q114" s="507"/>
      <c r="R114" s="506"/>
      <c r="S114" s="506"/>
      <c r="T114" s="509"/>
      <c r="U114" s="506"/>
      <c r="V114" s="507"/>
      <c r="W114" s="506"/>
      <c r="X114" s="506"/>
      <c r="Y114" s="509"/>
      <c r="Z114" s="506"/>
      <c r="AA114" s="507"/>
      <c r="AB114" s="506"/>
      <c r="AC114" s="507"/>
    </row>
    <row r="115" spans="2:29" x14ac:dyDescent="0.3">
      <c r="B115" s="16" t="s">
        <v>154</v>
      </c>
      <c r="C115" s="489">
        <f>110*'Arable Inputs'!$D$8</f>
        <v>124.29999999999998</v>
      </c>
      <c r="D115" s="490" t="s">
        <v>118</v>
      </c>
      <c r="E115" s="491"/>
      <c r="F115" s="506"/>
      <c r="G115" s="510"/>
      <c r="H115" s="506"/>
      <c r="I115" s="506"/>
      <c r="J115" s="509"/>
      <c r="K115" s="506"/>
      <c r="L115" s="510"/>
      <c r="M115" s="506"/>
      <c r="N115" s="506"/>
      <c r="O115" s="509"/>
      <c r="P115" s="506"/>
      <c r="Q115" s="510"/>
      <c r="R115" s="506"/>
      <c r="S115" s="506"/>
      <c r="T115" s="509"/>
      <c r="U115" s="506"/>
      <c r="V115" s="510"/>
      <c r="W115" s="506"/>
      <c r="X115" s="506"/>
      <c r="Y115" s="509"/>
      <c r="Z115" s="506"/>
      <c r="AA115" s="510"/>
      <c r="AB115" s="506"/>
      <c r="AC115" s="507"/>
    </row>
    <row r="116" spans="2:29" x14ac:dyDescent="0.3">
      <c r="B116" s="432" t="s">
        <v>186</v>
      </c>
      <c r="C116" s="482"/>
      <c r="D116" s="482"/>
      <c r="E116" s="486"/>
      <c r="F116" s="430" t="s">
        <v>12</v>
      </c>
      <c r="G116" s="471"/>
      <c r="H116" s="430"/>
      <c r="I116" s="430"/>
      <c r="J116" s="473"/>
      <c r="K116" s="430"/>
      <c r="L116" s="471"/>
      <c r="M116" s="430"/>
      <c r="N116" s="430"/>
      <c r="O116" s="473"/>
      <c r="P116" s="430"/>
      <c r="Q116" s="471"/>
      <c r="R116" s="430"/>
      <c r="S116" s="430"/>
      <c r="T116" s="473"/>
      <c r="U116" s="430"/>
      <c r="V116" s="471"/>
      <c r="W116" s="430"/>
      <c r="X116" s="430"/>
      <c r="Y116" s="473"/>
      <c r="Z116" s="430"/>
      <c r="AA116" s="471"/>
      <c r="AB116" s="430"/>
      <c r="AC116" s="471"/>
    </row>
    <row r="117" spans="2:29" x14ac:dyDescent="0.3">
      <c r="B117" s="432"/>
      <c r="C117" s="469"/>
      <c r="D117" s="469"/>
      <c r="E117" s="469"/>
      <c r="F117" s="430"/>
      <c r="G117" s="430"/>
      <c r="H117" s="430"/>
      <c r="I117" s="430"/>
      <c r="J117" s="430"/>
      <c r="K117" s="430"/>
      <c r="L117" s="430"/>
      <c r="M117" s="430"/>
      <c r="N117" s="430"/>
      <c r="O117" s="430"/>
      <c r="P117" s="430"/>
      <c r="Q117" s="430"/>
      <c r="R117" s="430"/>
      <c r="S117" s="430"/>
      <c r="T117" s="430"/>
      <c r="U117" s="430"/>
      <c r="V117" s="430"/>
      <c r="W117" s="430"/>
      <c r="X117" s="430"/>
      <c r="Y117" s="430"/>
      <c r="Z117" s="430"/>
      <c r="AA117" s="430"/>
      <c r="AB117" s="430"/>
      <c r="AC117" s="471"/>
    </row>
    <row r="118" spans="2:29" s="39" customFormat="1" x14ac:dyDescent="0.3">
      <c r="B118" s="432" t="s">
        <v>155</v>
      </c>
      <c r="C118" s="469"/>
      <c r="D118" s="469"/>
      <c r="E118" s="469"/>
      <c r="F118" s="431"/>
      <c r="G118" s="431"/>
      <c r="H118" s="431"/>
      <c r="I118" s="431"/>
      <c r="J118" s="431"/>
      <c r="K118" s="431"/>
      <c r="L118" s="431"/>
      <c r="M118" s="431"/>
      <c r="N118" s="431"/>
      <c r="O118" s="431"/>
      <c r="P118" s="431"/>
      <c r="Q118" s="431"/>
      <c r="R118" s="431"/>
      <c r="S118" s="431"/>
      <c r="T118" s="431"/>
      <c r="U118" s="431"/>
      <c r="V118" s="431"/>
      <c r="W118" s="431"/>
      <c r="X118" s="431"/>
      <c r="Y118" s="431"/>
      <c r="Z118" s="431"/>
      <c r="AA118" s="431"/>
      <c r="AB118" s="431"/>
      <c r="AC118" s="433"/>
    </row>
    <row r="119" spans="2:29" x14ac:dyDescent="0.3">
      <c r="B119" s="16" t="s">
        <v>156</v>
      </c>
      <c r="C119" s="458">
        <f>0.73*'Arable Inputs'!$D$8</f>
        <v>0.82489999999999986</v>
      </c>
      <c r="D119" s="459">
        <f>0.29*'Arable Inputs'!$D$8</f>
        <v>0.32769999999999994</v>
      </c>
      <c r="E119" s="460"/>
      <c r="F119" s="435"/>
      <c r="G119" s="461"/>
      <c r="H119" s="435"/>
      <c r="I119" s="435"/>
      <c r="J119" s="460"/>
      <c r="K119" s="435"/>
      <c r="L119" s="461"/>
      <c r="M119" s="435"/>
      <c r="N119" s="435"/>
      <c r="O119" s="460"/>
      <c r="P119" s="435"/>
      <c r="Q119" s="461"/>
      <c r="R119" s="435"/>
      <c r="S119" s="435"/>
      <c r="T119" s="460"/>
      <c r="U119" s="435"/>
      <c r="V119" s="461"/>
      <c r="W119" s="435"/>
      <c r="X119" s="435"/>
      <c r="Y119" s="460"/>
      <c r="Z119" s="435"/>
      <c r="AA119" s="461"/>
      <c r="AB119" s="462"/>
      <c r="AC119" s="461"/>
    </row>
    <row r="120" spans="2:29" x14ac:dyDescent="0.3">
      <c r="B120" s="16" t="s">
        <v>157</v>
      </c>
      <c r="C120" s="458">
        <f>3.97*'Arable Inputs'!$D$8</f>
        <v>4.4860999999999995</v>
      </c>
      <c r="D120" s="459" t="s">
        <v>118</v>
      </c>
      <c r="E120" s="460"/>
      <c r="F120" s="435"/>
      <c r="G120" s="461"/>
      <c r="H120" s="435"/>
      <c r="I120" s="435"/>
      <c r="J120" s="460"/>
      <c r="K120" s="435"/>
      <c r="L120" s="461"/>
      <c r="M120" s="435"/>
      <c r="N120" s="435"/>
      <c r="O120" s="460"/>
      <c r="P120" s="435"/>
      <c r="Q120" s="461"/>
      <c r="R120" s="435"/>
      <c r="S120" s="435"/>
      <c r="T120" s="460"/>
      <c r="U120" s="435"/>
      <c r="V120" s="461"/>
      <c r="W120" s="435"/>
      <c r="X120" s="435"/>
      <c r="Y120" s="460"/>
      <c r="Z120" s="435"/>
      <c r="AA120" s="461"/>
      <c r="AB120" s="462"/>
      <c r="AC120" s="461"/>
    </row>
    <row r="121" spans="2:29" x14ac:dyDescent="0.3">
      <c r="B121" s="16" t="s">
        <v>158</v>
      </c>
      <c r="C121" s="458">
        <f>4.66*'Arable Inputs'!$D$8</f>
        <v>5.2657999999999996</v>
      </c>
      <c r="D121" s="459">
        <f>3.53*'Arable Inputs'!$D$8</f>
        <v>3.9888999999999992</v>
      </c>
      <c r="E121" s="460"/>
      <c r="F121" s="435"/>
      <c r="G121" s="461"/>
      <c r="H121" s="435"/>
      <c r="I121" s="435"/>
      <c r="J121" s="460"/>
      <c r="K121" s="435"/>
      <c r="L121" s="461"/>
      <c r="M121" s="435"/>
      <c r="N121" s="435"/>
      <c r="O121" s="460"/>
      <c r="P121" s="435"/>
      <c r="Q121" s="461"/>
      <c r="R121" s="435"/>
      <c r="S121" s="435"/>
      <c r="T121" s="460"/>
      <c r="U121" s="435"/>
      <c r="V121" s="461"/>
      <c r="W121" s="435"/>
      <c r="X121" s="435"/>
      <c r="Y121" s="460"/>
      <c r="Z121" s="435"/>
      <c r="AA121" s="461"/>
      <c r="AB121" s="462"/>
      <c r="AC121" s="461"/>
    </row>
    <row r="122" spans="2:29" x14ac:dyDescent="0.3">
      <c r="B122" s="16" t="s">
        <v>159</v>
      </c>
      <c r="C122" s="458">
        <f>5.6*'Arable Inputs'!$D$8</f>
        <v>6.3279999999999994</v>
      </c>
      <c r="D122" s="459" t="s">
        <v>118</v>
      </c>
      <c r="E122" s="460"/>
      <c r="F122" s="435"/>
      <c r="G122" s="461"/>
      <c r="H122" s="435"/>
      <c r="I122" s="435"/>
      <c r="J122" s="460"/>
      <c r="K122" s="435"/>
      <c r="L122" s="461"/>
      <c r="M122" s="435"/>
      <c r="N122" s="435"/>
      <c r="O122" s="460"/>
      <c r="P122" s="435"/>
      <c r="Q122" s="461"/>
      <c r="R122" s="435"/>
      <c r="S122" s="435"/>
      <c r="T122" s="460"/>
      <c r="U122" s="435"/>
      <c r="V122" s="461"/>
      <c r="W122" s="435"/>
      <c r="X122" s="435"/>
      <c r="Y122" s="460"/>
      <c r="Z122" s="435"/>
      <c r="AA122" s="461"/>
      <c r="AB122" s="462"/>
      <c r="AC122" s="461"/>
    </row>
    <row r="123" spans="2:29" x14ac:dyDescent="0.3">
      <c r="B123" s="16" t="s">
        <v>160</v>
      </c>
      <c r="C123" s="458">
        <f>7.25*'Arable Inputs'!$D$8</f>
        <v>8.192499999999999</v>
      </c>
      <c r="D123" s="459" t="s">
        <v>118</v>
      </c>
      <c r="E123" s="460"/>
      <c r="F123" s="435"/>
      <c r="G123" s="461"/>
      <c r="H123" s="435"/>
      <c r="I123" s="435"/>
      <c r="J123" s="460"/>
      <c r="K123" s="435"/>
      <c r="L123" s="461"/>
      <c r="M123" s="435"/>
      <c r="N123" s="435"/>
      <c r="O123" s="460"/>
      <c r="P123" s="435"/>
      <c r="Q123" s="461"/>
      <c r="R123" s="435"/>
      <c r="S123" s="435"/>
      <c r="T123" s="460"/>
      <c r="U123" s="435"/>
      <c r="V123" s="461"/>
      <c r="W123" s="435"/>
      <c r="X123" s="435"/>
      <c r="Y123" s="460"/>
      <c r="Z123" s="435"/>
      <c r="AA123" s="461"/>
      <c r="AB123" s="462"/>
      <c r="AC123" s="461"/>
    </row>
    <row r="124" spans="2:29" x14ac:dyDescent="0.3">
      <c r="B124" s="16" t="s">
        <v>161</v>
      </c>
      <c r="C124" s="458">
        <f>2.98*'Arable Inputs'!$D$8</f>
        <v>3.3673999999999995</v>
      </c>
      <c r="D124" s="459" t="s">
        <v>118</v>
      </c>
      <c r="E124" s="460"/>
      <c r="F124" s="435"/>
      <c r="G124" s="461"/>
      <c r="H124" s="435"/>
      <c r="I124" s="435"/>
      <c r="J124" s="460"/>
      <c r="K124" s="435"/>
      <c r="L124" s="461"/>
      <c r="M124" s="435"/>
      <c r="N124" s="435"/>
      <c r="O124" s="460"/>
      <c r="P124" s="435"/>
      <c r="Q124" s="461"/>
      <c r="R124" s="435"/>
      <c r="S124" s="435"/>
      <c r="T124" s="460"/>
      <c r="U124" s="435"/>
      <c r="V124" s="461"/>
      <c r="W124" s="435"/>
      <c r="X124" s="435"/>
      <c r="Y124" s="460"/>
      <c r="Z124" s="435"/>
      <c r="AA124" s="461"/>
      <c r="AB124" s="462"/>
      <c r="AC124" s="461"/>
    </row>
    <row r="125" spans="2:29" x14ac:dyDescent="0.3">
      <c r="B125" s="16" t="s">
        <v>162</v>
      </c>
      <c r="C125" s="458">
        <f>3.48*'Arable Inputs'!$D$8</f>
        <v>3.9323999999999995</v>
      </c>
      <c r="D125" s="459">
        <f>2.25*'Arable Inputs'!$D$8</f>
        <v>2.5424999999999995</v>
      </c>
      <c r="E125" s="460">
        <v>2</v>
      </c>
      <c r="F125" s="465">
        <f>3500/350</f>
        <v>10</v>
      </c>
      <c r="G125" s="985">
        <f>IF(F125&gt;=1,CHOOSE(E125,$C125,$D125)*F125)</f>
        <v>25.424999999999997</v>
      </c>
      <c r="H125" s="809">
        <v>1.3</v>
      </c>
      <c r="I125" s="579">
        <f>H125*$C$4</f>
        <v>19.487000000000002</v>
      </c>
      <c r="J125" s="460">
        <v>2</v>
      </c>
      <c r="K125" s="465">
        <f>3500/350</f>
        <v>10</v>
      </c>
      <c r="L125" s="985">
        <f>IF(K125&gt;=1,CHOOSE(J125,$C125,$D125)*K125)</f>
        <v>25.424999999999997</v>
      </c>
      <c r="M125" s="809">
        <v>1.3</v>
      </c>
      <c r="N125" s="424">
        <f>M125*$C$4</f>
        <v>19.487000000000002</v>
      </c>
      <c r="O125" s="460">
        <v>2</v>
      </c>
      <c r="P125" s="465">
        <f>2600/350</f>
        <v>7.4285714285714288</v>
      </c>
      <c r="Q125" s="985">
        <f>IF(P125&gt;=1,CHOOSE(O125,$C125,$D125)*P125)</f>
        <v>18.887142857142855</v>
      </c>
      <c r="R125" s="812">
        <f>1.3</f>
        <v>1.3</v>
      </c>
      <c r="S125" s="579">
        <f>R125*$C$4</f>
        <v>19.487000000000002</v>
      </c>
      <c r="T125" s="460"/>
      <c r="U125" s="435"/>
      <c r="V125" s="461"/>
      <c r="W125" s="435"/>
      <c r="X125" s="435"/>
      <c r="Y125" s="460"/>
      <c r="Z125" s="435"/>
      <c r="AA125" s="461"/>
      <c r="AB125" s="435"/>
      <c r="AC125" s="461"/>
    </row>
    <row r="126" spans="2:29" x14ac:dyDescent="0.3">
      <c r="B126" s="16" t="s">
        <v>163</v>
      </c>
      <c r="C126" s="458">
        <f>5.49*'Arable Inputs'!$D$8</f>
        <v>6.2036999999999995</v>
      </c>
      <c r="D126" s="459" t="s">
        <v>118</v>
      </c>
      <c r="E126" s="460"/>
      <c r="F126" s="435"/>
      <c r="G126" s="985"/>
      <c r="H126" s="435"/>
      <c r="I126" s="579"/>
      <c r="J126" s="460"/>
      <c r="K126" s="435"/>
      <c r="L126" s="985"/>
      <c r="M126" s="435"/>
      <c r="N126" s="435"/>
      <c r="O126" s="460"/>
      <c r="P126" s="435"/>
      <c r="Q126" s="985"/>
      <c r="R126" s="435"/>
      <c r="S126" s="579"/>
      <c r="T126" s="460"/>
      <c r="U126" s="435"/>
      <c r="V126" s="461"/>
      <c r="W126" s="435"/>
      <c r="X126" s="435"/>
      <c r="Y126" s="460"/>
      <c r="Z126" s="435"/>
      <c r="AA126" s="461"/>
      <c r="AB126" s="462"/>
      <c r="AC126" s="461"/>
    </row>
    <row r="127" spans="2:29" x14ac:dyDescent="0.3">
      <c r="B127" s="16" t="s">
        <v>164</v>
      </c>
      <c r="C127" s="458">
        <f>4.89*'Arable Inputs'!$D$8</f>
        <v>5.5256999999999987</v>
      </c>
      <c r="D127" s="459" t="s">
        <v>118</v>
      </c>
      <c r="E127" s="460"/>
      <c r="F127" s="435"/>
      <c r="G127" s="985"/>
      <c r="H127" s="435"/>
      <c r="I127" s="579"/>
      <c r="J127" s="460"/>
      <c r="K127" s="435"/>
      <c r="L127" s="985"/>
      <c r="M127" s="435"/>
      <c r="N127" s="435"/>
      <c r="O127" s="460"/>
      <c r="P127" s="435"/>
      <c r="Q127" s="985"/>
      <c r="R127" s="435"/>
      <c r="S127" s="579"/>
      <c r="T127" s="460"/>
      <c r="U127" s="435"/>
      <c r="V127" s="461"/>
      <c r="W127" s="435"/>
      <c r="X127" s="435"/>
      <c r="Y127" s="460"/>
      <c r="Z127" s="435"/>
      <c r="AA127" s="461"/>
      <c r="AB127" s="462"/>
      <c r="AC127" s="461"/>
    </row>
    <row r="128" spans="2:29" x14ac:dyDescent="0.3">
      <c r="B128" s="16" t="s">
        <v>165</v>
      </c>
      <c r="C128" s="458">
        <f>2.53*'Arable Inputs'!$D$8</f>
        <v>2.8588999999999993</v>
      </c>
      <c r="D128" s="459" t="s">
        <v>118</v>
      </c>
      <c r="E128" s="460"/>
      <c r="F128" s="435"/>
      <c r="G128" s="985"/>
      <c r="H128" s="435"/>
      <c r="I128" s="579"/>
      <c r="J128" s="460"/>
      <c r="K128" s="435"/>
      <c r="L128" s="985"/>
      <c r="M128" s="435"/>
      <c r="N128" s="435"/>
      <c r="O128" s="460"/>
      <c r="P128" s="435"/>
      <c r="Q128" s="985"/>
      <c r="R128" s="435"/>
      <c r="S128" s="579"/>
      <c r="T128" s="460"/>
      <c r="U128" s="435"/>
      <c r="V128" s="461"/>
      <c r="W128" s="435"/>
      <c r="X128" s="435"/>
      <c r="Y128" s="460"/>
      <c r="Z128" s="435"/>
      <c r="AA128" s="461"/>
      <c r="AB128" s="462"/>
      <c r="AC128" s="461"/>
    </row>
    <row r="129" spans="2:29" x14ac:dyDescent="0.3">
      <c r="B129" s="16" t="s">
        <v>166</v>
      </c>
      <c r="C129" s="458">
        <f>7*'Arable Inputs'!$D$8</f>
        <v>7.9099999999999993</v>
      </c>
      <c r="D129" s="459" t="s">
        <v>118</v>
      </c>
      <c r="E129" s="460"/>
      <c r="F129" s="435"/>
      <c r="G129" s="985"/>
      <c r="H129" s="435"/>
      <c r="I129" s="579"/>
      <c r="J129" s="460"/>
      <c r="K129" s="435"/>
      <c r="L129" s="985"/>
      <c r="M129" s="435"/>
      <c r="N129" s="435"/>
      <c r="O129" s="460"/>
      <c r="P129" s="435"/>
      <c r="Q129" s="985"/>
      <c r="R129" s="435"/>
      <c r="S129" s="579"/>
      <c r="T129" s="460"/>
      <c r="U129" s="435"/>
      <c r="V129" s="461"/>
      <c r="W129" s="435"/>
      <c r="X129" s="435"/>
      <c r="Y129" s="460"/>
      <c r="Z129" s="435"/>
      <c r="AA129" s="461"/>
      <c r="AB129" s="462"/>
      <c r="AC129" s="461"/>
    </row>
    <row r="130" spans="2:29" x14ac:dyDescent="0.3">
      <c r="B130" s="16" t="s">
        <v>167</v>
      </c>
      <c r="C130" s="458">
        <f>5.66*'Arable Inputs'!$D$8</f>
        <v>6.3957999999999995</v>
      </c>
      <c r="D130" s="459" t="s">
        <v>118</v>
      </c>
      <c r="E130" s="460"/>
      <c r="F130" s="435"/>
      <c r="G130" s="985"/>
      <c r="H130" s="435"/>
      <c r="I130" s="579"/>
      <c r="J130" s="460"/>
      <c r="K130" s="435"/>
      <c r="L130" s="985"/>
      <c r="M130" s="435"/>
      <c r="N130" s="435"/>
      <c r="O130" s="460"/>
      <c r="P130" s="435"/>
      <c r="Q130" s="985"/>
      <c r="R130" s="435"/>
      <c r="S130" s="579"/>
      <c r="T130" s="460"/>
      <c r="U130" s="435"/>
      <c r="V130" s="461"/>
      <c r="W130" s="435"/>
      <c r="X130" s="435"/>
      <c r="Y130" s="460"/>
      <c r="Z130" s="435"/>
      <c r="AA130" s="461"/>
      <c r="AB130" s="462"/>
      <c r="AC130" s="461"/>
    </row>
    <row r="131" spans="2:29" x14ac:dyDescent="0.3">
      <c r="B131" s="16" t="s">
        <v>168</v>
      </c>
      <c r="C131" s="458">
        <f>2.89*'Arable Inputs'!$D$8</f>
        <v>3.2656999999999998</v>
      </c>
      <c r="D131" s="459" t="s">
        <v>118</v>
      </c>
      <c r="E131" s="460"/>
      <c r="F131" s="435"/>
      <c r="G131" s="985"/>
      <c r="H131" s="435"/>
      <c r="I131" s="579"/>
      <c r="J131" s="460"/>
      <c r="K131" s="435"/>
      <c r="L131" s="985"/>
      <c r="M131" s="435"/>
      <c r="N131" s="435"/>
      <c r="O131" s="460"/>
      <c r="P131" s="435"/>
      <c r="Q131" s="985"/>
      <c r="R131" s="435"/>
      <c r="S131" s="579"/>
      <c r="T131" s="460"/>
      <c r="U131" s="435"/>
      <c r="V131" s="461"/>
      <c r="W131" s="435"/>
      <c r="X131" s="435"/>
      <c r="Y131" s="460"/>
      <c r="Z131" s="435"/>
      <c r="AA131" s="461"/>
      <c r="AB131" s="462"/>
      <c r="AC131" s="461"/>
    </row>
    <row r="132" spans="2:29" x14ac:dyDescent="0.3">
      <c r="B132" s="16" t="s">
        <v>169</v>
      </c>
      <c r="C132" s="458">
        <f>60*'Arable Inputs'!$D$8</f>
        <v>67.8</v>
      </c>
      <c r="D132" s="459" t="s">
        <v>118</v>
      </c>
      <c r="E132" s="460"/>
      <c r="F132" s="435"/>
      <c r="G132" s="985"/>
      <c r="H132" s="435"/>
      <c r="I132" s="579"/>
      <c r="J132" s="460"/>
      <c r="K132" s="435"/>
      <c r="L132" s="985"/>
      <c r="M132" s="435"/>
      <c r="N132" s="435"/>
      <c r="O132" s="460"/>
      <c r="P132" s="435"/>
      <c r="Q132" s="985"/>
      <c r="R132" s="435"/>
      <c r="S132" s="579"/>
      <c r="T132" s="460"/>
      <c r="U132" s="435"/>
      <c r="V132" s="461"/>
      <c r="W132" s="435"/>
      <c r="X132" s="435"/>
      <c r="Y132" s="460"/>
      <c r="Z132" s="435"/>
      <c r="AA132" s="461"/>
      <c r="AB132" s="462"/>
      <c r="AC132" s="461"/>
    </row>
    <row r="133" spans="2:29" x14ac:dyDescent="0.3">
      <c r="B133" s="16" t="s">
        <v>207</v>
      </c>
      <c r="C133" s="502">
        <f>42.05*'Arable Inputs'!$D$8</f>
        <v>47.516499999999994</v>
      </c>
      <c r="D133" s="503">
        <f>35.63*'Arable Inputs'!$D$8</f>
        <v>40.261899999999997</v>
      </c>
      <c r="E133" s="460">
        <v>2</v>
      </c>
      <c r="F133" s="463">
        <v>1</v>
      </c>
      <c r="G133" s="985">
        <f>IF(F133&gt;=1,CHOOSE(E133,$C133,$D133)*F133)</f>
        <v>40.261899999999997</v>
      </c>
      <c r="H133" s="809">
        <v>3.5</v>
      </c>
      <c r="I133" s="579">
        <f>H133*$C$4</f>
        <v>52.465000000000003</v>
      </c>
      <c r="J133" s="460">
        <v>2</v>
      </c>
      <c r="K133" s="463">
        <v>1</v>
      </c>
      <c r="L133" s="985">
        <f>IF(K133&gt;=1,CHOOSE(J133,$C133,$D133)*K133)</f>
        <v>40.261899999999997</v>
      </c>
      <c r="M133" s="809">
        <v>3.5</v>
      </c>
      <c r="N133" s="424">
        <f>M133*$C$4</f>
        <v>52.465000000000003</v>
      </c>
      <c r="O133" s="460">
        <v>2</v>
      </c>
      <c r="P133" s="463">
        <v>1</v>
      </c>
      <c r="Q133" s="985">
        <f>IF(P133&gt;=1,CHOOSE(O133,$C133,$D133)*P133)</f>
        <v>40.261899999999997</v>
      </c>
      <c r="R133" s="809">
        <v>3.5</v>
      </c>
      <c r="S133" s="579">
        <f>R133*$C$4</f>
        <v>52.465000000000003</v>
      </c>
      <c r="T133" s="460"/>
      <c r="U133" s="435"/>
      <c r="V133" s="461"/>
      <c r="W133" s="435"/>
      <c r="X133" s="435"/>
      <c r="Y133" s="460"/>
      <c r="Z133" s="435"/>
      <c r="AA133" s="461"/>
      <c r="AB133" s="462"/>
      <c r="AC133" s="461"/>
    </row>
    <row r="134" spans="2:29" x14ac:dyDescent="0.3">
      <c r="B134" s="178" t="s">
        <v>170</v>
      </c>
      <c r="C134" s="469"/>
      <c r="D134" s="469"/>
      <c r="E134" s="470"/>
      <c r="F134" s="430" t="s">
        <v>12</v>
      </c>
      <c r="G134" s="826">
        <f>SUM(G119:G133)</f>
        <v>65.686899999999994</v>
      </c>
      <c r="H134" s="432">
        <f>SUM(H119:H133)</f>
        <v>4.8</v>
      </c>
      <c r="I134" s="838">
        <f>SUM(I119:I133)</f>
        <v>71.951999999999998</v>
      </c>
      <c r="J134" s="473"/>
      <c r="K134" s="430"/>
      <c r="L134" s="826">
        <f>SUM(L119:L133)</f>
        <v>65.686899999999994</v>
      </c>
      <c r="M134" s="432">
        <f>SUM(M119:M133)</f>
        <v>4.8</v>
      </c>
      <c r="N134" s="472">
        <f>SUM(N119:N133)</f>
        <v>71.951999999999998</v>
      </c>
      <c r="O134" s="473"/>
      <c r="P134" s="430"/>
      <c r="Q134" s="826">
        <f>SUM(Q119:Q133)</f>
        <v>59.149042857142852</v>
      </c>
      <c r="R134" s="481">
        <f>SUM(R119:R133)</f>
        <v>4.8</v>
      </c>
      <c r="S134" s="838">
        <f>SUM(S119:S133)</f>
        <v>71.951999999999998</v>
      </c>
      <c r="T134" s="473"/>
      <c r="U134" s="430"/>
      <c r="V134" s="471"/>
      <c r="W134" s="430"/>
      <c r="X134" s="430"/>
      <c r="Y134" s="473"/>
      <c r="Z134" s="430"/>
      <c r="AA134" s="471"/>
      <c r="AB134" s="430"/>
      <c r="AC134" s="471"/>
    </row>
    <row r="135" spans="2:29" s="39" customFormat="1" ht="15" customHeight="1" x14ac:dyDescent="0.3">
      <c r="B135" s="178"/>
      <c r="C135" s="469"/>
      <c r="D135" s="469"/>
      <c r="E135" s="469"/>
      <c r="F135" s="430"/>
      <c r="G135" s="430"/>
      <c r="H135" s="430"/>
      <c r="I135" s="430"/>
      <c r="J135" s="430"/>
      <c r="K135" s="430"/>
      <c r="L135" s="430"/>
      <c r="M135" s="430"/>
      <c r="N135" s="430"/>
      <c r="O135" s="430"/>
      <c r="P135" s="430"/>
      <c r="Q135" s="430"/>
      <c r="R135" s="430"/>
      <c r="S135" s="430"/>
      <c r="T135" s="430"/>
      <c r="U135" s="430"/>
      <c r="V135" s="430"/>
      <c r="W135" s="430"/>
      <c r="X135" s="430"/>
      <c r="Y135" s="430"/>
      <c r="Z135" s="430"/>
      <c r="AA135" s="430"/>
      <c r="AB135" s="430"/>
      <c r="AC135" s="471"/>
    </row>
    <row r="136" spans="2:29" s="39" customFormat="1" x14ac:dyDescent="0.3">
      <c r="B136" s="432" t="s">
        <v>65</v>
      </c>
      <c r="C136" s="469"/>
      <c r="D136" s="469"/>
      <c r="E136" s="469"/>
      <c r="F136" s="431"/>
      <c r="G136" s="431"/>
      <c r="H136" s="431"/>
      <c r="I136" s="431"/>
      <c r="J136" s="431"/>
      <c r="K136" s="431"/>
      <c r="L136" s="431"/>
      <c r="M136" s="431"/>
      <c r="N136" s="431"/>
      <c r="O136" s="431"/>
      <c r="P136" s="431"/>
      <c r="Q136" s="431"/>
      <c r="R136" s="431"/>
      <c r="S136" s="431"/>
      <c r="T136" s="431"/>
      <c r="U136" s="431"/>
      <c r="V136" s="431"/>
      <c r="W136" s="431"/>
      <c r="X136" s="431"/>
      <c r="Y136" s="431"/>
      <c r="Z136" s="431"/>
      <c r="AA136" s="431"/>
      <c r="AB136" s="431"/>
      <c r="AC136" s="433"/>
    </row>
    <row r="137" spans="2:29" x14ac:dyDescent="0.3">
      <c r="B137" s="16" t="s">
        <v>70</v>
      </c>
      <c r="C137" s="458">
        <f>(AVERAGE(1.5,2.5))*'Arable Inputs'!$D$8</f>
        <v>2.2599999999999998</v>
      </c>
      <c r="D137" s="459">
        <f>(AVERAGE(10/4,8,10))*'Arable Inputs'!$D$8</f>
        <v>7.7216666666666658</v>
      </c>
      <c r="E137" s="484"/>
      <c r="F137" s="435"/>
      <c r="G137" s="461"/>
      <c r="H137" s="435"/>
      <c r="I137" s="435"/>
      <c r="J137" s="460"/>
      <c r="K137" s="435"/>
      <c r="L137" s="461"/>
      <c r="M137" s="435"/>
      <c r="N137" s="435"/>
      <c r="O137" s="460"/>
      <c r="P137" s="435"/>
      <c r="Q137" s="461"/>
      <c r="R137" s="435"/>
      <c r="S137" s="435"/>
      <c r="T137" s="460"/>
      <c r="U137" s="435"/>
      <c r="V137" s="461"/>
      <c r="W137" s="435"/>
      <c r="X137" s="435"/>
      <c r="Y137" s="460"/>
      <c r="Z137" s="435"/>
      <c r="AA137" s="461"/>
      <c r="AB137" s="462"/>
      <c r="AC137" s="461"/>
    </row>
    <row r="138" spans="2:29" x14ac:dyDescent="0.3">
      <c r="B138" s="16" t="s">
        <v>71</v>
      </c>
      <c r="C138" s="458">
        <f>(AVERAGE(2,2.5))*'Arable Inputs'!$D$8</f>
        <v>2.5424999999999995</v>
      </c>
      <c r="D138" s="459">
        <f>(AVERAGE(2,4))*'Arable Inputs'!$D$8</f>
        <v>3.3899999999999997</v>
      </c>
      <c r="E138" s="484"/>
      <c r="F138" s="435"/>
      <c r="G138" s="461"/>
      <c r="H138" s="435"/>
      <c r="I138" s="435"/>
      <c r="J138" s="460"/>
      <c r="K138" s="435"/>
      <c r="L138" s="461"/>
      <c r="M138" s="435"/>
      <c r="N138" s="435"/>
      <c r="O138" s="460"/>
      <c r="P138" s="435"/>
      <c r="Q138" s="461"/>
      <c r="R138" s="435"/>
      <c r="S138" s="435"/>
      <c r="T138" s="460"/>
      <c r="U138" s="435"/>
      <c r="V138" s="461"/>
      <c r="W138" s="435"/>
      <c r="X138" s="435"/>
      <c r="Y138" s="460"/>
      <c r="Z138" s="435"/>
      <c r="AA138" s="461"/>
      <c r="AB138" s="462"/>
      <c r="AC138" s="461"/>
    </row>
    <row r="139" spans="2:29" x14ac:dyDescent="0.3">
      <c r="B139" s="16" t="s">
        <v>72</v>
      </c>
      <c r="C139" s="458">
        <f>(AVERAGE(2,2.5))*'Arable Inputs'!$D$8</f>
        <v>2.5424999999999995</v>
      </c>
      <c r="D139" s="459">
        <f>(AVERAGE(2,4))*'Arable Inputs'!$D$8</f>
        <v>3.3899999999999997</v>
      </c>
      <c r="E139" s="484"/>
      <c r="F139" s="435"/>
      <c r="G139" s="461"/>
      <c r="H139" s="435"/>
      <c r="I139" s="435"/>
      <c r="J139" s="460"/>
      <c r="K139" s="435"/>
      <c r="L139" s="461"/>
      <c r="M139" s="435"/>
      <c r="N139" s="435"/>
      <c r="O139" s="460"/>
      <c r="P139" s="435"/>
      <c r="Q139" s="461"/>
      <c r="R139" s="435"/>
      <c r="S139" s="435"/>
      <c r="T139" s="460"/>
      <c r="U139" s="435"/>
      <c r="V139" s="461"/>
      <c r="W139" s="435"/>
      <c r="X139" s="435"/>
      <c r="Y139" s="460"/>
      <c r="Z139" s="435"/>
      <c r="AA139" s="461"/>
      <c r="AB139" s="462"/>
      <c r="AC139" s="461"/>
    </row>
    <row r="140" spans="2:29" x14ac:dyDescent="0.3">
      <c r="B140" s="16" t="s">
        <v>244</v>
      </c>
      <c r="C140" s="458">
        <f>(AVERAGE(10,15))*'Arable Inputs'!$D$8</f>
        <v>14.124999999999998</v>
      </c>
      <c r="D140" s="459">
        <f>(AVERAGE(2,4))*'Arable Inputs'!$D$8</f>
        <v>3.3899999999999997</v>
      </c>
      <c r="E140" s="484"/>
      <c r="F140" s="428"/>
      <c r="G140" s="435"/>
      <c r="H140" s="77"/>
      <c r="I140" s="435"/>
      <c r="J140" s="460"/>
      <c r="K140" s="428"/>
      <c r="L140" s="435"/>
      <c r="M140" s="77"/>
      <c r="N140" s="435"/>
      <c r="O140" s="460">
        <v>2</v>
      </c>
      <c r="P140" s="511">
        <f>'Arable Inputs'!F19</f>
        <v>2.6</v>
      </c>
      <c r="Q140" s="985">
        <f>IF(P140&gt;=1,CHOOSE(O140,$C140,$D140)*P140)</f>
        <v>8.8140000000000001</v>
      </c>
      <c r="R140" s="811">
        <v>1.4</v>
      </c>
      <c r="S140" s="579">
        <f>R140*$C$4</f>
        <v>20.986000000000001</v>
      </c>
      <c r="T140" s="460"/>
      <c r="U140" s="428"/>
      <c r="V140" s="435"/>
      <c r="W140" s="77"/>
      <c r="X140" s="435"/>
      <c r="Y140" s="460"/>
      <c r="Z140" s="428"/>
      <c r="AA140" s="435"/>
      <c r="AB140" s="77"/>
      <c r="AC140" s="461"/>
    </row>
    <row r="141" spans="2:29" x14ac:dyDescent="0.3">
      <c r="B141" s="432" t="s">
        <v>205</v>
      </c>
      <c r="C141" s="469"/>
      <c r="D141" s="469"/>
      <c r="E141" s="470"/>
      <c r="F141" s="430" t="s">
        <v>12</v>
      </c>
      <c r="G141" s="471"/>
      <c r="H141" s="430"/>
      <c r="I141" s="430"/>
      <c r="J141" s="473"/>
      <c r="K141" s="430"/>
      <c r="L141" s="471"/>
      <c r="M141" s="430"/>
      <c r="N141" s="430"/>
      <c r="O141" s="473"/>
      <c r="P141" s="430"/>
      <c r="Q141" s="826">
        <f>SUM(Q137:Q140)</f>
        <v>8.8140000000000001</v>
      </c>
      <c r="R141" s="481">
        <f>SUM(R137:R140)</f>
        <v>1.4</v>
      </c>
      <c r="S141" s="838">
        <f>SUM(S137:S140)</f>
        <v>20.986000000000001</v>
      </c>
      <c r="T141" s="473"/>
      <c r="U141" s="430"/>
      <c r="V141" s="471"/>
      <c r="W141" s="430"/>
      <c r="X141" s="430"/>
      <c r="Y141" s="473"/>
      <c r="Z141" s="430"/>
      <c r="AA141" s="471"/>
      <c r="AB141" s="430"/>
      <c r="AC141" s="471"/>
    </row>
    <row r="142" spans="2:29" s="39" customFormat="1" x14ac:dyDescent="0.3">
      <c r="B142" s="178"/>
      <c r="C142" s="469"/>
      <c r="D142" s="469"/>
      <c r="E142" s="469"/>
      <c r="F142" s="430"/>
      <c r="G142" s="430"/>
      <c r="H142" s="430"/>
      <c r="I142" s="430"/>
      <c r="J142" s="430"/>
      <c r="K142" s="430"/>
      <c r="L142" s="430"/>
      <c r="M142" s="430"/>
      <c r="N142" s="430"/>
      <c r="O142" s="430"/>
      <c r="P142" s="430"/>
      <c r="Q142" s="430"/>
      <c r="R142" s="430"/>
      <c r="S142" s="430"/>
      <c r="T142" s="430"/>
      <c r="U142" s="430"/>
      <c r="V142" s="430"/>
      <c r="W142" s="430"/>
      <c r="X142" s="430"/>
      <c r="Y142" s="430"/>
      <c r="Z142" s="430"/>
      <c r="AA142" s="430"/>
      <c r="AB142" s="430"/>
      <c r="AC142" s="471"/>
    </row>
    <row r="143" spans="2:29" x14ac:dyDescent="0.3">
      <c r="B143" s="178"/>
      <c r="C143" s="469"/>
      <c r="D143" s="469"/>
      <c r="E143" s="469"/>
      <c r="F143" s="430"/>
      <c r="G143" s="430"/>
      <c r="H143" s="430"/>
      <c r="I143" s="430"/>
      <c r="J143" s="430"/>
      <c r="K143" s="430"/>
      <c r="L143" s="430"/>
      <c r="M143" s="430"/>
      <c r="N143" s="430"/>
      <c r="O143" s="430"/>
      <c r="P143" s="430"/>
      <c r="Q143" s="430"/>
      <c r="R143" s="430"/>
      <c r="S143" s="430"/>
      <c r="T143" s="430"/>
      <c r="U143" s="430"/>
      <c r="V143" s="430"/>
      <c r="W143" s="430"/>
      <c r="X143" s="430"/>
      <c r="Y143" s="430"/>
      <c r="Z143" s="430"/>
      <c r="AA143" s="430"/>
      <c r="AB143" s="430"/>
      <c r="AC143" s="471"/>
    </row>
    <row r="144" spans="2:29" x14ac:dyDescent="0.3">
      <c r="B144" s="432" t="s">
        <v>188</v>
      </c>
      <c r="C144" s="469"/>
      <c r="D144" s="469"/>
      <c r="E144" s="469"/>
      <c r="F144" s="431"/>
      <c r="G144" s="431"/>
      <c r="H144" s="431"/>
      <c r="I144" s="431"/>
      <c r="J144" s="431"/>
      <c r="K144" s="431"/>
      <c r="L144" s="431"/>
      <c r="M144" s="431"/>
      <c r="N144" s="431"/>
      <c r="O144" s="431"/>
      <c r="P144" s="431"/>
      <c r="Q144" s="431"/>
      <c r="R144" s="431"/>
      <c r="S144" s="431"/>
      <c r="T144" s="431"/>
      <c r="U144" s="431"/>
      <c r="V144" s="431"/>
      <c r="W144" s="431"/>
      <c r="X144" s="431"/>
      <c r="Y144" s="431"/>
      <c r="Z144" s="431"/>
      <c r="AA144" s="431"/>
      <c r="AB144" s="431"/>
      <c r="AC144" s="433"/>
    </row>
    <row r="145" spans="2:29" x14ac:dyDescent="0.3">
      <c r="B145" s="16" t="s">
        <v>190</v>
      </c>
      <c r="C145" s="458">
        <f>39.7*'Arable Inputs'!$D$8</f>
        <v>44.860999999999997</v>
      </c>
      <c r="D145" s="459">
        <f>44.51*'Arable Inputs'!$D$8</f>
        <v>50.296299999999995</v>
      </c>
      <c r="E145" s="484"/>
      <c r="F145" s="476"/>
      <c r="G145" s="477"/>
      <c r="H145" s="435"/>
      <c r="I145" s="435"/>
      <c r="J145" s="460"/>
      <c r="K145" s="476"/>
      <c r="L145" s="477"/>
      <c r="M145" s="435"/>
      <c r="N145" s="435"/>
      <c r="O145" s="460"/>
      <c r="P145" s="476"/>
      <c r="Q145" s="477"/>
      <c r="R145" s="435"/>
      <c r="S145" s="435"/>
      <c r="T145" s="460"/>
      <c r="U145" s="476"/>
      <c r="V145" s="477"/>
      <c r="W145" s="435"/>
      <c r="X145" s="435"/>
      <c r="Y145" s="460"/>
      <c r="Z145" s="476"/>
      <c r="AA145" s="477"/>
      <c r="AB145" s="462"/>
      <c r="AC145" s="461"/>
    </row>
    <row r="146" spans="2:29" x14ac:dyDescent="0.3">
      <c r="B146" s="16" t="s">
        <v>191</v>
      </c>
      <c r="C146" s="458">
        <f>49.56*'Arable Inputs'!$D$8</f>
        <v>56.002800000000001</v>
      </c>
      <c r="D146" s="459">
        <f>53.59*'Arable Inputs'!$D$8</f>
        <v>60.556699999999999</v>
      </c>
      <c r="E146" s="484"/>
      <c r="F146" s="435"/>
      <c r="G146" s="461"/>
      <c r="H146" s="435"/>
      <c r="I146" s="435"/>
      <c r="J146" s="460"/>
      <c r="K146" s="435"/>
      <c r="L146" s="461"/>
      <c r="M146" s="435"/>
      <c r="N146" s="435"/>
      <c r="O146" s="460"/>
      <c r="P146" s="435"/>
      <c r="Q146" s="461"/>
      <c r="R146" s="435"/>
      <c r="S146" s="435"/>
      <c r="T146" s="460"/>
      <c r="U146" s="435"/>
      <c r="V146" s="461"/>
      <c r="W146" s="435"/>
      <c r="X146" s="435"/>
      <c r="Y146" s="460"/>
      <c r="Z146" s="435"/>
      <c r="AA146" s="461"/>
      <c r="AB146" s="462"/>
      <c r="AC146" s="461"/>
    </row>
    <row r="147" spans="2:29" x14ac:dyDescent="0.3">
      <c r="B147" s="16" t="s">
        <v>192</v>
      </c>
      <c r="C147" s="458">
        <f>16.25*'Arable Inputs'!$D$8</f>
        <v>18.362499999999997</v>
      </c>
      <c r="D147" s="459" t="s">
        <v>118</v>
      </c>
      <c r="E147" s="484"/>
      <c r="F147" s="435"/>
      <c r="G147" s="461"/>
      <c r="H147" s="435"/>
      <c r="I147" s="435"/>
      <c r="J147" s="460"/>
      <c r="K147" s="435"/>
      <c r="L147" s="461"/>
      <c r="M147" s="435"/>
      <c r="N147" s="435"/>
      <c r="O147" s="460"/>
      <c r="P147" s="435"/>
      <c r="Q147" s="461"/>
      <c r="R147" s="435"/>
      <c r="S147" s="435"/>
      <c r="T147" s="460"/>
      <c r="U147" s="435"/>
      <c r="V147" s="461"/>
      <c r="W147" s="435"/>
      <c r="X147" s="435"/>
      <c r="Y147" s="460"/>
      <c r="Z147" s="435"/>
      <c r="AA147" s="461"/>
      <c r="AB147" s="462"/>
      <c r="AC147" s="461"/>
    </row>
    <row r="148" spans="2:29" x14ac:dyDescent="0.3">
      <c r="B148" s="16" t="s">
        <v>193</v>
      </c>
      <c r="C148" s="458">
        <f>7.18*'Arable Inputs'!$D$8</f>
        <v>8.1133999999999986</v>
      </c>
      <c r="D148" s="459" t="s">
        <v>118</v>
      </c>
      <c r="E148" s="484"/>
      <c r="F148" s="435"/>
      <c r="G148" s="461"/>
      <c r="H148" s="435"/>
      <c r="I148" s="435"/>
      <c r="J148" s="460"/>
      <c r="K148" s="435"/>
      <c r="L148" s="461"/>
      <c r="M148" s="435"/>
      <c r="N148" s="435"/>
      <c r="O148" s="460"/>
      <c r="P148" s="435"/>
      <c r="Q148" s="461"/>
      <c r="R148" s="435"/>
      <c r="S148" s="435"/>
      <c r="T148" s="460"/>
      <c r="U148" s="435"/>
      <c r="V148" s="461"/>
      <c r="W148" s="435"/>
      <c r="X148" s="435"/>
      <c r="Y148" s="460"/>
      <c r="Z148" s="435"/>
      <c r="AA148" s="461"/>
      <c r="AB148" s="462"/>
      <c r="AC148" s="461"/>
    </row>
    <row r="149" spans="2:29" x14ac:dyDescent="0.3">
      <c r="B149" s="16" t="s">
        <v>194</v>
      </c>
      <c r="C149" s="458">
        <f>8.74*'Arable Inputs'!$D$8</f>
        <v>9.876199999999999</v>
      </c>
      <c r="D149" s="459" t="s">
        <v>118</v>
      </c>
      <c r="E149" s="484"/>
      <c r="F149" s="435"/>
      <c r="G149" s="461"/>
      <c r="H149" s="435"/>
      <c r="I149" s="435"/>
      <c r="J149" s="460"/>
      <c r="K149" s="435"/>
      <c r="L149" s="461"/>
      <c r="M149" s="435"/>
      <c r="N149" s="435"/>
      <c r="O149" s="460"/>
      <c r="P149" s="435"/>
      <c r="Q149" s="461"/>
      <c r="R149" s="435"/>
      <c r="S149" s="435"/>
      <c r="T149" s="460"/>
      <c r="U149" s="435"/>
      <c r="V149" s="461"/>
      <c r="W149" s="435"/>
      <c r="X149" s="435"/>
      <c r="Y149" s="460"/>
      <c r="Z149" s="435"/>
      <c r="AA149" s="461"/>
      <c r="AB149" s="462"/>
      <c r="AC149" s="461"/>
    </row>
    <row r="150" spans="2:29" x14ac:dyDescent="0.3">
      <c r="B150" s="16" t="s">
        <v>195</v>
      </c>
      <c r="C150" s="458">
        <f>16.25*'Arable Inputs'!$D$8</f>
        <v>18.362499999999997</v>
      </c>
      <c r="D150" s="459" t="s">
        <v>118</v>
      </c>
      <c r="E150" s="484"/>
      <c r="F150" s="435"/>
      <c r="G150" s="461"/>
      <c r="H150" s="435"/>
      <c r="I150" s="435"/>
      <c r="J150" s="460"/>
      <c r="K150" s="435"/>
      <c r="L150" s="461"/>
      <c r="M150" s="435"/>
      <c r="N150" s="435"/>
      <c r="O150" s="460"/>
      <c r="P150" s="435"/>
      <c r="Q150" s="461"/>
      <c r="R150" s="435"/>
      <c r="S150" s="435"/>
      <c r="T150" s="460"/>
      <c r="U150" s="435"/>
      <c r="V150" s="461"/>
      <c r="W150" s="435"/>
      <c r="X150" s="435"/>
      <c r="Y150" s="460"/>
      <c r="Z150" s="435"/>
      <c r="AA150" s="461"/>
      <c r="AB150" s="462"/>
      <c r="AC150" s="461"/>
    </row>
    <row r="151" spans="2:29" x14ac:dyDescent="0.3">
      <c r="B151" s="16" t="s">
        <v>189</v>
      </c>
      <c r="C151" s="458" t="s">
        <v>118</v>
      </c>
      <c r="D151" s="459">
        <f>16.1*'Arable Inputs'!$D$8</f>
        <v>18.193000000000001</v>
      </c>
      <c r="E151" s="484"/>
      <c r="F151" s="435"/>
      <c r="G151" s="461"/>
      <c r="H151" s="435"/>
      <c r="I151" s="435"/>
      <c r="J151" s="460"/>
      <c r="K151" s="435"/>
      <c r="L151" s="461"/>
      <c r="M151" s="435"/>
      <c r="N151" s="435"/>
      <c r="O151" s="460"/>
      <c r="P151" s="435"/>
      <c r="Q151" s="461"/>
      <c r="R151" s="435"/>
      <c r="S151" s="435"/>
      <c r="T151" s="460"/>
      <c r="U151" s="435"/>
      <c r="V151" s="461"/>
      <c r="W151" s="435"/>
      <c r="X151" s="435"/>
      <c r="Y151" s="460"/>
      <c r="Z151" s="435"/>
      <c r="AA151" s="461"/>
      <c r="AB151" s="462"/>
      <c r="AC151" s="461"/>
    </row>
    <row r="152" spans="2:29" x14ac:dyDescent="0.3">
      <c r="B152" s="16" t="s">
        <v>196</v>
      </c>
      <c r="C152" s="458">
        <f>40.25*'Arable Inputs'!$D$8</f>
        <v>45.482499999999995</v>
      </c>
      <c r="D152" s="459" t="s">
        <v>118</v>
      </c>
      <c r="E152" s="484"/>
      <c r="F152" s="435"/>
      <c r="G152" s="461"/>
      <c r="H152" s="435"/>
      <c r="I152" s="435"/>
      <c r="J152" s="460"/>
      <c r="K152" s="435"/>
      <c r="L152" s="461"/>
      <c r="M152" s="435"/>
      <c r="N152" s="435"/>
      <c r="O152" s="460"/>
      <c r="P152" s="435"/>
      <c r="Q152" s="461"/>
      <c r="R152" s="435"/>
      <c r="S152" s="435"/>
      <c r="T152" s="460"/>
      <c r="U152" s="435"/>
      <c r="V152" s="461"/>
      <c r="W152" s="435"/>
      <c r="X152" s="435"/>
      <c r="Y152" s="460"/>
      <c r="Z152" s="435"/>
      <c r="AA152" s="461"/>
      <c r="AB152" s="462"/>
      <c r="AC152" s="461"/>
    </row>
    <row r="153" spans="2:29" x14ac:dyDescent="0.3">
      <c r="B153" s="16" t="s">
        <v>197</v>
      </c>
      <c r="C153" s="458">
        <f>36.74*'Arable Inputs'!$D$8</f>
        <v>41.516199999999998</v>
      </c>
      <c r="D153" s="459" t="s">
        <v>118</v>
      </c>
      <c r="E153" s="484"/>
      <c r="F153" s="435"/>
      <c r="G153" s="461"/>
      <c r="H153" s="435"/>
      <c r="I153" s="435"/>
      <c r="J153" s="460"/>
      <c r="K153" s="435"/>
      <c r="L153" s="461"/>
      <c r="M153" s="435"/>
      <c r="N153" s="435"/>
      <c r="O153" s="460"/>
      <c r="P153" s="435"/>
      <c r="Q153" s="461"/>
      <c r="R153" s="435"/>
      <c r="S153" s="435"/>
      <c r="T153" s="460"/>
      <c r="U153" s="435"/>
      <c r="V153" s="461"/>
      <c r="W153" s="435"/>
      <c r="X153" s="435"/>
      <c r="Y153" s="460"/>
      <c r="Z153" s="435"/>
      <c r="AA153" s="461"/>
      <c r="AB153" s="462"/>
      <c r="AC153" s="461"/>
    </row>
    <row r="154" spans="2:29" x14ac:dyDescent="0.3">
      <c r="B154" s="16" t="s">
        <v>198</v>
      </c>
      <c r="C154" s="458">
        <f>42.05*'Arable Inputs'!$D$8</f>
        <v>47.516499999999994</v>
      </c>
      <c r="D154" s="459">
        <f>35.63*'Arable Inputs'!$D$8</f>
        <v>40.261899999999997</v>
      </c>
      <c r="E154" s="484"/>
      <c r="F154" s="435"/>
      <c r="G154" s="461"/>
      <c r="H154" s="435"/>
      <c r="I154" s="435"/>
      <c r="J154" s="460"/>
      <c r="K154" s="435"/>
      <c r="L154" s="461"/>
      <c r="M154" s="435"/>
      <c r="N154" s="435"/>
      <c r="O154" s="460"/>
      <c r="P154" s="435"/>
      <c r="Q154" s="461"/>
      <c r="R154" s="435"/>
      <c r="S154" s="435"/>
      <c r="T154" s="460"/>
      <c r="U154" s="435"/>
      <c r="V154" s="461"/>
      <c r="W154" s="435"/>
      <c r="X154" s="435"/>
      <c r="Y154" s="460"/>
      <c r="Z154" s="435"/>
      <c r="AA154" s="461"/>
      <c r="AB154" s="462"/>
      <c r="AC154" s="461"/>
    </row>
    <row r="155" spans="2:29" x14ac:dyDescent="0.3">
      <c r="B155" s="16" t="s">
        <v>199</v>
      </c>
      <c r="C155" s="458">
        <f>37.29*'Arable Inputs'!$D$8</f>
        <v>42.137699999999995</v>
      </c>
      <c r="D155" s="459" t="s">
        <v>118</v>
      </c>
      <c r="E155" s="484"/>
      <c r="F155" s="435"/>
      <c r="G155" s="461"/>
      <c r="H155" s="435"/>
      <c r="I155" s="435"/>
      <c r="J155" s="460"/>
      <c r="K155" s="435"/>
      <c r="L155" s="461"/>
      <c r="M155" s="435"/>
      <c r="N155" s="435"/>
      <c r="O155" s="460"/>
      <c r="P155" s="435"/>
      <c r="Q155" s="461"/>
      <c r="R155" s="435"/>
      <c r="S155" s="435"/>
      <c r="T155" s="460"/>
      <c r="U155" s="435"/>
      <c r="V155" s="461"/>
      <c r="W155" s="435"/>
      <c r="X155" s="435"/>
      <c r="Y155" s="460"/>
      <c r="Z155" s="435"/>
      <c r="AA155" s="461"/>
      <c r="AB155" s="462"/>
      <c r="AC155" s="461"/>
    </row>
    <row r="156" spans="2:29" x14ac:dyDescent="0.3">
      <c r="B156" s="16" t="s">
        <v>200</v>
      </c>
      <c r="C156" s="458">
        <f>39.1*'Arable Inputs'!$D$8</f>
        <v>44.183</v>
      </c>
      <c r="D156" s="459" t="s">
        <v>118</v>
      </c>
      <c r="E156" s="484"/>
      <c r="F156" s="435"/>
      <c r="G156" s="461"/>
      <c r="H156" s="435"/>
      <c r="I156" s="435"/>
      <c r="J156" s="460"/>
      <c r="K156" s="435"/>
      <c r="L156" s="461"/>
      <c r="M156" s="435"/>
      <c r="N156" s="435"/>
      <c r="O156" s="460"/>
      <c r="P156" s="435"/>
      <c r="Q156" s="461"/>
      <c r="R156" s="435"/>
      <c r="S156" s="435"/>
      <c r="T156" s="460"/>
      <c r="U156" s="435"/>
      <c r="V156" s="461"/>
      <c r="W156" s="435"/>
      <c r="X156" s="435"/>
      <c r="Y156" s="460"/>
      <c r="Z156" s="435"/>
      <c r="AA156" s="461"/>
      <c r="AB156" s="462"/>
      <c r="AC156" s="461"/>
    </row>
    <row r="157" spans="2:29" x14ac:dyDescent="0.3">
      <c r="B157" s="16" t="s">
        <v>201</v>
      </c>
      <c r="C157" s="458">
        <f>44.63*'Arable Inputs'!$D$8</f>
        <v>50.431899999999999</v>
      </c>
      <c r="D157" s="459" t="s">
        <v>118</v>
      </c>
      <c r="E157" s="484"/>
      <c r="F157" s="435"/>
      <c r="G157" s="461"/>
      <c r="H157" s="435"/>
      <c r="I157" s="435"/>
      <c r="J157" s="460"/>
      <c r="K157" s="435"/>
      <c r="L157" s="461"/>
      <c r="M157" s="435"/>
      <c r="N157" s="435"/>
      <c r="O157" s="460"/>
      <c r="P157" s="435"/>
      <c r="Q157" s="461"/>
      <c r="R157" s="435"/>
      <c r="S157" s="435"/>
      <c r="T157" s="460"/>
      <c r="U157" s="435"/>
      <c r="V157" s="461"/>
      <c r="W157" s="435"/>
      <c r="X157" s="435"/>
      <c r="Y157" s="460"/>
      <c r="Z157" s="435"/>
      <c r="AA157" s="461"/>
      <c r="AB157" s="462"/>
      <c r="AC157" s="461"/>
    </row>
    <row r="158" spans="2:29" x14ac:dyDescent="0.3">
      <c r="B158" s="16" t="s">
        <v>202</v>
      </c>
      <c r="C158" s="458">
        <f>69*'Arable Inputs'!$D$8</f>
        <v>77.97</v>
      </c>
      <c r="D158" s="459" t="s">
        <v>118</v>
      </c>
      <c r="E158" s="484"/>
      <c r="F158" s="435"/>
      <c r="G158" s="461"/>
      <c r="H158" s="435"/>
      <c r="I158" s="435"/>
      <c r="J158" s="460"/>
      <c r="K158" s="435"/>
      <c r="L158" s="461"/>
      <c r="M158" s="435"/>
      <c r="N158" s="435"/>
      <c r="O158" s="460"/>
      <c r="P158" s="435"/>
      <c r="Q158" s="461"/>
      <c r="R158" s="435"/>
      <c r="S158" s="435"/>
      <c r="T158" s="460"/>
      <c r="U158" s="435"/>
      <c r="V158" s="461"/>
      <c r="W158" s="435"/>
      <c r="X158" s="435"/>
      <c r="Y158" s="460"/>
      <c r="Z158" s="435"/>
      <c r="AA158" s="461"/>
      <c r="AB158" s="462"/>
      <c r="AC158" s="461"/>
    </row>
    <row r="159" spans="2:29" x14ac:dyDescent="0.3">
      <c r="B159" s="16" t="s">
        <v>203</v>
      </c>
      <c r="C159" s="458">
        <f>38.54*'Arable Inputs'!$D$8</f>
        <v>43.550199999999997</v>
      </c>
      <c r="D159" s="459">
        <f>37.13*'Arable Inputs'!$D$8</f>
        <v>41.956899999999997</v>
      </c>
      <c r="E159" s="484"/>
      <c r="F159" s="428"/>
      <c r="G159" s="461"/>
      <c r="H159" s="428"/>
      <c r="I159" s="435"/>
      <c r="J159" s="460"/>
      <c r="K159" s="428"/>
      <c r="L159" s="461"/>
      <c r="M159" s="428"/>
      <c r="N159" s="435"/>
      <c r="O159" s="460"/>
      <c r="P159" s="428"/>
      <c r="Q159" s="461"/>
      <c r="R159" s="428"/>
      <c r="S159" s="435"/>
      <c r="T159" s="460"/>
      <c r="U159" s="428"/>
      <c r="V159" s="461"/>
      <c r="W159" s="428"/>
      <c r="X159" s="435"/>
      <c r="Y159" s="460"/>
      <c r="Z159" s="428"/>
      <c r="AA159" s="461"/>
      <c r="AB159" s="428"/>
      <c r="AC159" s="461"/>
    </row>
    <row r="160" spans="2:29" x14ac:dyDescent="0.3">
      <c r="B160" s="432" t="s">
        <v>204</v>
      </c>
      <c r="C160" s="469"/>
      <c r="D160" s="469"/>
      <c r="E160" s="470"/>
      <c r="F160" s="430" t="s">
        <v>12</v>
      </c>
      <c r="G160" s="471"/>
      <c r="H160" s="430"/>
      <c r="I160" s="430"/>
      <c r="J160" s="473"/>
      <c r="K160" s="430"/>
      <c r="L160" s="471"/>
      <c r="M160" s="430"/>
      <c r="N160" s="430"/>
      <c r="O160" s="473"/>
      <c r="P160" s="430"/>
      <c r="Q160" s="471"/>
      <c r="R160" s="430"/>
      <c r="S160" s="430"/>
      <c r="T160" s="473"/>
      <c r="U160" s="430"/>
      <c r="V160" s="471"/>
      <c r="W160" s="430"/>
      <c r="X160" s="430"/>
      <c r="Y160" s="473"/>
      <c r="Z160" s="430"/>
      <c r="AA160" s="471"/>
      <c r="AB160" s="430"/>
      <c r="AC160" s="471"/>
    </row>
    <row r="161" spans="2:29" x14ac:dyDescent="0.3">
      <c r="B161" s="366"/>
      <c r="C161" s="366"/>
      <c r="D161" s="366"/>
      <c r="E161" s="366"/>
      <c r="F161" s="366"/>
      <c r="G161" s="366"/>
      <c r="H161" s="366"/>
      <c r="I161" s="366"/>
      <c r="J161" s="366"/>
      <c r="K161" s="366"/>
      <c r="L161" s="366"/>
      <c r="M161" s="366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  <c r="AA161" s="366"/>
      <c r="AB161" s="366"/>
      <c r="AC161" s="366"/>
    </row>
    <row r="162" spans="2:29" x14ac:dyDescent="0.3">
      <c r="B162" s="366"/>
      <c r="C162" s="366"/>
      <c r="D162" s="366"/>
      <c r="E162" s="366"/>
      <c r="F162" s="366"/>
      <c r="G162" s="366"/>
      <c r="H162" s="366"/>
      <c r="I162" s="366"/>
      <c r="J162" s="366"/>
      <c r="K162" s="366"/>
      <c r="L162" s="366"/>
      <c r="M162" s="366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  <c r="AA162" s="366"/>
      <c r="AB162" s="366"/>
      <c r="AC162" s="366"/>
    </row>
    <row r="163" spans="2:29" x14ac:dyDescent="0.3">
      <c r="B163" s="366"/>
      <c r="C163" s="366"/>
      <c r="D163" s="366"/>
      <c r="E163" s="366"/>
      <c r="F163" s="366"/>
      <c r="G163" s="366"/>
      <c r="H163" s="366"/>
      <c r="I163" s="494"/>
      <c r="J163" s="494"/>
      <c r="K163" s="366"/>
      <c r="L163" s="366"/>
      <c r="M163" s="366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  <c r="AA163" s="366"/>
      <c r="AB163" s="366"/>
      <c r="AC163" s="366"/>
    </row>
    <row r="164" spans="2:29" x14ac:dyDescent="0.3">
      <c r="B164" s="366"/>
      <c r="C164" s="366"/>
      <c r="D164" s="366"/>
      <c r="E164" s="366"/>
      <c r="F164" s="366"/>
      <c r="G164" s="366"/>
      <c r="H164" s="366"/>
      <c r="I164" s="366"/>
      <c r="J164" s="366"/>
      <c r="K164" s="366"/>
      <c r="L164" s="366"/>
      <c r="M164" s="366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  <c r="AA164" s="366"/>
      <c r="AB164" s="366"/>
      <c r="AC164" s="366"/>
    </row>
    <row r="165" spans="2:29" x14ac:dyDescent="0.3">
      <c r="B165" s="366"/>
      <c r="C165" s="366"/>
      <c r="D165" s="366"/>
      <c r="E165" s="366"/>
      <c r="F165" s="366"/>
      <c r="G165" s="366"/>
      <c r="H165" s="366"/>
      <c r="I165" s="366"/>
      <c r="J165" s="366"/>
      <c r="K165" s="366"/>
      <c r="L165" s="366"/>
      <c r="M165" s="366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  <c r="AA165" s="366"/>
      <c r="AB165" s="366"/>
      <c r="AC165" s="366"/>
    </row>
    <row r="166" spans="2:29" x14ac:dyDescent="0.3">
      <c r="B166" s="366"/>
      <c r="C166" s="366"/>
      <c r="D166" s="366"/>
      <c r="E166" s="366"/>
      <c r="F166" s="366"/>
      <c r="G166" s="366"/>
      <c r="H166" s="366"/>
      <c r="I166" s="366"/>
      <c r="J166" s="366"/>
      <c r="K166" s="366"/>
      <c r="L166" s="366"/>
      <c r="M166" s="366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  <c r="AA166" s="366"/>
      <c r="AB166" s="366"/>
      <c r="AC166" s="366"/>
    </row>
    <row r="167" spans="2:29" x14ac:dyDescent="0.3">
      <c r="B167" s="366"/>
      <c r="C167" s="366"/>
      <c r="D167" s="366"/>
      <c r="E167" s="366"/>
      <c r="F167" s="366"/>
      <c r="G167" s="366"/>
      <c r="H167" s="366"/>
      <c r="I167" s="366"/>
      <c r="J167" s="366"/>
      <c r="K167" s="366"/>
      <c r="L167" s="366"/>
      <c r="M167" s="366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  <c r="AA167" s="366"/>
      <c r="AB167" s="366"/>
      <c r="AC167" s="366"/>
    </row>
    <row r="168" spans="2:29" x14ac:dyDescent="0.3">
      <c r="B168" s="512" t="s">
        <v>30</v>
      </c>
      <c r="C168" s="366"/>
      <c r="D168" s="366"/>
      <c r="E168" s="366"/>
      <c r="F168" s="366"/>
      <c r="G168" s="366"/>
      <c r="H168" s="366"/>
      <c r="I168" s="366"/>
      <c r="J168" s="366"/>
      <c r="K168" s="366"/>
      <c r="L168" s="366"/>
      <c r="M168" s="366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  <c r="AA168" s="366"/>
      <c r="AB168" s="366"/>
      <c r="AC168" s="366"/>
    </row>
    <row r="169" spans="2:29" x14ac:dyDescent="0.3">
      <c r="B169" s="74"/>
      <c r="C169" s="19"/>
      <c r="D169" s="20"/>
      <c r="E169" s="20"/>
      <c r="F169" s="513"/>
      <c r="G169" s="513"/>
      <c r="H169" s="513"/>
      <c r="I169" s="513"/>
      <c r="J169" s="513"/>
      <c r="K169" s="513"/>
      <c r="L169" s="366"/>
      <c r="M169" s="366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  <c r="AA169" s="366"/>
      <c r="AB169" s="366"/>
      <c r="AC169" s="366"/>
    </row>
    <row r="170" spans="2:29" x14ac:dyDescent="0.3">
      <c r="B170" s="427"/>
      <c r="C170" s="426"/>
      <c r="D170" s="426"/>
      <c r="E170" s="426"/>
      <c r="F170" s="514" t="s">
        <v>4</v>
      </c>
      <c r="G170" s="514" t="s">
        <v>5</v>
      </c>
      <c r="H170" s="514" t="s">
        <v>6</v>
      </c>
      <c r="I170" s="514" t="s">
        <v>7</v>
      </c>
      <c r="J170" s="515"/>
      <c r="K170" s="515" t="s">
        <v>260</v>
      </c>
      <c r="L170" s="366"/>
      <c r="M170" s="366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  <c r="AA170" s="366"/>
      <c r="AB170" s="366"/>
      <c r="AC170" s="366"/>
    </row>
    <row r="171" spans="2:29" x14ac:dyDescent="0.3">
      <c r="B171" s="76" t="s">
        <v>22</v>
      </c>
      <c r="C171" s="81" t="s">
        <v>32</v>
      </c>
      <c r="D171" s="83" t="s">
        <v>599</v>
      </c>
      <c r="E171" s="79"/>
      <c r="F171" s="806">
        <f>G35</f>
        <v>134.28919999999999</v>
      </c>
      <c r="G171" s="806">
        <f>L35</f>
        <v>134.28919999999999</v>
      </c>
      <c r="H171" s="806">
        <f>Q35</f>
        <v>52.217299999999994</v>
      </c>
      <c r="I171" s="806">
        <f>V35</f>
        <v>126.04019999999998</v>
      </c>
      <c r="J171" s="806"/>
      <c r="K171" s="806">
        <f>AA35</f>
        <v>134.28919999999999</v>
      </c>
      <c r="L171" s="366"/>
      <c r="M171" s="366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  <c r="AA171" s="366"/>
      <c r="AB171" s="366"/>
      <c r="AC171" s="366"/>
    </row>
    <row r="172" spans="2:29" x14ac:dyDescent="0.3">
      <c r="B172" s="9"/>
      <c r="C172" s="32" t="s">
        <v>33</v>
      </c>
      <c r="D172" s="79" t="s">
        <v>599</v>
      </c>
      <c r="E172" s="79"/>
      <c r="F172" s="806">
        <f>G48</f>
        <v>79.89913599999997</v>
      </c>
      <c r="G172" s="806">
        <f>L48</f>
        <v>39.949567999999985</v>
      </c>
      <c r="H172" s="806">
        <f>Q48</f>
        <v>19.974783999999993</v>
      </c>
      <c r="I172" s="806">
        <f>V48</f>
        <v>39.949567999999985</v>
      </c>
      <c r="J172" s="806"/>
      <c r="K172" s="806">
        <f>AA48</f>
        <v>79.89913599999997</v>
      </c>
      <c r="L172" s="366"/>
      <c r="M172" s="366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  <c r="AA172" s="366"/>
      <c r="AB172" s="366"/>
      <c r="AC172" s="366"/>
    </row>
    <row r="173" spans="2:29" x14ac:dyDescent="0.3">
      <c r="B173" s="9"/>
      <c r="C173" s="32" t="s">
        <v>132</v>
      </c>
      <c r="D173" s="79" t="s">
        <v>599</v>
      </c>
      <c r="E173" s="79"/>
      <c r="F173" s="516">
        <f>G53</f>
        <v>0</v>
      </c>
      <c r="G173" s="516">
        <f>L53</f>
        <v>0</v>
      </c>
      <c r="H173" s="516">
        <f>Q53</f>
        <v>0</v>
      </c>
      <c r="I173" s="516">
        <f>V53</f>
        <v>0</v>
      </c>
      <c r="J173" s="516"/>
      <c r="K173" s="516">
        <f>AA53</f>
        <v>0</v>
      </c>
      <c r="L173" s="366"/>
      <c r="M173" s="366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  <c r="AA173" s="366"/>
      <c r="AB173" s="366"/>
      <c r="AC173" s="366"/>
    </row>
    <row r="174" spans="2:29" x14ac:dyDescent="0.3">
      <c r="B174" s="10"/>
      <c r="C174" s="32" t="s">
        <v>34</v>
      </c>
      <c r="D174" s="79" t="s">
        <v>599</v>
      </c>
      <c r="E174" s="79"/>
      <c r="F174" s="806">
        <f>G71</f>
        <v>30.555199999999996</v>
      </c>
      <c r="G174" s="806">
        <f>L71</f>
        <v>30.555199999999996</v>
      </c>
      <c r="H174" s="806">
        <f>Q71</f>
        <v>64.952399999999997</v>
      </c>
      <c r="I174" s="806">
        <f>V71</f>
        <v>64.590799999999987</v>
      </c>
      <c r="J174" s="806"/>
      <c r="K174" s="806">
        <f>AA71</f>
        <v>50.849999999999994</v>
      </c>
      <c r="L174" s="366"/>
      <c r="M174" s="366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  <c r="AA174" s="366"/>
      <c r="AB174" s="366"/>
      <c r="AC174" s="366"/>
    </row>
    <row r="175" spans="2:29" x14ac:dyDescent="0.3">
      <c r="B175" s="10"/>
      <c r="C175" s="33" t="s">
        <v>35</v>
      </c>
      <c r="D175" s="79" t="s">
        <v>599</v>
      </c>
      <c r="E175" s="79"/>
      <c r="F175" s="806">
        <f>G81</f>
        <v>67.901699999999991</v>
      </c>
      <c r="G175" s="806">
        <f>L81</f>
        <v>45.120899999999992</v>
      </c>
      <c r="H175" s="806">
        <f>Q81</f>
        <v>22.780799999999999</v>
      </c>
      <c r="I175" s="806">
        <f>V81</f>
        <v>34.171199999999999</v>
      </c>
      <c r="J175" s="806"/>
      <c r="K175" s="806">
        <f>AA81</f>
        <v>34.171199999999999</v>
      </c>
      <c r="L175" s="366"/>
      <c r="M175" s="366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  <c r="AA175" s="366"/>
      <c r="AB175" s="366"/>
      <c r="AC175" s="366"/>
    </row>
    <row r="176" spans="2:29" x14ac:dyDescent="0.3">
      <c r="B176" s="10"/>
      <c r="C176" s="33" t="s">
        <v>182</v>
      </c>
      <c r="D176" s="79" t="s">
        <v>599</v>
      </c>
      <c r="E176" s="79"/>
      <c r="F176" s="806">
        <f>G105</f>
        <v>262.86059999999998</v>
      </c>
      <c r="G176" s="806">
        <f>L105</f>
        <v>262.86059999999998</v>
      </c>
      <c r="H176" s="806">
        <f>Q105</f>
        <v>142.07489999999999</v>
      </c>
      <c r="I176" s="806">
        <f>V105</f>
        <v>313.98179999999991</v>
      </c>
      <c r="J176" s="806"/>
      <c r="K176" s="806">
        <f>AA105</f>
        <v>197.74999999999997</v>
      </c>
      <c r="L176" s="366"/>
      <c r="M176" s="36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  <c r="AA176" s="366"/>
      <c r="AB176" s="366"/>
      <c r="AC176" s="366"/>
    </row>
    <row r="177" spans="2:29" ht="30" x14ac:dyDescent="0.3">
      <c r="B177" s="10"/>
      <c r="C177" s="33" t="s">
        <v>209</v>
      </c>
      <c r="D177" s="79" t="s">
        <v>599</v>
      </c>
      <c r="E177" s="79"/>
      <c r="F177" s="516">
        <f>G116</f>
        <v>0</v>
      </c>
      <c r="G177" s="516">
        <f>L116</f>
        <v>0</v>
      </c>
      <c r="H177" s="516">
        <f>Q116</f>
        <v>0</v>
      </c>
      <c r="I177" s="516">
        <f>V116</f>
        <v>0</v>
      </c>
      <c r="J177" s="516"/>
      <c r="K177" s="516">
        <f>AA116</f>
        <v>0</v>
      </c>
      <c r="L177" s="366"/>
      <c r="M177" s="36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  <c r="AA177" s="366"/>
      <c r="AB177" s="366"/>
      <c r="AC177" s="366"/>
    </row>
    <row r="178" spans="2:29" x14ac:dyDescent="0.3">
      <c r="B178" s="10"/>
      <c r="C178" s="32" t="s">
        <v>155</v>
      </c>
      <c r="D178" s="79" t="s">
        <v>599</v>
      </c>
      <c r="E178" s="79"/>
      <c r="F178" s="806">
        <f>G134</f>
        <v>65.686899999999994</v>
      </c>
      <c r="G178" s="806">
        <f>L134</f>
        <v>65.686899999999994</v>
      </c>
      <c r="H178" s="806">
        <f>Q134</f>
        <v>59.149042857142852</v>
      </c>
      <c r="I178" s="806">
        <f>V134</f>
        <v>0</v>
      </c>
      <c r="J178" s="806"/>
      <c r="K178" s="806">
        <f>AA134</f>
        <v>0</v>
      </c>
      <c r="L178" s="366"/>
      <c r="M178" s="366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  <c r="AA178" s="366"/>
      <c r="AB178" s="366"/>
      <c r="AC178" s="366"/>
    </row>
    <row r="179" spans="2:29" x14ac:dyDescent="0.3">
      <c r="B179" s="10"/>
      <c r="C179" s="32" t="s">
        <v>99</v>
      </c>
      <c r="D179" s="79" t="s">
        <v>599</v>
      </c>
      <c r="E179" s="79"/>
      <c r="F179" s="516">
        <f>G141</f>
        <v>0</v>
      </c>
      <c r="G179" s="516">
        <f>L141</f>
        <v>0</v>
      </c>
      <c r="H179" s="516">
        <f>Q141</f>
        <v>8.8140000000000001</v>
      </c>
      <c r="I179" s="516">
        <f>V141</f>
        <v>0</v>
      </c>
      <c r="J179" s="516"/>
      <c r="K179" s="516">
        <f>AA141</f>
        <v>0</v>
      </c>
      <c r="L179" s="366"/>
      <c r="M179" s="366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  <c r="AA179" s="366"/>
      <c r="AB179" s="366"/>
      <c r="AC179" s="366"/>
    </row>
    <row r="180" spans="2:29" ht="20" x14ac:dyDescent="0.3">
      <c r="B180" s="22"/>
      <c r="C180" s="82" t="s">
        <v>210</v>
      </c>
      <c r="D180" s="80" t="s">
        <v>599</v>
      </c>
      <c r="E180" s="79"/>
      <c r="F180" s="516">
        <f>G160</f>
        <v>0</v>
      </c>
      <c r="G180" s="516">
        <f>L160</f>
        <v>0</v>
      </c>
      <c r="H180" s="516">
        <f>Q160</f>
        <v>0</v>
      </c>
      <c r="I180" s="516">
        <f>V160</f>
        <v>0</v>
      </c>
      <c r="J180" s="516"/>
      <c r="K180" s="516">
        <f>AA160</f>
        <v>0</v>
      </c>
      <c r="L180" s="366"/>
      <c r="M180" s="366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  <c r="AA180" s="366"/>
      <c r="AB180" s="366"/>
      <c r="AC180" s="366"/>
    </row>
    <row r="181" spans="2:29" s="78" customFormat="1" ht="15.5" x14ac:dyDescent="0.35">
      <c r="B181" s="77" t="s">
        <v>489</v>
      </c>
      <c r="C181" s="87"/>
      <c r="D181" s="89" t="s">
        <v>599</v>
      </c>
      <c r="E181" s="23"/>
      <c r="F181" s="84">
        <f>SUM(F171:F180)</f>
        <v>641.19273599999997</v>
      </c>
      <c r="G181" s="84">
        <f>SUM(G171:G180)</f>
        <v>578.46236799999997</v>
      </c>
      <c r="H181" s="84">
        <f>SUM(H171:H180)</f>
        <v>369.96322685714284</v>
      </c>
      <c r="I181" s="84">
        <f>SUM(I171:I180)</f>
        <v>578.73356799999988</v>
      </c>
      <c r="J181" s="84"/>
      <c r="K181" s="84">
        <f>SUM(K171:K180)</f>
        <v>496.95953599999996</v>
      </c>
      <c r="L181" s="517"/>
      <c r="M181" s="517"/>
      <c r="N181" s="517"/>
      <c r="O181" s="517"/>
      <c r="P181" s="517"/>
      <c r="Q181" s="517"/>
      <c r="R181" s="517"/>
      <c r="S181" s="517"/>
      <c r="T181" s="517"/>
      <c r="U181" s="517"/>
      <c r="V181" s="517"/>
      <c r="W181" s="517"/>
      <c r="X181" s="517"/>
      <c r="Y181" s="517"/>
      <c r="Z181" s="517"/>
      <c r="AA181" s="517"/>
      <c r="AB181" s="517"/>
      <c r="AC181" s="517"/>
    </row>
    <row r="182" spans="2:29" s="78" customFormat="1" ht="15.5" x14ac:dyDescent="0.35">
      <c r="B182" s="517"/>
      <c r="C182" s="517"/>
      <c r="D182" s="517"/>
      <c r="E182" s="517"/>
      <c r="F182" s="517"/>
      <c r="G182" s="517"/>
      <c r="H182" s="517"/>
      <c r="I182" s="517"/>
      <c r="J182" s="517"/>
      <c r="K182" s="517"/>
      <c r="L182" s="517"/>
      <c r="M182" s="517"/>
      <c r="N182" s="517"/>
      <c r="O182" s="517"/>
      <c r="P182" s="517"/>
      <c r="Q182" s="517"/>
      <c r="R182" s="517"/>
      <c r="S182" s="517"/>
      <c r="T182" s="517"/>
      <c r="U182" s="517"/>
      <c r="V182" s="517"/>
      <c r="W182" s="517"/>
      <c r="X182" s="517"/>
      <c r="Y182" s="517"/>
      <c r="Z182" s="517"/>
      <c r="AA182" s="517"/>
      <c r="AB182" s="517"/>
      <c r="AC182" s="517"/>
    </row>
    <row r="183" spans="2:29" x14ac:dyDescent="0.3">
      <c r="B183" s="518" t="s">
        <v>211</v>
      </c>
      <c r="C183" s="519"/>
      <c r="D183" s="83" t="s">
        <v>599</v>
      </c>
      <c r="E183" s="89"/>
      <c r="F183" s="520">
        <f>SUM(F171:F176)</f>
        <v>575.50583599999993</v>
      </c>
      <c r="G183" s="520">
        <f>SUM(G171:G176)</f>
        <v>512.77546799999993</v>
      </c>
      <c r="H183" s="520">
        <f>SUM(H171:H176)+H179</f>
        <v>310.81418400000001</v>
      </c>
      <c r="I183" s="520">
        <f>SUM(I171:I176)</f>
        <v>578.73356799999988</v>
      </c>
      <c r="J183" s="521"/>
      <c r="K183" s="521">
        <f>SUM(K171:K176)</f>
        <v>496.95953599999996</v>
      </c>
      <c r="L183" s="366"/>
      <c r="M183" s="366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  <c r="AA183" s="366"/>
      <c r="AB183" s="366"/>
      <c r="AC183" s="366"/>
    </row>
    <row r="184" spans="2:29" x14ac:dyDescent="0.3">
      <c r="B184" s="518" t="s">
        <v>212</v>
      </c>
      <c r="C184" s="519"/>
      <c r="D184" s="89" t="s">
        <v>599</v>
      </c>
      <c r="E184" s="89"/>
      <c r="F184" s="520">
        <f>F178</f>
        <v>65.686899999999994</v>
      </c>
      <c r="G184" s="520">
        <f>G178</f>
        <v>65.686899999999994</v>
      </c>
      <c r="H184" s="520">
        <f>H178</f>
        <v>59.149042857142852</v>
      </c>
      <c r="I184" s="520">
        <f>I178</f>
        <v>0</v>
      </c>
      <c r="J184" s="521"/>
      <c r="K184" s="521">
        <f>K178</f>
        <v>0</v>
      </c>
      <c r="L184" s="366"/>
      <c r="M184" s="366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  <c r="AA184" s="366"/>
      <c r="AB184" s="366"/>
      <c r="AC184" s="366"/>
    </row>
    <row r="185" spans="2:29" x14ac:dyDescent="0.3">
      <c r="B185" s="366"/>
      <c r="C185" s="366"/>
      <c r="D185" s="366"/>
      <c r="E185" s="366"/>
      <c r="F185" s="366"/>
      <c r="G185" s="366"/>
      <c r="H185" s="366"/>
      <c r="I185" s="366"/>
      <c r="J185" s="366"/>
      <c r="K185" s="366"/>
      <c r="L185" s="366"/>
      <c r="M185" s="366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  <c r="AA185" s="366"/>
      <c r="AB185" s="366"/>
      <c r="AC185" s="366"/>
    </row>
    <row r="186" spans="2:29" x14ac:dyDescent="0.3">
      <c r="B186" s="518" t="s">
        <v>215</v>
      </c>
      <c r="C186" s="519"/>
      <c r="D186" s="38" t="s">
        <v>217</v>
      </c>
      <c r="E186" s="38"/>
      <c r="F186" s="807">
        <f>H35+H48+H71+H81+H105+H134</f>
        <v>17.100000000000001</v>
      </c>
      <c r="G186" s="807">
        <f>M35+M48+M71+M81+M105+M134</f>
        <v>15.899999999999999</v>
      </c>
      <c r="H186" s="807">
        <f>R35+R48+R71+R81+R105+R134+R141</f>
        <v>17.899999999999999</v>
      </c>
      <c r="I186" s="807">
        <f>W35+W48+W71+W81+W105</f>
        <v>27.9</v>
      </c>
      <c r="J186" s="807"/>
      <c r="K186" s="807">
        <f>AB35+AB48+AB71+AB105+AB81</f>
        <v>9.3000000000000007</v>
      </c>
      <c r="L186" s="366"/>
      <c r="M186" s="366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  <c r="AA186" s="366"/>
      <c r="AB186" s="366"/>
      <c r="AC186" s="366"/>
    </row>
    <row r="187" spans="2:29" x14ac:dyDescent="0.3">
      <c r="B187" s="518" t="s">
        <v>216</v>
      </c>
      <c r="C187" s="519"/>
      <c r="D187" s="38" t="s">
        <v>217</v>
      </c>
      <c r="E187" s="38"/>
      <c r="F187" s="522">
        <f>H134</f>
        <v>4.8</v>
      </c>
      <c r="G187" s="522">
        <f>M134</f>
        <v>4.8</v>
      </c>
      <c r="H187" s="807">
        <f>R134</f>
        <v>4.8</v>
      </c>
      <c r="I187" s="522">
        <f>W134</f>
        <v>0</v>
      </c>
      <c r="J187" s="522"/>
      <c r="K187" s="522">
        <f>AB134</f>
        <v>0</v>
      </c>
      <c r="L187" s="366"/>
      <c r="M187" s="366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  <c r="AA187" s="366"/>
      <c r="AB187" s="366"/>
      <c r="AC187" s="366"/>
    </row>
    <row r="188" spans="2:29" x14ac:dyDescent="0.3">
      <c r="B188" s="366"/>
      <c r="C188" s="366"/>
      <c r="D188" s="366"/>
      <c r="E188" s="366"/>
      <c r="F188" s="366"/>
      <c r="G188" s="366"/>
      <c r="H188" s="366"/>
      <c r="I188" s="366"/>
      <c r="J188" s="366"/>
      <c r="K188" s="366"/>
      <c r="L188" s="366"/>
      <c r="M188" s="366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  <c r="AA188" s="366"/>
      <c r="AB188" s="366"/>
      <c r="AC188" s="366"/>
    </row>
    <row r="191" spans="2:29" x14ac:dyDescent="0.3">
      <c r="B191" s="85"/>
      <c r="C191" s="26" t="s">
        <v>213</v>
      </c>
    </row>
    <row r="192" spans="2:29" x14ac:dyDescent="0.3">
      <c r="B192" s="68"/>
      <c r="C192" s="102" t="s">
        <v>233</v>
      </c>
    </row>
    <row r="193" spans="2:3" x14ac:dyDescent="0.3">
      <c r="B193" s="523"/>
      <c r="C193" s="24" t="s">
        <v>366</v>
      </c>
    </row>
  </sheetData>
  <sheetProtection selectLockedCells="1" selectUnlockedCells="1"/>
  <mergeCells count="40">
    <mergeCell ref="AB8:AC8"/>
    <mergeCell ref="AB9:AC9"/>
    <mergeCell ref="AB10:AC10"/>
    <mergeCell ref="AB11:AC11"/>
    <mergeCell ref="W8:X8"/>
    <mergeCell ref="W9:X9"/>
    <mergeCell ref="W10:X10"/>
    <mergeCell ref="W11:X11"/>
    <mergeCell ref="Z8:AA8"/>
    <mergeCell ref="Z9:AA9"/>
    <mergeCell ref="Z10:AA10"/>
    <mergeCell ref="Z11:AA11"/>
    <mergeCell ref="R8:S8"/>
    <mergeCell ref="R9:S9"/>
    <mergeCell ref="R10:S10"/>
    <mergeCell ref="R11:S11"/>
    <mergeCell ref="U8:V8"/>
    <mergeCell ref="U9:V9"/>
    <mergeCell ref="U10:V10"/>
    <mergeCell ref="U11:V11"/>
    <mergeCell ref="M8:N8"/>
    <mergeCell ref="M9:N9"/>
    <mergeCell ref="M10:N10"/>
    <mergeCell ref="M11:N11"/>
    <mergeCell ref="P8:Q8"/>
    <mergeCell ref="P9:Q9"/>
    <mergeCell ref="P10:Q10"/>
    <mergeCell ref="P11:Q11"/>
    <mergeCell ref="K11:L11"/>
    <mergeCell ref="H8:I8"/>
    <mergeCell ref="F8:G8"/>
    <mergeCell ref="H9:I9"/>
    <mergeCell ref="F9:G9"/>
    <mergeCell ref="F11:G11"/>
    <mergeCell ref="H11:I11"/>
    <mergeCell ref="H10:I10"/>
    <mergeCell ref="F10:G10"/>
    <mergeCell ref="K8:L8"/>
    <mergeCell ref="K9:L9"/>
    <mergeCell ref="K10:L10"/>
  </mergeCells>
  <pageMargins left="0.7" right="0.7" top="0.75" bottom="0.75" header="0.3" footer="0.3"/>
  <pageSetup paperSize="9" orientation="portrait" r:id="rId1"/>
  <ignoredErrors>
    <ignoredError sqref="G18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123"/>
  <sheetViews>
    <sheetView topLeftCell="A18" workbookViewId="0">
      <selection activeCell="C18" sqref="C18"/>
    </sheetView>
  </sheetViews>
  <sheetFormatPr defaultColWidth="9" defaultRowHeight="14" x14ac:dyDescent="0.3"/>
  <cols>
    <col min="1" max="1" width="10.58203125" bestFit="1" customWidth="1"/>
    <col min="2" max="2" width="38.75" customWidth="1"/>
    <col min="3" max="3" width="17.58203125" bestFit="1" customWidth="1"/>
    <col min="5" max="9" width="10.58203125" customWidth="1"/>
    <col min="12" max="12" width="17.58203125" customWidth="1"/>
  </cols>
  <sheetData>
    <row r="4" spans="1:65" x14ac:dyDescent="0.3">
      <c r="A4" s="1"/>
    </row>
    <row r="5" spans="1:65" x14ac:dyDescent="0.3">
      <c r="B5" s="2"/>
    </row>
    <row r="6" spans="1:65" x14ac:dyDescent="0.3">
      <c r="B6" s="366"/>
      <c r="C6" s="366"/>
      <c r="D6" s="366"/>
      <c r="E6" s="366"/>
      <c r="F6" s="366"/>
      <c r="G6" s="366"/>
      <c r="H6" s="366"/>
      <c r="I6" s="366"/>
    </row>
    <row r="7" spans="1:65" x14ac:dyDescent="0.3">
      <c r="C7" s="366"/>
      <c r="D7" s="366"/>
      <c r="E7" s="366"/>
      <c r="F7" s="366"/>
      <c r="G7" s="366"/>
      <c r="H7" s="366"/>
      <c r="I7" s="366"/>
    </row>
    <row r="8" spans="1:65" ht="14.5" thickBot="1" x14ac:dyDescent="0.35">
      <c r="B8" s="366"/>
      <c r="C8" s="366"/>
      <c r="D8" s="366"/>
      <c r="E8" s="366"/>
      <c r="F8" s="366"/>
      <c r="G8" s="366"/>
      <c r="H8" s="366"/>
      <c r="I8" s="366"/>
    </row>
    <row r="9" spans="1:65" ht="14.5" thickBot="1" x14ac:dyDescent="0.35">
      <c r="A9" s="2"/>
      <c r="B9" s="421" t="s">
        <v>600</v>
      </c>
      <c r="C9" s="366"/>
      <c r="D9" s="366"/>
      <c r="E9" s="524"/>
      <c r="F9" s="524"/>
      <c r="G9" s="524"/>
      <c r="H9" s="524"/>
      <c r="I9" s="524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</row>
    <row r="10" spans="1:65" x14ac:dyDescent="0.3">
      <c r="A10" s="2"/>
      <c r="B10" s="524"/>
      <c r="C10" s="524"/>
      <c r="D10" s="524"/>
      <c r="E10" s="524"/>
      <c r="F10" s="524"/>
      <c r="G10" s="524"/>
      <c r="H10" s="524"/>
      <c r="I10" s="524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2"/>
      <c r="AJ10" s="25"/>
      <c r="AK10" s="25"/>
      <c r="AL10" s="25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</row>
    <row r="11" spans="1:65" x14ac:dyDescent="0.3">
      <c r="A11" s="2"/>
      <c r="B11" s="367"/>
      <c r="C11" s="367"/>
      <c r="D11" s="367"/>
      <c r="E11" s="367"/>
      <c r="F11" s="367"/>
      <c r="G11" s="367"/>
      <c r="H11" s="367"/>
      <c r="I11" s="367"/>
      <c r="K11" s="2"/>
      <c r="AI11" s="2"/>
    </row>
    <row r="12" spans="1:65" x14ac:dyDescent="0.3">
      <c r="A12" s="2"/>
      <c r="B12" s="367"/>
      <c r="C12" s="367"/>
      <c r="D12" s="367"/>
      <c r="E12" s="525" t="s">
        <v>4</v>
      </c>
      <c r="F12" s="526" t="s">
        <v>5</v>
      </c>
      <c r="G12" s="527" t="s">
        <v>6</v>
      </c>
      <c r="H12" s="527" t="s">
        <v>7</v>
      </c>
      <c r="I12" s="526" t="s">
        <v>260</v>
      </c>
      <c r="K12" s="2"/>
      <c r="AI12" s="2"/>
    </row>
    <row r="13" spans="1:65" ht="14.25" customHeight="1" x14ac:dyDescent="0.3">
      <c r="A13" s="2"/>
      <c r="B13" s="6" t="s">
        <v>1</v>
      </c>
      <c r="C13" s="112" t="s">
        <v>2</v>
      </c>
      <c r="D13" s="113" t="s">
        <v>92</v>
      </c>
      <c r="E13" s="528">
        <f>'Arable Inputs'!D$18</f>
        <v>7.45</v>
      </c>
      <c r="F13" s="528">
        <f>'Arable Inputs'!E$18</f>
        <v>4.1100000000000003</v>
      </c>
      <c r="G13" s="528">
        <f>'Arable Inputs'!F$18</f>
        <v>3.3</v>
      </c>
      <c r="H13" s="528">
        <f>'Arable Inputs'!G$18</f>
        <v>63.1</v>
      </c>
      <c r="I13" s="529">
        <f>'Arable Inputs'!H$18</f>
        <v>8.14</v>
      </c>
      <c r="AI13" s="2"/>
    </row>
    <row r="14" spans="1:65" ht="14.25" customHeight="1" x14ac:dyDescent="0.3">
      <c r="A14" s="2"/>
      <c r="B14" s="7"/>
      <c r="C14" s="17" t="s">
        <v>3</v>
      </c>
      <c r="D14" s="114" t="s">
        <v>92</v>
      </c>
      <c r="E14" s="530">
        <f>'Arable Inputs'!D$19</f>
        <v>3.9</v>
      </c>
      <c r="F14" s="530">
        <f>'Arable Inputs'!E$19</f>
        <v>3.5</v>
      </c>
      <c r="G14" s="530">
        <f>'Arable Inputs'!F$19</f>
        <v>2.6</v>
      </c>
      <c r="H14" s="580"/>
      <c r="I14" s="580"/>
      <c r="K14" s="2"/>
      <c r="AI14" s="2"/>
    </row>
    <row r="15" spans="1:65" ht="14.25" customHeight="1" x14ac:dyDescent="0.3">
      <c r="A15" s="574"/>
      <c r="B15" s="575"/>
      <c r="C15" s="576"/>
      <c r="D15" s="576"/>
      <c r="E15" s="577"/>
      <c r="F15" s="577"/>
      <c r="G15" s="577"/>
      <c r="H15" s="578"/>
      <c r="I15" s="578"/>
      <c r="J15" s="63"/>
      <c r="K15" s="2"/>
      <c r="AI15" s="2"/>
    </row>
    <row r="16" spans="1:65" ht="14.25" customHeight="1" x14ac:dyDescent="0.3">
      <c r="A16" s="2"/>
      <c r="B16" s="8" t="s">
        <v>8</v>
      </c>
      <c r="C16" s="32" t="s">
        <v>2</v>
      </c>
      <c r="D16" s="83" t="s">
        <v>601</v>
      </c>
      <c r="E16" s="531">
        <f>'Arable Inputs'!D$25</f>
        <v>193.7</v>
      </c>
      <c r="F16" s="531">
        <f>'Arable Inputs'!E$25</f>
        <v>154.80000000000001</v>
      </c>
      <c r="G16" s="531">
        <f>'Arable Inputs'!F$25</f>
        <v>345.1</v>
      </c>
      <c r="H16" s="531">
        <f>'Arable Inputs'!G$25</f>
        <v>26</v>
      </c>
      <c r="I16" s="532">
        <f>'Arable Inputs'!H$25</f>
        <v>182.8</v>
      </c>
      <c r="J16" s="24"/>
      <c r="K16" s="2"/>
      <c r="AI16" s="2"/>
    </row>
    <row r="17" spans="1:35" ht="14.25" customHeight="1" x14ac:dyDescent="0.3">
      <c r="A17" s="2"/>
      <c r="B17" s="10"/>
      <c r="C17" s="33" t="s">
        <v>9</v>
      </c>
      <c r="D17" s="79" t="s">
        <v>601</v>
      </c>
      <c r="E17" s="531">
        <f>'Arable Inputs'!D$26</f>
        <v>73.449999999999989</v>
      </c>
      <c r="F17" s="531">
        <f>'Arable Inputs'!E$26</f>
        <v>79.099999999999994</v>
      </c>
      <c r="G17" s="531">
        <f>'Arable Inputs'!F$26</f>
        <v>42.374999999999993</v>
      </c>
      <c r="H17" s="544"/>
      <c r="I17" s="544"/>
      <c r="K17" s="2"/>
      <c r="AI17" s="2"/>
    </row>
    <row r="18" spans="1:35" ht="14.25" customHeight="1" x14ac:dyDescent="0.3">
      <c r="A18" s="2"/>
      <c r="B18" s="10"/>
      <c r="C18" s="32" t="s">
        <v>666</v>
      </c>
      <c r="D18" s="79" t="s">
        <v>599</v>
      </c>
      <c r="E18" s="531">
        <f>'Arable Inputs'!$D$10</f>
        <v>175.95</v>
      </c>
      <c r="F18" s="531">
        <f>'Arable Inputs'!$D$10</f>
        <v>175.95</v>
      </c>
      <c r="G18" s="531">
        <f>'Arable Inputs'!$D$10</f>
        <v>175.95</v>
      </c>
      <c r="H18" s="531">
        <f>'Arable Inputs'!$D$10</f>
        <v>175.95</v>
      </c>
      <c r="I18" s="543">
        <f>'Arable Inputs'!$D$10</f>
        <v>175.95</v>
      </c>
      <c r="K18" s="90"/>
      <c r="AI18" s="2"/>
    </row>
    <row r="19" spans="1:35" ht="14.25" customHeight="1" x14ac:dyDescent="0.3">
      <c r="A19" s="2"/>
      <c r="B19" s="11" t="s">
        <v>11</v>
      </c>
      <c r="C19" s="306" t="s">
        <v>2</v>
      </c>
      <c r="D19" s="117" t="s">
        <v>601</v>
      </c>
      <c r="E19" s="534">
        <f>(E18+(E16*E13))/E13</f>
        <v>217.31744966442955</v>
      </c>
      <c r="F19" s="534">
        <f>(F18+(F16*F13))/F13</f>
        <v>197.61021897810221</v>
      </c>
      <c r="G19" s="535">
        <f>(G18+(G16*G13))/G13</f>
        <v>398.41818181818184</v>
      </c>
      <c r="H19" s="535">
        <f>(H18+(H16*H13))/H13</f>
        <v>28.788431061806659</v>
      </c>
      <c r="I19" s="535">
        <f>(I18+(I16*I13))/I13</f>
        <v>204.41547911547914</v>
      </c>
      <c r="K19" s="90"/>
      <c r="AI19" s="2"/>
    </row>
    <row r="20" spans="1:35" ht="14.25" customHeight="1" x14ac:dyDescent="0.3">
      <c r="A20" s="2"/>
      <c r="B20" s="12"/>
      <c r="C20" s="123" t="s">
        <v>3</v>
      </c>
      <c r="D20" s="118" t="s">
        <v>601</v>
      </c>
      <c r="E20" s="536">
        <f>IF(E14=0,0,(E17*E14)/E14)</f>
        <v>73.449999999999989</v>
      </c>
      <c r="F20" s="536">
        <f>IF(F14=0,0,(F17*F14)/F14)</f>
        <v>79.099999999999994</v>
      </c>
      <c r="G20" s="537">
        <f>IF(G14=0,0,(G17*G14)/G14)</f>
        <v>42.374999999999993</v>
      </c>
      <c r="H20" s="537"/>
      <c r="I20" s="537"/>
      <c r="K20" s="2"/>
      <c r="AI20" s="2"/>
    </row>
    <row r="21" spans="1:35" ht="14.25" customHeight="1" x14ac:dyDescent="0.3">
      <c r="A21" s="2"/>
      <c r="B21" s="13"/>
      <c r="C21" s="306" t="s">
        <v>2</v>
      </c>
      <c r="D21" s="117" t="s">
        <v>599</v>
      </c>
      <c r="E21" s="538">
        <f>(E13*E16)+E18</f>
        <v>1619.0150000000001</v>
      </c>
      <c r="F21" s="539">
        <f>(F13*F16)+F18</f>
        <v>812.17800000000011</v>
      </c>
      <c r="G21" s="539">
        <f>(G13*G16)+G18</f>
        <v>1314.78</v>
      </c>
      <c r="H21" s="539">
        <f>(H13*H16)+H18</f>
        <v>1816.5500000000002</v>
      </c>
      <c r="I21" s="539">
        <f>(I13*I16)+I18</f>
        <v>1663.9420000000002</v>
      </c>
      <c r="K21" s="2"/>
      <c r="AI21" s="2"/>
    </row>
    <row r="22" spans="1:35" ht="14.25" customHeight="1" x14ac:dyDescent="0.3">
      <c r="A22" s="2"/>
      <c r="B22" s="13"/>
      <c r="C22" s="123" t="s">
        <v>3</v>
      </c>
      <c r="D22" s="118" t="s">
        <v>599</v>
      </c>
      <c r="E22" s="540">
        <f>E14*E17</f>
        <v>286.45499999999993</v>
      </c>
      <c r="F22" s="541">
        <f>F14*F17</f>
        <v>276.84999999999997</v>
      </c>
      <c r="G22" s="541">
        <f>G14*G17</f>
        <v>110.17499999999998</v>
      </c>
      <c r="H22" s="541"/>
      <c r="I22" s="541"/>
      <c r="K22" s="90"/>
      <c r="AI22" s="2"/>
    </row>
    <row r="23" spans="1:35" ht="14.25" customHeight="1" x14ac:dyDescent="0.3">
      <c r="A23" s="2"/>
      <c r="B23" s="14"/>
      <c r="C23" s="542" t="s">
        <v>12</v>
      </c>
      <c r="D23" s="118" t="s">
        <v>599</v>
      </c>
      <c r="E23" s="540">
        <f>E21+E22</f>
        <v>1905.47</v>
      </c>
      <c r="F23" s="541">
        <f>F21+F22</f>
        <v>1089.028</v>
      </c>
      <c r="G23" s="541">
        <f>G21+G22</f>
        <v>1424.9549999999999</v>
      </c>
      <c r="H23" s="541">
        <f>H21+H22</f>
        <v>1816.5500000000002</v>
      </c>
      <c r="I23" s="541">
        <f>I21+I22</f>
        <v>1663.9420000000002</v>
      </c>
      <c r="K23" s="2"/>
      <c r="AI23" s="2"/>
    </row>
    <row r="24" spans="1:35" ht="14.25" customHeight="1" x14ac:dyDescent="0.3">
      <c r="A24" s="2"/>
      <c r="B24" s="367"/>
      <c r="C24" s="367"/>
      <c r="D24" s="367"/>
      <c r="E24" s="367"/>
      <c r="F24" s="367"/>
      <c r="G24" s="367"/>
      <c r="H24" s="367"/>
      <c r="I24" s="367"/>
      <c r="K24" s="2"/>
      <c r="AI24" s="2"/>
    </row>
    <row r="25" spans="1:35" ht="14.25" customHeight="1" x14ac:dyDescent="0.3">
      <c r="A25" s="2"/>
      <c r="B25" s="367"/>
      <c r="C25" s="367"/>
      <c r="D25" s="367"/>
      <c r="E25" s="367"/>
      <c r="F25" s="367"/>
      <c r="G25" s="367"/>
      <c r="H25" s="367"/>
      <c r="I25" s="367"/>
      <c r="K25" s="2"/>
      <c r="AI25" s="2"/>
    </row>
    <row r="26" spans="1:35" ht="14.25" customHeight="1" x14ac:dyDescent="0.3">
      <c r="A26" s="2"/>
      <c r="B26" s="15" t="s">
        <v>13</v>
      </c>
      <c r="C26" s="81" t="s">
        <v>468</v>
      </c>
      <c r="D26" s="89" t="s">
        <v>602</v>
      </c>
      <c r="E26" s="532">
        <f>'Arable Inputs'!D$41</f>
        <v>105.4</v>
      </c>
      <c r="F26" s="532">
        <f>'Arable Inputs'!E$41</f>
        <v>83.2</v>
      </c>
      <c r="G26" s="532">
        <f>'Arable Inputs'!F$41</f>
        <v>62.149999999999991</v>
      </c>
      <c r="H26" s="532">
        <f>'Arable Inputs'!G$41</f>
        <v>233.90999999999997</v>
      </c>
      <c r="I26" s="532">
        <f>'Arable Inputs'!H$41</f>
        <v>187.86249999999998</v>
      </c>
      <c r="K26" s="2"/>
      <c r="AI26" s="2"/>
    </row>
    <row r="27" spans="1:35" ht="14.25" customHeight="1" x14ac:dyDescent="0.3">
      <c r="A27" s="2"/>
      <c r="B27" s="10"/>
      <c r="C27" s="126" t="s">
        <v>14</v>
      </c>
      <c r="D27" s="80" t="s">
        <v>599</v>
      </c>
      <c r="E27" s="84">
        <f>E26</f>
        <v>105.4</v>
      </c>
      <c r="F27" s="84">
        <f>F26</f>
        <v>83.2</v>
      </c>
      <c r="G27" s="84">
        <f>G26</f>
        <v>62.149999999999991</v>
      </c>
      <c r="H27" s="84">
        <f>H26</f>
        <v>233.90999999999997</v>
      </c>
      <c r="I27" s="84">
        <f>I26</f>
        <v>187.86249999999998</v>
      </c>
      <c r="J27" s="3"/>
      <c r="K27" s="2"/>
      <c r="AI27" s="2"/>
    </row>
    <row r="28" spans="1:35" ht="14.25" customHeight="1" x14ac:dyDescent="0.3">
      <c r="A28" s="2"/>
      <c r="B28" s="10"/>
      <c r="C28" s="892" t="s">
        <v>15</v>
      </c>
      <c r="D28" s="79" t="s">
        <v>603</v>
      </c>
      <c r="E28" s="544">
        <f>'Arable Inputs'!$D$34</f>
        <v>0.60399999999999998</v>
      </c>
      <c r="F28" s="544">
        <f>'Arable Inputs'!$D$34</f>
        <v>0.60399999999999998</v>
      </c>
      <c r="G28" s="544">
        <f>'Arable Inputs'!$D$34</f>
        <v>0.60399999999999998</v>
      </c>
      <c r="H28" s="544">
        <f>'Arable Inputs'!$D$34</f>
        <v>0.60399999999999998</v>
      </c>
      <c r="I28" s="544">
        <f>'Arable Inputs'!$D$34</f>
        <v>0.60399999999999998</v>
      </c>
      <c r="J28" s="40"/>
      <c r="K28" s="2"/>
      <c r="AI28" s="2"/>
    </row>
    <row r="29" spans="1:35" ht="14.25" customHeight="1" x14ac:dyDescent="0.3">
      <c r="A29" s="2"/>
      <c r="B29" s="10"/>
      <c r="C29" s="125" t="s">
        <v>16</v>
      </c>
      <c r="D29" s="80" t="s">
        <v>93</v>
      </c>
      <c r="E29" s="543">
        <f>'Arable Inputs'!D$58</f>
        <v>200</v>
      </c>
      <c r="F29" s="543">
        <f>'Arable Inputs'!E$58</f>
        <v>120</v>
      </c>
      <c r="G29" s="543">
        <f>'Arable Inputs'!F$58</f>
        <v>200</v>
      </c>
      <c r="H29" s="543">
        <f>'Arable Inputs'!G$58</f>
        <v>180</v>
      </c>
      <c r="I29" s="543">
        <f>'Arable Inputs'!H$58</f>
        <v>200</v>
      </c>
      <c r="J29" s="891"/>
      <c r="K29" s="2"/>
      <c r="AI29" s="2"/>
    </row>
    <row r="30" spans="1:35" ht="14.25" customHeight="1" x14ac:dyDescent="0.3">
      <c r="A30" s="2"/>
      <c r="B30" s="10"/>
      <c r="C30" s="126" t="s">
        <v>14</v>
      </c>
      <c r="D30" s="80" t="s">
        <v>599</v>
      </c>
      <c r="E30" s="84">
        <f>E28*E29</f>
        <v>120.8</v>
      </c>
      <c r="F30" s="84">
        <f>F28*F29</f>
        <v>72.48</v>
      </c>
      <c r="G30" s="84">
        <f>G28*G29</f>
        <v>120.8</v>
      </c>
      <c r="H30" s="84">
        <f>H28*H29</f>
        <v>108.72</v>
      </c>
      <c r="I30" s="851">
        <f>I28*I29</f>
        <v>120.8</v>
      </c>
      <c r="J30" s="891"/>
      <c r="K30" s="2"/>
      <c r="AI30" s="2"/>
    </row>
    <row r="31" spans="1:35" ht="14.25" customHeight="1" x14ac:dyDescent="0.3">
      <c r="A31" s="2"/>
      <c r="B31" s="10"/>
      <c r="C31" s="892" t="s">
        <v>17</v>
      </c>
      <c r="D31" s="79" t="s">
        <v>603</v>
      </c>
      <c r="E31" s="544">
        <f>'Arable Inputs'!$D$35</f>
        <v>0.97</v>
      </c>
      <c r="F31" s="544">
        <f>'Arable Inputs'!$D$35</f>
        <v>0.97</v>
      </c>
      <c r="G31" s="544">
        <f>'Arable Inputs'!$D$35</f>
        <v>0.97</v>
      </c>
      <c r="H31" s="544">
        <f>'Arable Inputs'!$D$35</f>
        <v>0.97</v>
      </c>
      <c r="I31" s="544">
        <f>'Arable Inputs'!$D$35</f>
        <v>0.97</v>
      </c>
      <c r="J31" s="891"/>
      <c r="K31" s="2"/>
      <c r="AI31" s="2"/>
    </row>
    <row r="32" spans="1:35" ht="14.25" customHeight="1" x14ac:dyDescent="0.3">
      <c r="A32" s="2"/>
      <c r="B32" s="10"/>
      <c r="C32" s="125" t="s">
        <v>18</v>
      </c>
      <c r="D32" s="80" t="s">
        <v>93</v>
      </c>
      <c r="E32" s="543">
        <f>'Arable Inputs'!D$59</f>
        <v>86</v>
      </c>
      <c r="F32" s="543">
        <f>'Arable Inputs'!E$59</f>
        <v>68</v>
      </c>
      <c r="G32" s="543">
        <f>'Arable Inputs'!F$59</f>
        <v>92</v>
      </c>
      <c r="H32" s="543">
        <f>'Arable Inputs'!G$59</f>
        <v>91</v>
      </c>
      <c r="I32" s="543">
        <f>'Arable Inputs'!H$59</f>
        <v>96</v>
      </c>
      <c r="J32" s="891"/>
      <c r="K32" s="2"/>
      <c r="AI32" s="2"/>
    </row>
    <row r="33" spans="1:35" ht="14.25" customHeight="1" x14ac:dyDescent="0.3">
      <c r="A33" s="2"/>
      <c r="B33" s="10"/>
      <c r="C33" s="126" t="s">
        <v>14</v>
      </c>
      <c r="D33" s="80" t="s">
        <v>599</v>
      </c>
      <c r="E33" s="84">
        <f>E31*E32</f>
        <v>83.42</v>
      </c>
      <c r="F33" s="84">
        <f>F31*F32</f>
        <v>65.959999999999994</v>
      </c>
      <c r="G33" s="84">
        <f>G31*G32</f>
        <v>89.24</v>
      </c>
      <c r="H33" s="84">
        <f>H31*H32</f>
        <v>88.27</v>
      </c>
      <c r="I33" s="851">
        <f>I31*I32</f>
        <v>93.12</v>
      </c>
      <c r="J33" s="891"/>
      <c r="K33" s="2"/>
      <c r="AI33" s="2"/>
    </row>
    <row r="34" spans="1:35" ht="14.25" customHeight="1" x14ac:dyDescent="0.3">
      <c r="A34" s="2"/>
      <c r="B34" s="10"/>
      <c r="C34" s="892" t="s">
        <v>19</v>
      </c>
      <c r="D34" s="79" t="s">
        <v>603</v>
      </c>
      <c r="E34" s="544">
        <f>'Arable Inputs'!$D$36</f>
        <v>0.32100000000000001</v>
      </c>
      <c r="F34" s="544">
        <f>'Arable Inputs'!$D$36</f>
        <v>0.32100000000000001</v>
      </c>
      <c r="G34" s="544">
        <f>'Arable Inputs'!$D$36</f>
        <v>0.32100000000000001</v>
      </c>
      <c r="H34" s="544">
        <f>'Arable Inputs'!$D$36</f>
        <v>0.32100000000000001</v>
      </c>
      <c r="I34" s="544">
        <f>'Arable Inputs'!$D$36</f>
        <v>0.32100000000000001</v>
      </c>
      <c r="J34" s="891"/>
      <c r="K34" s="2"/>
      <c r="AI34" s="2"/>
    </row>
    <row r="35" spans="1:35" ht="14.25" customHeight="1" x14ac:dyDescent="0.3">
      <c r="A35" s="2"/>
      <c r="B35" s="10"/>
      <c r="C35" s="125" t="s">
        <v>20</v>
      </c>
      <c r="D35" s="80" t="s">
        <v>93</v>
      </c>
      <c r="E35" s="543">
        <f>'Arable Inputs'!D$60</f>
        <v>149</v>
      </c>
      <c r="F35" s="543">
        <f>'Arable Inputs'!E$60</f>
        <v>208</v>
      </c>
      <c r="G35" s="543">
        <f>'Arable Inputs'!F$60</f>
        <v>209</v>
      </c>
      <c r="H35" s="543">
        <f>'Arable Inputs'!G$60</f>
        <v>344</v>
      </c>
      <c r="I35" s="543">
        <f>'Arable Inputs'!H$60</f>
        <v>238</v>
      </c>
      <c r="J35" s="891"/>
      <c r="K35" s="2"/>
      <c r="AI35" s="2"/>
    </row>
    <row r="36" spans="1:35" ht="14.25" customHeight="1" x14ac:dyDescent="0.3">
      <c r="A36" s="2"/>
      <c r="B36" s="10"/>
      <c r="C36" s="126" t="s">
        <v>14</v>
      </c>
      <c r="D36" s="80" t="s">
        <v>599</v>
      </c>
      <c r="E36" s="84">
        <f>E34*E35</f>
        <v>47.829000000000001</v>
      </c>
      <c r="F36" s="84">
        <f>F34*F35</f>
        <v>66.768000000000001</v>
      </c>
      <c r="G36" s="84">
        <f>G34*G35</f>
        <v>67.088999999999999</v>
      </c>
      <c r="H36" s="84">
        <f>H34*H35</f>
        <v>110.42400000000001</v>
      </c>
      <c r="I36" s="851">
        <f>I34*I35</f>
        <v>76.397999999999996</v>
      </c>
      <c r="J36" s="891"/>
      <c r="K36" s="2"/>
      <c r="AI36" s="2"/>
    </row>
    <row r="37" spans="1:35" ht="14.25" customHeight="1" x14ac:dyDescent="0.3">
      <c r="A37" s="2"/>
      <c r="B37" s="10"/>
      <c r="C37" s="126" t="s">
        <v>538</v>
      </c>
      <c r="D37" s="80" t="s">
        <v>599</v>
      </c>
      <c r="E37" s="154">
        <f>E30+E33+E36</f>
        <v>252.04900000000001</v>
      </c>
      <c r="F37" s="154">
        <f>F30+F33+F36</f>
        <v>205.208</v>
      </c>
      <c r="G37" s="154">
        <f>G30+G33+G36</f>
        <v>277.12900000000002</v>
      </c>
      <c r="H37" s="154">
        <f>H30+H33+H36</f>
        <v>307.41399999999999</v>
      </c>
      <c r="I37" s="154">
        <f>I30+I33+I36</f>
        <v>290.31799999999998</v>
      </c>
      <c r="K37" s="2"/>
      <c r="AI37" s="2"/>
    </row>
    <row r="38" spans="1:35" ht="14.25" customHeight="1" x14ac:dyDescent="0.3">
      <c r="A38" s="2"/>
      <c r="B38" s="10"/>
      <c r="C38" s="32" t="s">
        <v>467</v>
      </c>
      <c r="D38" s="89" t="s">
        <v>604</v>
      </c>
      <c r="E38" s="544">
        <f>'Arable Inputs'!D$47</f>
        <v>283.63</v>
      </c>
      <c r="F38" s="544">
        <f>'Arable Inputs'!E$47</f>
        <v>152.54999999999998</v>
      </c>
      <c r="G38" s="544">
        <f>'Arable Inputs'!F$47</f>
        <v>259.89999999999998</v>
      </c>
      <c r="H38" s="544">
        <f>'Arable Inputs'!G$47</f>
        <v>277.97999999999996</v>
      </c>
      <c r="I38" s="544">
        <f>'Arable Inputs'!H$47</f>
        <v>96.05</v>
      </c>
      <c r="K38" s="2"/>
      <c r="AI38" s="2"/>
    </row>
    <row r="39" spans="1:35" ht="14.25" customHeight="1" x14ac:dyDescent="0.3">
      <c r="A39" s="2"/>
      <c r="B39" s="10"/>
      <c r="C39" s="126" t="s">
        <v>14</v>
      </c>
      <c r="D39" s="80" t="s">
        <v>599</v>
      </c>
      <c r="E39" s="84">
        <f>E38</f>
        <v>283.63</v>
      </c>
      <c r="F39" s="84">
        <f>F38</f>
        <v>152.54999999999998</v>
      </c>
      <c r="G39" s="84">
        <f>G38</f>
        <v>259.89999999999998</v>
      </c>
      <c r="H39" s="84">
        <f>H38</f>
        <v>277.97999999999996</v>
      </c>
      <c r="I39" s="84">
        <f>I38</f>
        <v>96.05</v>
      </c>
      <c r="K39" s="2"/>
      <c r="AI39" s="2"/>
    </row>
    <row r="40" spans="1:35" ht="14.25" customHeight="1" x14ac:dyDescent="0.3">
      <c r="A40" s="2"/>
      <c r="B40" s="10"/>
      <c r="C40" s="32" t="s">
        <v>0</v>
      </c>
      <c r="D40" s="79" t="s">
        <v>601</v>
      </c>
      <c r="E40" s="544">
        <f>'Arable Inputs'!D$50</f>
        <v>3.9549999999999996</v>
      </c>
      <c r="F40" s="544">
        <f>'Arable Inputs'!E$50</f>
        <v>3.9549999999999996</v>
      </c>
      <c r="G40" s="544">
        <f>'Arable Inputs'!F$50</f>
        <v>3.9549999999999996</v>
      </c>
      <c r="H40" s="533"/>
      <c r="I40" s="464"/>
      <c r="K40" s="2"/>
      <c r="AI40" s="2"/>
    </row>
    <row r="41" spans="1:35" ht="14.25" customHeight="1" x14ac:dyDescent="0.3">
      <c r="A41" s="2"/>
      <c r="B41" s="16"/>
      <c r="C41" s="33" t="s">
        <v>21</v>
      </c>
      <c r="D41" s="127" t="s">
        <v>92</v>
      </c>
      <c r="E41" s="537">
        <f>$E$14</f>
        <v>3.9</v>
      </c>
      <c r="F41" s="537">
        <f>$F$14</f>
        <v>3.5</v>
      </c>
      <c r="G41" s="537">
        <f>$G$14</f>
        <v>2.6</v>
      </c>
      <c r="H41" s="537"/>
      <c r="I41" s="537"/>
      <c r="K41" s="2"/>
      <c r="AI41" s="2"/>
    </row>
    <row r="42" spans="1:35" ht="14.25" customHeight="1" x14ac:dyDescent="0.3">
      <c r="A42" s="2"/>
      <c r="B42" s="16"/>
      <c r="C42" s="28" t="s">
        <v>14</v>
      </c>
      <c r="D42" s="89" t="s">
        <v>599</v>
      </c>
      <c r="E42" s="535">
        <f>E40*E41</f>
        <v>15.424499999999998</v>
      </c>
      <c r="F42" s="535">
        <f>F40*F41</f>
        <v>13.842499999999999</v>
      </c>
      <c r="G42" s="535">
        <f>G40*G41</f>
        <v>10.282999999999999</v>
      </c>
      <c r="H42" s="535"/>
      <c r="I42" s="546"/>
      <c r="K42" s="2"/>
      <c r="AI42" s="2"/>
    </row>
    <row r="43" spans="1:35" ht="14.25" customHeight="1" x14ac:dyDescent="0.3">
      <c r="A43" s="2"/>
      <c r="B43" s="178" t="s">
        <v>238</v>
      </c>
      <c r="C43" s="81" t="s">
        <v>2</v>
      </c>
      <c r="D43" s="83" t="s">
        <v>601</v>
      </c>
      <c r="E43" s="307">
        <f>E45/E13</f>
        <v>88.121275167785228</v>
      </c>
      <c r="F43" s="307">
        <f>F45/F13</f>
        <v>110.65705596107054</v>
      </c>
      <c r="G43" s="307">
        <f>G45/G13</f>
        <v>184.68545454545455</v>
      </c>
      <c r="H43" s="307">
        <f>H45/H13</f>
        <v>12.984215530903326</v>
      </c>
      <c r="I43" s="547">
        <f>I45/I13</f>
        <v>70.544287469287454</v>
      </c>
      <c r="K43" s="2"/>
      <c r="AI43" s="2"/>
    </row>
    <row r="44" spans="1:35" ht="14.25" customHeight="1" x14ac:dyDescent="0.3">
      <c r="A44" s="2"/>
      <c r="B44" s="16"/>
      <c r="C44" s="32" t="s">
        <v>3</v>
      </c>
      <c r="D44" s="80" t="s">
        <v>601</v>
      </c>
      <c r="E44" s="308">
        <f>IF(E14=0,0,E46/E14)</f>
        <v>3.9549999999999996</v>
      </c>
      <c r="F44" s="308">
        <f>IF(F14=0,0,F46/F14)</f>
        <v>3.9549999999999996</v>
      </c>
      <c r="G44" s="308">
        <f>IF(G14=0,0,G46/G14)</f>
        <v>3.9549999999999996</v>
      </c>
      <c r="H44" s="308"/>
      <c r="I44" s="548"/>
      <c r="K44" s="2"/>
      <c r="AI44" s="2"/>
    </row>
    <row r="45" spans="1:35" ht="14.25" customHeight="1" x14ac:dyDescent="0.3">
      <c r="A45" s="2"/>
      <c r="B45" s="7"/>
      <c r="C45" s="175" t="s">
        <v>2</v>
      </c>
      <c r="D45" s="18" t="s">
        <v>599</v>
      </c>
      <c r="E45" s="109">
        <f>E27+E37+E39+E42</f>
        <v>656.50349999999992</v>
      </c>
      <c r="F45" s="109">
        <f>F27+F37+F39+F42</f>
        <v>454.80049999999994</v>
      </c>
      <c r="G45" s="109">
        <f>G27+G37+G39+G42</f>
        <v>609.46199999999999</v>
      </c>
      <c r="H45" s="109">
        <f>H27+H37+H39</f>
        <v>819.30399999999986</v>
      </c>
      <c r="I45" s="549">
        <f>I27+I37+I39</f>
        <v>574.23049999999989</v>
      </c>
      <c r="K45" s="2"/>
      <c r="AI45" s="2"/>
    </row>
    <row r="46" spans="1:35" ht="14.25" customHeight="1" x14ac:dyDescent="0.3">
      <c r="A46" s="2"/>
      <c r="B46" s="10"/>
      <c r="C46" s="95" t="s">
        <v>3</v>
      </c>
      <c r="D46" s="80" t="s">
        <v>599</v>
      </c>
      <c r="E46" s="110">
        <f>E42</f>
        <v>15.424499999999998</v>
      </c>
      <c r="F46" s="110">
        <f>F42</f>
        <v>13.842499999999999</v>
      </c>
      <c r="G46" s="110">
        <f>G42</f>
        <v>10.282999999999999</v>
      </c>
      <c r="H46" s="110"/>
      <c r="I46" s="550"/>
      <c r="K46" s="2"/>
      <c r="AI46" s="2"/>
    </row>
    <row r="47" spans="1:35" ht="14.25" customHeight="1" x14ac:dyDescent="0.3">
      <c r="A47" s="2"/>
      <c r="B47" s="77"/>
      <c r="C47" s="305" t="s">
        <v>12</v>
      </c>
      <c r="D47" s="89" t="s">
        <v>599</v>
      </c>
      <c r="E47" s="111">
        <f>E45+E46</f>
        <v>671.92799999999988</v>
      </c>
      <c r="F47" s="111">
        <f>F45+F46</f>
        <v>468.64299999999992</v>
      </c>
      <c r="G47" s="111">
        <f>G45+G46</f>
        <v>619.745</v>
      </c>
      <c r="H47" s="111">
        <f>H45+H46</f>
        <v>819.30399999999986</v>
      </c>
      <c r="I47" s="551">
        <f>I45+I46</f>
        <v>574.23049999999989</v>
      </c>
      <c r="K47" s="2"/>
      <c r="AI47" s="2"/>
    </row>
    <row r="48" spans="1:35" ht="14.25" customHeight="1" x14ac:dyDescent="0.3">
      <c r="A48" s="2"/>
      <c r="B48" s="367"/>
      <c r="C48" s="367"/>
      <c r="D48" s="367"/>
      <c r="E48" s="367"/>
      <c r="F48" s="367"/>
      <c r="G48" s="367"/>
      <c r="H48" s="367"/>
      <c r="I48" s="367"/>
      <c r="K48" s="2"/>
      <c r="AI48" s="2"/>
    </row>
    <row r="49" spans="1:35" ht="14.25" customHeight="1" x14ac:dyDescent="0.3">
      <c r="A49" s="2"/>
      <c r="B49" s="367"/>
      <c r="C49" s="367"/>
      <c r="D49" s="367"/>
      <c r="E49" s="367"/>
      <c r="F49" s="367"/>
      <c r="G49" s="367"/>
      <c r="H49" s="367"/>
      <c r="I49" s="367"/>
      <c r="K49" s="2"/>
      <c r="AI49" s="2"/>
    </row>
    <row r="50" spans="1:35" ht="14.25" customHeight="1" x14ac:dyDescent="0.3">
      <c r="A50" s="2"/>
      <c r="B50" s="15" t="s">
        <v>234</v>
      </c>
      <c r="C50" s="81" t="s">
        <v>32</v>
      </c>
      <c r="D50" s="83" t="s">
        <v>599</v>
      </c>
      <c r="E50" s="552">
        <f>'Arable fixed costs'!F171</f>
        <v>134.28919999999999</v>
      </c>
      <c r="F50" s="552">
        <f>'Arable fixed costs'!G171</f>
        <v>134.28919999999999</v>
      </c>
      <c r="G50" s="552">
        <f>'Arable fixed costs'!H171</f>
        <v>52.217299999999994</v>
      </c>
      <c r="H50" s="552">
        <f>'Arable fixed costs'!I171</f>
        <v>126.04019999999998</v>
      </c>
      <c r="I50" s="552">
        <f>'Arable fixed costs'!K171</f>
        <v>134.28919999999999</v>
      </c>
      <c r="K50" s="2"/>
      <c r="AI50" s="2"/>
    </row>
    <row r="51" spans="1:35" ht="14.25" customHeight="1" x14ac:dyDescent="0.3">
      <c r="A51" s="2"/>
      <c r="B51" s="9"/>
      <c r="C51" s="32" t="s">
        <v>33</v>
      </c>
      <c r="D51" s="79" t="s">
        <v>599</v>
      </c>
      <c r="E51" s="553">
        <f>'Arable fixed costs'!F172</f>
        <v>79.89913599999997</v>
      </c>
      <c r="F51" s="553">
        <f>'Arable fixed costs'!G172</f>
        <v>39.949567999999985</v>
      </c>
      <c r="G51" s="553">
        <f>'Arable fixed costs'!H172</f>
        <v>19.974783999999993</v>
      </c>
      <c r="H51" s="553">
        <f>'Arable fixed costs'!I172</f>
        <v>39.949567999999985</v>
      </c>
      <c r="I51" s="553">
        <f>'Arable fixed costs'!K172</f>
        <v>79.89913599999997</v>
      </c>
      <c r="K51" s="2"/>
      <c r="AI51" s="2"/>
    </row>
    <row r="52" spans="1:35" ht="14.25" customHeight="1" x14ac:dyDescent="0.3">
      <c r="A52" s="2"/>
      <c r="B52" s="9"/>
      <c r="C52" s="32" t="s">
        <v>132</v>
      </c>
      <c r="D52" s="79" t="s">
        <v>599</v>
      </c>
      <c r="E52" s="553">
        <f>'Arable fixed costs'!F173</f>
        <v>0</v>
      </c>
      <c r="F52" s="553">
        <f>'Arable fixed costs'!G173</f>
        <v>0</v>
      </c>
      <c r="G52" s="553">
        <f>'Arable fixed costs'!H173</f>
        <v>0</v>
      </c>
      <c r="H52" s="553">
        <f>'Arable fixed costs'!I173</f>
        <v>0</v>
      </c>
      <c r="I52" s="553">
        <f>'Arable fixed costs'!K173</f>
        <v>0</v>
      </c>
      <c r="K52" s="2"/>
      <c r="AI52" s="2"/>
    </row>
    <row r="53" spans="1:35" ht="14.25" customHeight="1" x14ac:dyDescent="0.3">
      <c r="A53" s="2"/>
      <c r="B53" s="10"/>
      <c r="C53" s="32" t="s">
        <v>34</v>
      </c>
      <c r="D53" s="79" t="s">
        <v>599</v>
      </c>
      <c r="E53" s="553">
        <f>'Arable fixed costs'!F174</f>
        <v>30.555199999999996</v>
      </c>
      <c r="F53" s="553">
        <f>'Arable fixed costs'!G174</f>
        <v>30.555199999999996</v>
      </c>
      <c r="G53" s="553">
        <f>'Arable fixed costs'!H174</f>
        <v>64.952399999999997</v>
      </c>
      <c r="H53" s="553">
        <f>'Arable fixed costs'!I174</f>
        <v>64.590799999999987</v>
      </c>
      <c r="I53" s="553">
        <f>'Arable fixed costs'!K174</f>
        <v>50.849999999999994</v>
      </c>
      <c r="K53" s="2"/>
      <c r="AI53" s="2"/>
    </row>
    <row r="54" spans="1:35" ht="14.25" customHeight="1" x14ac:dyDescent="0.3">
      <c r="A54" s="2"/>
      <c r="B54" s="10"/>
      <c r="C54" s="33" t="s">
        <v>35</v>
      </c>
      <c r="D54" s="79" t="s">
        <v>599</v>
      </c>
      <c r="E54" s="553">
        <f>'Arable fixed costs'!F175</f>
        <v>67.901699999999991</v>
      </c>
      <c r="F54" s="553">
        <f>'Arable fixed costs'!G175</f>
        <v>45.120899999999992</v>
      </c>
      <c r="G54" s="553">
        <f>'Arable fixed costs'!H175</f>
        <v>22.780799999999999</v>
      </c>
      <c r="H54" s="553">
        <f>'Arable fixed costs'!I175</f>
        <v>34.171199999999999</v>
      </c>
      <c r="I54" s="553">
        <f>'Arable fixed costs'!K175</f>
        <v>34.171199999999999</v>
      </c>
      <c r="K54" s="2"/>
      <c r="AI54" s="2"/>
    </row>
    <row r="55" spans="1:35" ht="14.25" customHeight="1" x14ac:dyDescent="0.3">
      <c r="A55" s="2"/>
      <c r="B55" s="10"/>
      <c r="C55" s="33" t="s">
        <v>182</v>
      </c>
      <c r="D55" s="79" t="s">
        <v>599</v>
      </c>
      <c r="E55" s="553">
        <f>'Arable fixed costs'!F176</f>
        <v>262.86059999999998</v>
      </c>
      <c r="F55" s="553">
        <f>'Arable fixed costs'!G176</f>
        <v>262.86059999999998</v>
      </c>
      <c r="G55" s="553">
        <f>'Arable fixed costs'!H176</f>
        <v>142.07489999999999</v>
      </c>
      <c r="H55" s="553">
        <f>'Arable fixed costs'!I176</f>
        <v>313.98179999999991</v>
      </c>
      <c r="I55" s="553">
        <f>'Arable fixed costs'!K176</f>
        <v>197.74999999999997</v>
      </c>
      <c r="K55" s="2"/>
      <c r="AI55" s="2"/>
    </row>
    <row r="56" spans="1:35" ht="14.25" customHeight="1" x14ac:dyDescent="0.3">
      <c r="A56" s="2"/>
      <c r="B56" s="10"/>
      <c r="C56" s="33" t="s">
        <v>209</v>
      </c>
      <c r="D56" s="79" t="s">
        <v>599</v>
      </c>
      <c r="E56" s="553">
        <f>'Arable fixed costs'!F177</f>
        <v>0</v>
      </c>
      <c r="F56" s="553">
        <f>'Arable fixed costs'!G177</f>
        <v>0</v>
      </c>
      <c r="G56" s="553">
        <f>'Arable fixed costs'!H177</f>
        <v>0</v>
      </c>
      <c r="H56" s="553">
        <f>'Arable fixed costs'!I177</f>
        <v>0</v>
      </c>
      <c r="I56" s="553">
        <f>'Arable fixed costs'!K177</f>
        <v>0</v>
      </c>
      <c r="K56" s="2"/>
      <c r="AI56" s="2"/>
    </row>
    <row r="57" spans="1:35" ht="14.25" customHeight="1" x14ac:dyDescent="0.3">
      <c r="A57" s="2"/>
      <c r="B57" s="10"/>
      <c r="C57" s="32" t="s">
        <v>155</v>
      </c>
      <c r="D57" s="79" t="s">
        <v>599</v>
      </c>
      <c r="E57" s="553">
        <f>'Arable fixed costs'!F178</f>
        <v>65.686899999999994</v>
      </c>
      <c r="F57" s="553">
        <f>'Arable fixed costs'!G178</f>
        <v>65.686899999999994</v>
      </c>
      <c r="G57" s="553">
        <f>'Arable fixed costs'!H178</f>
        <v>59.149042857142852</v>
      </c>
      <c r="H57" s="553">
        <f>'Arable fixed costs'!I178</f>
        <v>0</v>
      </c>
      <c r="I57" s="553">
        <f>'Arable fixed costs'!K178</f>
        <v>0</v>
      </c>
      <c r="K57" s="2"/>
      <c r="AI57" s="2"/>
    </row>
    <row r="58" spans="1:35" ht="14.25" customHeight="1" x14ac:dyDescent="0.3">
      <c r="A58" s="2"/>
      <c r="B58" s="10"/>
      <c r="C58" s="32" t="s">
        <v>99</v>
      </c>
      <c r="D58" s="79" t="s">
        <v>599</v>
      </c>
      <c r="E58" s="553">
        <f>'Arable fixed costs'!F179</f>
        <v>0</v>
      </c>
      <c r="F58" s="553">
        <f>'Arable fixed costs'!G179</f>
        <v>0</v>
      </c>
      <c r="G58" s="553">
        <f>'Arable fixed costs'!H179</f>
        <v>8.8140000000000001</v>
      </c>
      <c r="H58" s="553">
        <f>'Arable fixed costs'!I179</f>
        <v>0</v>
      </c>
      <c r="I58" s="553">
        <f>'Arable fixed costs'!K179</f>
        <v>0</v>
      </c>
      <c r="K58" s="2"/>
      <c r="AI58" s="2"/>
    </row>
    <row r="59" spans="1:35" ht="14.25" customHeight="1" x14ac:dyDescent="0.3">
      <c r="A59" s="2"/>
      <c r="B59" s="10"/>
      <c r="C59" s="82" t="s">
        <v>210</v>
      </c>
      <c r="D59" s="80" t="s">
        <v>599</v>
      </c>
      <c r="E59" s="554">
        <f>'Arable fixed costs'!F180</f>
        <v>0</v>
      </c>
      <c r="F59" s="554">
        <f>'Arable fixed costs'!G180</f>
        <v>0</v>
      </c>
      <c r="G59" s="554">
        <f>'Arable fixed costs'!H180</f>
        <v>0</v>
      </c>
      <c r="H59" s="554">
        <f>'Arable fixed costs'!I180</f>
        <v>0</v>
      </c>
      <c r="I59" s="554">
        <f>'Arable fixed costs'!K180</f>
        <v>0</v>
      </c>
      <c r="K59" s="2"/>
      <c r="AI59" s="2"/>
    </row>
    <row r="60" spans="1:35" ht="14.25" customHeight="1" x14ac:dyDescent="0.3">
      <c r="A60" s="2"/>
      <c r="B60" s="420"/>
      <c r="C60" s="81" t="s">
        <v>23</v>
      </c>
      <c r="D60" s="18" t="s">
        <v>599</v>
      </c>
      <c r="E60" s="552">
        <f>'Arable fixed costs'!F183</f>
        <v>575.50583599999993</v>
      </c>
      <c r="F60" s="552">
        <f>'Arable fixed costs'!G183</f>
        <v>512.77546799999993</v>
      </c>
      <c r="G60" s="552">
        <f>'Arable fixed costs'!H183</f>
        <v>310.81418400000001</v>
      </c>
      <c r="H60" s="552">
        <f>'Arable fixed costs'!I183</f>
        <v>578.73356799999988</v>
      </c>
      <c r="I60" s="552">
        <f>'Arable fixed costs'!K183</f>
        <v>496.95953599999996</v>
      </c>
      <c r="K60" s="2"/>
      <c r="AI60" s="2"/>
    </row>
    <row r="61" spans="1:35" ht="14.25" customHeight="1" x14ac:dyDescent="0.3">
      <c r="A61" s="2"/>
      <c r="B61" s="370"/>
      <c r="C61" s="82" t="s">
        <v>24</v>
      </c>
      <c r="D61" s="80" t="s">
        <v>599</v>
      </c>
      <c r="E61" s="554">
        <f>'Arable fixed costs'!F184</f>
        <v>65.686899999999994</v>
      </c>
      <c r="F61" s="554">
        <f>'Arable fixed costs'!G184</f>
        <v>65.686899999999994</v>
      </c>
      <c r="G61" s="554">
        <f>'Arable fixed costs'!H184</f>
        <v>59.149042857142852</v>
      </c>
      <c r="H61" s="555"/>
      <c r="I61" s="555"/>
      <c r="K61" s="2"/>
      <c r="P61" s="21"/>
      <c r="Q61" s="21"/>
      <c r="R61" s="21"/>
      <c r="S61" s="101"/>
      <c r="AI61" s="2"/>
    </row>
    <row r="62" spans="1:35" ht="14.25" customHeight="1" x14ac:dyDescent="0.3">
      <c r="A62" s="2"/>
      <c r="B62" s="556"/>
      <c r="C62" s="120" t="s">
        <v>235</v>
      </c>
      <c r="D62" s="118" t="s">
        <v>599</v>
      </c>
      <c r="E62" s="557">
        <f>SUM(E60:E61)</f>
        <v>641.19273599999997</v>
      </c>
      <c r="F62" s="557">
        <f>SUM(F60:F61)</f>
        <v>578.46236799999997</v>
      </c>
      <c r="G62" s="557">
        <f>SUM(G60:G61)</f>
        <v>369.96322685714284</v>
      </c>
      <c r="H62" s="557">
        <f>SUM(H60:H61)</f>
        <v>578.73356799999988</v>
      </c>
      <c r="I62" s="557">
        <f>SUM(I60:I61)</f>
        <v>496.95953599999996</v>
      </c>
      <c r="K62" s="2"/>
      <c r="AI62" s="2"/>
    </row>
    <row r="63" spans="1:35" ht="14.25" customHeight="1" x14ac:dyDescent="0.3">
      <c r="A63" s="2"/>
      <c r="B63" s="15" t="s">
        <v>236</v>
      </c>
      <c r="C63" s="82" t="s">
        <v>25</v>
      </c>
      <c r="D63" s="23" t="s">
        <v>605</v>
      </c>
      <c r="E63" s="558">
        <f>'Arable Inputs'!$D$31</f>
        <v>14.99</v>
      </c>
      <c r="F63" s="558">
        <f>'Arable Inputs'!$D$31</f>
        <v>14.99</v>
      </c>
      <c r="G63" s="558">
        <f>'Arable Inputs'!$D$31</f>
        <v>14.99</v>
      </c>
      <c r="H63" s="558">
        <f>'Arable Inputs'!$D$31</f>
        <v>14.99</v>
      </c>
      <c r="I63" s="558">
        <f>'Arable Inputs'!$D$31</f>
        <v>14.99</v>
      </c>
      <c r="K63" s="2"/>
      <c r="AI63" s="2"/>
    </row>
    <row r="64" spans="1:35" ht="14.25" customHeight="1" x14ac:dyDescent="0.3">
      <c r="A64" s="2"/>
      <c r="B64" s="420"/>
      <c r="C64" s="33" t="s">
        <v>26</v>
      </c>
      <c r="D64" s="30" t="s">
        <v>27</v>
      </c>
      <c r="E64" s="553">
        <f>'Arable fixed costs'!F186</f>
        <v>17.100000000000001</v>
      </c>
      <c r="F64" s="553">
        <f>'Arable fixed costs'!G186</f>
        <v>15.899999999999999</v>
      </c>
      <c r="G64" s="553">
        <f>'Arable fixed costs'!H186</f>
        <v>17.899999999999999</v>
      </c>
      <c r="H64" s="553">
        <f>'Arable fixed costs'!I186</f>
        <v>27.9</v>
      </c>
      <c r="I64" s="553">
        <f>'Arable fixed costs'!K186</f>
        <v>9.3000000000000007</v>
      </c>
      <c r="K64" s="2"/>
      <c r="AI64" s="2"/>
    </row>
    <row r="65" spans="1:65" ht="14.25" customHeight="1" x14ac:dyDescent="0.3">
      <c r="A65" s="2"/>
      <c r="B65" s="420"/>
      <c r="C65" s="33" t="s">
        <v>28</v>
      </c>
      <c r="D65" s="30" t="s">
        <v>27</v>
      </c>
      <c r="E65" s="553">
        <f>'Arable fixed costs'!F187</f>
        <v>4.8</v>
      </c>
      <c r="F65" s="553">
        <f>'Arable fixed costs'!G187</f>
        <v>4.8</v>
      </c>
      <c r="G65" s="553">
        <f>'Arable fixed costs'!H187</f>
        <v>4.8</v>
      </c>
      <c r="H65" s="516"/>
      <c r="I65" s="516"/>
      <c r="K65" s="2"/>
      <c r="AI65" s="2"/>
    </row>
    <row r="66" spans="1:65" ht="14.25" customHeight="1" x14ac:dyDescent="0.3">
      <c r="A66" s="2"/>
      <c r="B66" s="420"/>
      <c r="C66" s="81" t="s">
        <v>237</v>
      </c>
      <c r="D66" s="18" t="s">
        <v>599</v>
      </c>
      <c r="E66" s="559">
        <f>E64*E63</f>
        <v>256.32900000000001</v>
      </c>
      <c r="F66" s="559">
        <f>F64*F63</f>
        <v>238.34099999999998</v>
      </c>
      <c r="G66" s="559">
        <f>G64*G63</f>
        <v>268.32099999999997</v>
      </c>
      <c r="H66" s="559">
        <f>H64*H63</f>
        <v>418.221</v>
      </c>
      <c r="I66" s="559">
        <f>I64*I63</f>
        <v>139.40700000000001</v>
      </c>
      <c r="K66" s="2"/>
      <c r="AI66" s="2"/>
    </row>
    <row r="67" spans="1:65" ht="14.25" customHeight="1" x14ac:dyDescent="0.3">
      <c r="A67" s="2"/>
      <c r="B67" s="420"/>
      <c r="C67" s="32" t="s">
        <v>239</v>
      </c>
      <c r="D67" s="80" t="s">
        <v>599</v>
      </c>
      <c r="E67" s="560">
        <f>E65*E63</f>
        <v>71.951999999999998</v>
      </c>
      <c r="F67" s="560">
        <f>F65*F63</f>
        <v>71.951999999999998</v>
      </c>
      <c r="G67" s="560">
        <f>G65*G63</f>
        <v>71.951999999999998</v>
      </c>
      <c r="H67" s="560">
        <f>H65*H63</f>
        <v>0</v>
      </c>
      <c r="I67" s="560">
        <f>I65*I63</f>
        <v>0</v>
      </c>
      <c r="K67" s="2"/>
      <c r="AI67" s="2"/>
    </row>
    <row r="68" spans="1:65" x14ac:dyDescent="0.3">
      <c r="A68" s="2"/>
      <c r="B68" s="561"/>
      <c r="C68" s="121" t="s">
        <v>235</v>
      </c>
      <c r="D68" s="118" t="s">
        <v>599</v>
      </c>
      <c r="E68" s="562">
        <f>E66+E67</f>
        <v>328.28100000000001</v>
      </c>
      <c r="F68" s="562">
        <f>F66+F67</f>
        <v>310.29300000000001</v>
      </c>
      <c r="G68" s="562">
        <f>G66+G67</f>
        <v>340.27299999999997</v>
      </c>
      <c r="H68" s="562">
        <f>H66+H67</f>
        <v>418.221</v>
      </c>
      <c r="I68" s="562">
        <f>I66+I67</f>
        <v>139.40700000000001</v>
      </c>
      <c r="K68" s="2"/>
      <c r="AI68" s="2"/>
    </row>
    <row r="69" spans="1:65" x14ac:dyDescent="0.3">
      <c r="A69" s="2"/>
      <c r="B69" s="15" t="s">
        <v>240</v>
      </c>
      <c r="C69" s="33" t="s">
        <v>220</v>
      </c>
      <c r="D69" s="118" t="s">
        <v>599</v>
      </c>
      <c r="E69" s="563">
        <f>'Arable Inputs'!$D$11</f>
        <v>0</v>
      </c>
      <c r="F69" s="563">
        <f>'Arable Inputs'!$D$11</f>
        <v>0</v>
      </c>
      <c r="G69" s="563">
        <f>'Arable Inputs'!$D$11</f>
        <v>0</v>
      </c>
      <c r="H69" s="563">
        <f>'Arable Inputs'!$D$11</f>
        <v>0</v>
      </c>
      <c r="I69" s="563">
        <f>'Arable Inputs'!$D$11</f>
        <v>0</v>
      </c>
      <c r="K69" s="2"/>
      <c r="AI69" s="2"/>
    </row>
    <row r="70" spans="1:65" x14ac:dyDescent="0.3">
      <c r="A70" s="2"/>
      <c r="B70" s="420"/>
      <c r="C70" s="37" t="s">
        <v>221</v>
      </c>
      <c r="D70" s="118" t="s">
        <v>599</v>
      </c>
      <c r="E70" s="563">
        <f>'Arable Inputs'!$D$12</f>
        <v>0</v>
      </c>
      <c r="F70" s="563">
        <f>'Arable Inputs'!$D$12</f>
        <v>0</v>
      </c>
      <c r="G70" s="563">
        <f>'Arable Inputs'!$D$12</f>
        <v>0</v>
      </c>
      <c r="H70" s="563">
        <f>'Arable Inputs'!$D$12</f>
        <v>0</v>
      </c>
      <c r="I70" s="563">
        <f>'Arable Inputs'!$D$12</f>
        <v>0</v>
      </c>
      <c r="K70" s="2"/>
      <c r="AI70" s="2"/>
    </row>
    <row r="71" spans="1:65" x14ac:dyDescent="0.3">
      <c r="A71" s="2"/>
      <c r="B71" s="561"/>
      <c r="C71" s="121" t="s">
        <v>235</v>
      </c>
      <c r="D71" s="118" t="s">
        <v>599</v>
      </c>
      <c r="E71" s="564">
        <f>E69+E70</f>
        <v>0</v>
      </c>
      <c r="F71" s="564">
        <f>F69+F70</f>
        <v>0</v>
      </c>
      <c r="G71" s="564">
        <f>G69+G70</f>
        <v>0</v>
      </c>
      <c r="H71" s="564">
        <f>H69+H70</f>
        <v>0</v>
      </c>
      <c r="I71" s="564">
        <f>I69+I70</f>
        <v>0</v>
      </c>
      <c r="K71" s="2"/>
      <c r="AI71" s="2"/>
      <c r="AJ71" s="25"/>
      <c r="AK71" s="25"/>
      <c r="AL71" s="25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x14ac:dyDescent="0.3">
      <c r="A72" s="2"/>
      <c r="B72" s="15" t="s">
        <v>241</v>
      </c>
      <c r="C72" s="309" t="s">
        <v>2</v>
      </c>
      <c r="D72" s="4" t="s">
        <v>601</v>
      </c>
      <c r="E72" s="166">
        <f>E74/E13</f>
        <v>111.65568268456376</v>
      </c>
      <c r="F72" s="166">
        <f>F74/F13</f>
        <v>182.75339854014595</v>
      </c>
      <c r="G72" s="166">
        <f>G74/G13</f>
        <v>175.4955103030303</v>
      </c>
      <c r="H72" s="166">
        <f>H74/H13</f>
        <v>15.799596957210774</v>
      </c>
      <c r="I72" s="565">
        <f>I74/I13</f>
        <v>78.177707125307123</v>
      </c>
      <c r="K72" s="2"/>
      <c r="AJ72" s="39"/>
      <c r="AK72" s="39"/>
      <c r="AL72" s="39"/>
    </row>
    <row r="73" spans="1:65" x14ac:dyDescent="0.3">
      <c r="A73" s="2"/>
      <c r="B73" s="420"/>
      <c r="C73" s="116" t="s">
        <v>3</v>
      </c>
      <c r="D73" s="5" t="s">
        <v>601</v>
      </c>
      <c r="E73" s="153">
        <f>E75/E14</f>
        <v>35.292025641025639</v>
      </c>
      <c r="F73" s="153">
        <f>F75/F14</f>
        <v>39.325399999999995</v>
      </c>
      <c r="G73" s="153">
        <f>G75/G14</f>
        <v>50.423478021978021</v>
      </c>
      <c r="H73" s="153"/>
      <c r="I73" s="545"/>
      <c r="K73" s="2"/>
      <c r="AJ73" s="39"/>
      <c r="AK73" s="39"/>
      <c r="AL73" s="39"/>
    </row>
    <row r="74" spans="1:65" x14ac:dyDescent="0.3">
      <c r="A74" s="2"/>
      <c r="B74" s="420"/>
      <c r="C74" s="124" t="s">
        <v>2</v>
      </c>
      <c r="D74" s="117" t="s">
        <v>599</v>
      </c>
      <c r="E74" s="99">
        <f>E60+E66+IF(E14&gt;0,E71/2,E71)</f>
        <v>831.834836</v>
      </c>
      <c r="F74" s="99">
        <f>F60+F66+IF(F14&gt;0,F71/2,F71)</f>
        <v>751.11646799999994</v>
      </c>
      <c r="G74" s="99">
        <f>G60+G66+IF(G14&gt;0,G71/2,G71)</f>
        <v>579.13518399999998</v>
      </c>
      <c r="H74" s="99">
        <f>H60+H66+IF(H14&gt;0,H71/2,H71)</f>
        <v>996.95456799999988</v>
      </c>
      <c r="I74" s="99">
        <f>I60+I66+IF(I14&gt;0,I71/2,I71)</f>
        <v>636.366536</v>
      </c>
      <c r="K74" s="2"/>
      <c r="AJ74" s="39"/>
      <c r="AK74" s="39"/>
      <c r="AL74" s="39"/>
    </row>
    <row r="75" spans="1:65" x14ac:dyDescent="0.3">
      <c r="A75" s="2"/>
      <c r="B75" s="420"/>
      <c r="C75" s="123" t="s">
        <v>3</v>
      </c>
      <c r="D75" s="118" t="s">
        <v>599</v>
      </c>
      <c r="E75" s="100">
        <f>E61+E67+IF(E14&gt;0,E71/2,0)</f>
        <v>137.63889999999998</v>
      </c>
      <c r="F75" s="100">
        <f>F61+F67+IF(F14&gt;0,F71/2,0)</f>
        <v>137.63889999999998</v>
      </c>
      <c r="G75" s="100">
        <f>G61+G67+IF(G14&gt;0,G71/2,0)</f>
        <v>131.10104285714286</v>
      </c>
      <c r="H75" s="100">
        <f>H61+H67+IF(H14&gt;0,H71/2,0)</f>
        <v>0</v>
      </c>
      <c r="I75" s="100">
        <f>I61+I67+IF(I14&gt;0,I71/2,0)</f>
        <v>0</v>
      </c>
      <c r="K75" s="2"/>
      <c r="AJ75" s="39"/>
      <c r="AK75" s="39"/>
      <c r="AL75" s="39"/>
    </row>
    <row r="76" spans="1:65" x14ac:dyDescent="0.3">
      <c r="A76" s="2"/>
      <c r="B76" s="561"/>
      <c r="C76" s="122" t="s">
        <v>12</v>
      </c>
      <c r="D76" s="118" t="s">
        <v>599</v>
      </c>
      <c r="E76" s="100">
        <f>E74+E75</f>
        <v>969.47373599999992</v>
      </c>
      <c r="F76" s="100">
        <f>F74+F75</f>
        <v>888.75536799999986</v>
      </c>
      <c r="G76" s="100">
        <f>G74+G75</f>
        <v>710.23622685714281</v>
      </c>
      <c r="H76" s="100">
        <f>H74+H75</f>
        <v>996.95456799999988</v>
      </c>
      <c r="I76" s="100">
        <f>I74+I75</f>
        <v>636.366536</v>
      </c>
      <c r="K76" s="2"/>
      <c r="AJ76" s="39"/>
      <c r="AK76" s="39"/>
      <c r="AL76" s="39"/>
    </row>
    <row r="77" spans="1:65" x14ac:dyDescent="0.3">
      <c r="A77" s="2"/>
      <c r="B77" s="566"/>
      <c r="C77" s="367"/>
      <c r="D77" s="566"/>
      <c r="E77" s="119"/>
      <c r="F77" s="119"/>
      <c r="G77" s="119"/>
      <c r="H77" s="119"/>
      <c r="I77" s="119"/>
      <c r="K77" s="2"/>
      <c r="AJ77" s="39"/>
      <c r="AK77" s="39"/>
      <c r="AL77" s="39"/>
    </row>
    <row r="78" spans="1:65" x14ac:dyDescent="0.3">
      <c r="A78" s="2"/>
      <c r="B78" s="367"/>
      <c r="C78" s="367"/>
      <c r="D78" s="566"/>
      <c r="E78" s="367"/>
      <c r="F78" s="367"/>
      <c r="G78" s="367"/>
      <c r="H78" s="367"/>
      <c r="I78" s="367"/>
      <c r="K78" s="2"/>
    </row>
    <row r="79" spans="1:65" x14ac:dyDescent="0.3">
      <c r="A79" s="2"/>
      <c r="B79" s="15" t="s">
        <v>90</v>
      </c>
      <c r="C79" s="310" t="s">
        <v>2</v>
      </c>
      <c r="D79" s="4" t="s">
        <v>601</v>
      </c>
      <c r="E79" s="559">
        <f t="shared" ref="E79:I80" si="0">E72+E43</f>
        <v>199.77695785234897</v>
      </c>
      <c r="F79" s="559">
        <f t="shared" si="0"/>
        <v>293.41045450121646</v>
      </c>
      <c r="G79" s="559">
        <f t="shared" si="0"/>
        <v>360.18096484848485</v>
      </c>
      <c r="H79" s="559">
        <f t="shared" si="0"/>
        <v>28.783812488114101</v>
      </c>
      <c r="I79" s="559">
        <f t="shared" si="0"/>
        <v>148.72199459459458</v>
      </c>
      <c r="K79" s="2"/>
    </row>
    <row r="80" spans="1:65" x14ac:dyDescent="0.3">
      <c r="A80" s="2"/>
      <c r="B80" s="370"/>
      <c r="C80" s="116" t="s">
        <v>3</v>
      </c>
      <c r="D80" s="5" t="s">
        <v>601</v>
      </c>
      <c r="E80" s="567">
        <f t="shared" si="0"/>
        <v>39.247025641025637</v>
      </c>
      <c r="F80" s="567">
        <f t="shared" si="0"/>
        <v>43.280399999999993</v>
      </c>
      <c r="G80" s="567">
        <f t="shared" si="0"/>
        <v>54.378478021978019</v>
      </c>
      <c r="H80" s="567">
        <f t="shared" si="0"/>
        <v>0</v>
      </c>
      <c r="I80" s="567">
        <f t="shared" si="0"/>
        <v>0</v>
      </c>
      <c r="K80" s="2"/>
    </row>
    <row r="81" spans="1:33" x14ac:dyDescent="0.3">
      <c r="A81" s="2"/>
      <c r="B81" s="370"/>
      <c r="C81" s="124" t="s">
        <v>2</v>
      </c>
      <c r="D81" s="117" t="s">
        <v>599</v>
      </c>
      <c r="E81" s="568">
        <f t="shared" ref="E81:I83" si="1">E74+E45</f>
        <v>1488.3383359999998</v>
      </c>
      <c r="F81" s="568">
        <f t="shared" si="1"/>
        <v>1205.916968</v>
      </c>
      <c r="G81" s="568">
        <f t="shared" si="1"/>
        <v>1188.597184</v>
      </c>
      <c r="H81" s="568">
        <f t="shared" si="1"/>
        <v>1816.2585679999997</v>
      </c>
      <c r="I81" s="568">
        <f t="shared" si="1"/>
        <v>1210.5970359999999</v>
      </c>
      <c r="K81" s="90"/>
    </row>
    <row r="82" spans="1:33" x14ac:dyDescent="0.3">
      <c r="B82" s="370"/>
      <c r="C82" s="123" t="s">
        <v>3</v>
      </c>
      <c r="D82" s="118" t="s">
        <v>599</v>
      </c>
      <c r="E82" s="569">
        <f t="shared" si="1"/>
        <v>153.06339999999997</v>
      </c>
      <c r="F82" s="569">
        <f t="shared" si="1"/>
        <v>151.48139999999998</v>
      </c>
      <c r="G82" s="569">
        <f t="shared" si="1"/>
        <v>141.38404285714284</v>
      </c>
      <c r="H82" s="569">
        <f t="shared" si="1"/>
        <v>0</v>
      </c>
      <c r="I82" s="569">
        <f t="shared" si="1"/>
        <v>0</v>
      </c>
      <c r="K82" s="2"/>
    </row>
    <row r="83" spans="1:33" x14ac:dyDescent="0.3">
      <c r="B83" s="556"/>
      <c r="C83" s="122" t="s">
        <v>12</v>
      </c>
      <c r="D83" s="118" t="s">
        <v>599</v>
      </c>
      <c r="E83" s="569">
        <f t="shared" si="1"/>
        <v>1641.4017359999998</v>
      </c>
      <c r="F83" s="569">
        <f t="shared" si="1"/>
        <v>1357.3983679999997</v>
      </c>
      <c r="G83" s="569">
        <f t="shared" si="1"/>
        <v>1329.9812268571427</v>
      </c>
      <c r="H83" s="569">
        <f t="shared" si="1"/>
        <v>1816.2585679999997</v>
      </c>
      <c r="I83" s="569">
        <f t="shared" si="1"/>
        <v>1210.5970359999999</v>
      </c>
      <c r="K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3">
      <c r="B84" s="367"/>
      <c r="C84" s="367"/>
      <c r="D84" s="367"/>
      <c r="E84" s="367"/>
      <c r="F84" s="367"/>
      <c r="G84" s="367"/>
      <c r="H84" s="367"/>
      <c r="I84" s="367"/>
      <c r="K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3">
      <c r="B85" s="367"/>
      <c r="C85" s="367"/>
      <c r="D85" s="367"/>
      <c r="E85" s="367"/>
      <c r="F85" s="367"/>
      <c r="G85" s="367"/>
      <c r="H85" s="367"/>
      <c r="I85" s="367"/>
      <c r="K85" s="104"/>
    </row>
    <row r="86" spans="1:33" x14ac:dyDescent="0.3">
      <c r="B86" s="15" t="s">
        <v>29</v>
      </c>
      <c r="C86" s="310" t="s">
        <v>2</v>
      </c>
      <c r="D86" s="117" t="s">
        <v>601</v>
      </c>
      <c r="E86" s="164">
        <f>E19-(E43+E72)</f>
        <v>17.540491812080575</v>
      </c>
      <c r="F86" s="164">
        <f>F19-(F43+F72)</f>
        <v>-95.800235523114253</v>
      </c>
      <c r="G86" s="164">
        <f>G19-(G43+G72)</f>
        <v>38.237216969696988</v>
      </c>
      <c r="H86" s="164">
        <f>H19-(H43+H72)</f>
        <v>4.6185736925572485E-3</v>
      </c>
      <c r="I86" s="162">
        <f>I19-(I43+I72)</f>
        <v>55.693484520884567</v>
      </c>
    </row>
    <row r="87" spans="1:33" x14ac:dyDescent="0.3">
      <c r="B87" s="420"/>
      <c r="C87" s="116" t="s">
        <v>3</v>
      </c>
      <c r="D87" s="118" t="s">
        <v>601</v>
      </c>
      <c r="E87" s="153">
        <f t="shared" ref="E87:G90" si="2">E20-(E44+E73)</f>
        <v>34.202974358974352</v>
      </c>
      <c r="F87" s="153">
        <f t="shared" si="2"/>
        <v>35.819600000000001</v>
      </c>
      <c r="G87" s="153">
        <f t="shared" si="2"/>
        <v>-12.003478021978026</v>
      </c>
      <c r="H87" s="153"/>
      <c r="I87" s="545"/>
    </row>
    <row r="88" spans="1:33" x14ac:dyDescent="0.3">
      <c r="B88" s="420"/>
      <c r="C88" s="124" t="s">
        <v>2</v>
      </c>
      <c r="D88" s="117" t="s">
        <v>599</v>
      </c>
      <c r="E88" s="99">
        <f t="shared" si="2"/>
        <v>130.6766640000003</v>
      </c>
      <c r="F88" s="99">
        <f t="shared" si="2"/>
        <v>-393.73896799999989</v>
      </c>
      <c r="G88" s="99">
        <f t="shared" si="2"/>
        <v>126.182816</v>
      </c>
      <c r="H88" s="99">
        <f>H21-(H45+H74)</f>
        <v>0.29143200000044089</v>
      </c>
      <c r="I88" s="570">
        <f>I21-(I45+I74)</f>
        <v>453.34496400000035</v>
      </c>
    </row>
    <row r="89" spans="1:33" x14ac:dyDescent="0.3">
      <c r="B89" s="420"/>
      <c r="C89" s="123" t="s">
        <v>3</v>
      </c>
      <c r="D89" s="118" t="s">
        <v>599</v>
      </c>
      <c r="E89" s="100">
        <f t="shared" si="2"/>
        <v>133.39159999999995</v>
      </c>
      <c r="F89" s="100">
        <f t="shared" si="2"/>
        <v>125.36859999999999</v>
      </c>
      <c r="G89" s="100">
        <f t="shared" si="2"/>
        <v>-31.209042857142862</v>
      </c>
      <c r="H89" s="100"/>
      <c r="I89" s="571"/>
    </row>
    <row r="90" spans="1:33" x14ac:dyDescent="0.3">
      <c r="B90" s="561"/>
      <c r="C90" s="122" t="s">
        <v>12</v>
      </c>
      <c r="D90" s="118" t="s">
        <v>599</v>
      </c>
      <c r="E90" s="100">
        <f t="shared" si="2"/>
        <v>264.06826400000023</v>
      </c>
      <c r="F90" s="100">
        <f t="shared" si="2"/>
        <v>-268.37036799999964</v>
      </c>
      <c r="G90" s="100">
        <f t="shared" si="2"/>
        <v>94.973773142857226</v>
      </c>
      <c r="H90" s="100">
        <f>H23-(H47+H76)</f>
        <v>0.29143200000044089</v>
      </c>
      <c r="I90" s="571">
        <f>I23-(I47+I76)</f>
        <v>453.34496400000035</v>
      </c>
    </row>
    <row r="91" spans="1:33" x14ac:dyDescent="0.3">
      <c r="B91" s="367"/>
      <c r="C91" s="367"/>
      <c r="D91" s="367"/>
      <c r="E91" s="367"/>
      <c r="F91" s="367"/>
      <c r="G91" s="367"/>
      <c r="H91" s="367"/>
      <c r="I91" s="367"/>
    </row>
    <row r="92" spans="1:33" x14ac:dyDescent="0.3">
      <c r="B92" s="367"/>
      <c r="C92" s="367"/>
      <c r="D92" s="367"/>
      <c r="E92" s="367"/>
      <c r="F92" s="367"/>
      <c r="G92" s="367"/>
      <c r="H92" s="367"/>
      <c r="I92" s="367"/>
    </row>
    <row r="93" spans="1:33" x14ac:dyDescent="0.3">
      <c r="B93" s="367"/>
      <c r="C93" s="367"/>
      <c r="D93" s="367"/>
      <c r="E93" s="367"/>
      <c r="F93" s="367"/>
      <c r="G93" s="367"/>
      <c r="H93" s="367"/>
      <c r="I93" s="367"/>
    </row>
    <row r="94" spans="1:33" x14ac:dyDescent="0.3">
      <c r="B94" s="572"/>
      <c r="C94" s="367" t="s">
        <v>366</v>
      </c>
      <c r="D94" s="367"/>
      <c r="E94" s="367"/>
      <c r="F94" s="367"/>
      <c r="G94" s="367"/>
      <c r="H94" s="367"/>
      <c r="I94" s="367"/>
    </row>
    <row r="95" spans="1:33" x14ac:dyDescent="0.3">
      <c r="B95" s="573"/>
      <c r="C95" s="367" t="s">
        <v>232</v>
      </c>
      <c r="D95" s="367"/>
      <c r="E95" s="367"/>
      <c r="F95" s="367"/>
      <c r="G95" s="367"/>
      <c r="H95" s="367"/>
      <c r="I95" s="367"/>
    </row>
    <row r="96" spans="1:33" x14ac:dyDescent="0.3">
      <c r="B96" s="366"/>
      <c r="C96" s="366"/>
      <c r="D96" s="366"/>
      <c r="E96" s="366"/>
      <c r="F96" s="366"/>
      <c r="G96" s="366"/>
      <c r="H96" s="366"/>
      <c r="I96" s="366"/>
    </row>
    <row r="123" s="39" customFormat="1" x14ac:dyDescent="0.3"/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O110"/>
  <sheetViews>
    <sheetView topLeftCell="B7" workbookViewId="0">
      <selection activeCell="I14" sqref="I14"/>
    </sheetView>
  </sheetViews>
  <sheetFormatPr defaultColWidth="9" defaultRowHeight="14" x14ac:dyDescent="0.3"/>
  <cols>
    <col min="2" max="2" width="28.5" customWidth="1"/>
    <col min="3" max="3" width="9.83203125" customWidth="1"/>
    <col min="14" max="14" width="12.33203125" customWidth="1"/>
    <col min="15" max="15" width="10.08203125" customWidth="1"/>
  </cols>
  <sheetData>
    <row r="2" spans="2:15" ht="14.5" thickBot="1" x14ac:dyDescent="0.35"/>
    <row r="3" spans="2:15" ht="14.5" thickBot="1" x14ac:dyDescent="0.35">
      <c r="B3" s="302" t="s">
        <v>606</v>
      </c>
    </row>
    <row r="4" spans="2:15" x14ac:dyDescent="0.3">
      <c r="B4" s="63"/>
      <c r="C4" s="63"/>
      <c r="D4" s="63"/>
      <c r="E4" s="63"/>
      <c r="F4" s="63"/>
      <c r="G4" s="63"/>
      <c r="H4" s="63"/>
      <c r="I4" s="63"/>
      <c r="J4" s="63"/>
      <c r="K4" s="63"/>
    </row>
    <row r="5" spans="2:15" x14ac:dyDescent="0.3"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2:15" x14ac:dyDescent="0.3">
      <c r="B6" s="51" t="s">
        <v>218</v>
      </c>
      <c r="C6" s="44"/>
      <c r="D6" s="44"/>
      <c r="E6" s="44"/>
      <c r="F6" s="44"/>
      <c r="G6" s="44"/>
    </row>
    <row r="7" spans="2:15" x14ac:dyDescent="0.3">
      <c r="B7" s="24"/>
      <c r="C7" s="24"/>
      <c r="D7" s="24"/>
      <c r="E7" s="24"/>
      <c r="F7" s="24"/>
      <c r="G7" s="24"/>
    </row>
    <row r="8" spans="2:15" x14ac:dyDescent="0.3">
      <c r="B8" s="393" t="s">
        <v>404</v>
      </c>
      <c r="C8" s="404"/>
      <c r="D8" s="773">
        <f>'Arable Inputs'!D8</f>
        <v>1.1299999999999999</v>
      </c>
      <c r="E8" s="24"/>
      <c r="F8" s="24"/>
      <c r="G8" s="24"/>
    </row>
    <row r="9" spans="2:15" x14ac:dyDescent="0.3">
      <c r="B9" s="146" t="s">
        <v>297</v>
      </c>
      <c r="C9" s="147" t="s">
        <v>316</v>
      </c>
      <c r="D9" s="772">
        <f>'Arable Inputs'!D9</f>
        <v>0.04</v>
      </c>
      <c r="E9" s="24"/>
      <c r="F9" s="24"/>
      <c r="G9" s="24"/>
    </row>
    <row r="10" spans="2:15" x14ac:dyDescent="0.3">
      <c r="B10" s="146" t="s">
        <v>666</v>
      </c>
      <c r="C10" s="147" t="s">
        <v>599</v>
      </c>
      <c r="D10" s="1000">
        <f>'Arable Inputs'!D10</f>
        <v>175.95</v>
      </c>
      <c r="E10" s="24"/>
      <c r="F10" s="24"/>
      <c r="G10" s="24"/>
    </row>
    <row r="11" spans="2:15" x14ac:dyDescent="0.3">
      <c r="B11" s="24"/>
      <c r="C11" s="24"/>
      <c r="D11" s="24"/>
      <c r="E11" s="24"/>
      <c r="F11" s="24"/>
      <c r="G11" s="24"/>
    </row>
    <row r="12" spans="2:15" x14ac:dyDescent="0.3">
      <c r="B12" s="24"/>
      <c r="C12" s="24"/>
      <c r="D12" s="24"/>
      <c r="E12" s="24"/>
      <c r="F12" s="24"/>
      <c r="G12" s="24"/>
    </row>
    <row r="13" spans="2:15" x14ac:dyDescent="0.3">
      <c r="B13" s="51" t="s">
        <v>245</v>
      </c>
      <c r="C13" s="44"/>
      <c r="D13" s="44"/>
      <c r="E13" s="44"/>
      <c r="F13" s="44"/>
      <c r="G13" s="44"/>
    </row>
    <row r="14" spans="2:15" x14ac:dyDescent="0.3">
      <c r="B14" s="24"/>
      <c r="C14" s="24"/>
      <c r="D14" s="24"/>
      <c r="E14" s="24"/>
      <c r="F14" s="24"/>
      <c r="G14" s="24"/>
    </row>
    <row r="15" spans="2:15" x14ac:dyDescent="0.3">
      <c r="B15" s="102"/>
      <c r="C15" s="102"/>
      <c r="D15" s="150" t="s">
        <v>94</v>
      </c>
      <c r="E15" s="150" t="s">
        <v>95</v>
      </c>
      <c r="F15" s="151" t="s">
        <v>246</v>
      </c>
      <c r="G15" s="151" t="s">
        <v>451</v>
      </c>
      <c r="O15" s="39"/>
    </row>
    <row r="16" spans="2:15" x14ac:dyDescent="0.3">
      <c r="B16" s="146" t="s">
        <v>299</v>
      </c>
      <c r="C16" s="48" t="s">
        <v>258</v>
      </c>
      <c r="D16" s="587">
        <v>16</v>
      </c>
      <c r="E16" s="587">
        <v>16</v>
      </c>
      <c r="F16" s="587">
        <v>16</v>
      </c>
      <c r="G16" s="587">
        <v>16</v>
      </c>
    </row>
    <row r="17" spans="2:10" x14ac:dyDescent="0.3">
      <c r="B17" s="146" t="s">
        <v>373</v>
      </c>
      <c r="C17" s="48" t="s">
        <v>258</v>
      </c>
      <c r="D17" s="897">
        <v>4</v>
      </c>
      <c r="E17" s="897">
        <v>1</v>
      </c>
      <c r="F17" s="897">
        <v>1</v>
      </c>
      <c r="G17" s="897">
        <v>2</v>
      </c>
    </row>
    <row r="18" spans="2:10" x14ac:dyDescent="0.3">
      <c r="B18" s="46" t="s">
        <v>374</v>
      </c>
      <c r="C18" s="65" t="s">
        <v>258</v>
      </c>
      <c r="D18" s="588">
        <v>3</v>
      </c>
      <c r="E18" s="588">
        <v>1</v>
      </c>
      <c r="F18" s="588">
        <v>1</v>
      </c>
      <c r="G18" s="588">
        <v>1</v>
      </c>
    </row>
    <row r="20" spans="2:10" x14ac:dyDescent="0.3">
      <c r="B20" s="24"/>
      <c r="C20" s="24"/>
      <c r="D20" s="24"/>
      <c r="E20" s="24"/>
      <c r="F20" s="24"/>
      <c r="G20" s="24"/>
    </row>
    <row r="21" spans="2:10" x14ac:dyDescent="0.3">
      <c r="B21" s="51" t="s">
        <v>247</v>
      </c>
      <c r="C21" s="44"/>
      <c r="D21" s="44"/>
      <c r="E21" s="44"/>
      <c r="F21" s="44"/>
      <c r="G21" s="44"/>
      <c r="H21" s="967" t="s">
        <v>586</v>
      </c>
    </row>
    <row r="22" spans="2:10" x14ac:dyDescent="0.3">
      <c r="B22" s="24"/>
      <c r="C22" s="24"/>
      <c r="D22" s="24"/>
      <c r="E22" s="24"/>
      <c r="F22" s="24"/>
      <c r="G22" s="24"/>
      <c r="H22" s="967"/>
    </row>
    <row r="23" spans="2:10" x14ac:dyDescent="0.3">
      <c r="B23" s="24"/>
      <c r="C23" s="24"/>
      <c r="D23" s="150" t="s">
        <v>94</v>
      </c>
      <c r="E23" s="150" t="s">
        <v>95</v>
      </c>
      <c r="F23" s="151" t="s">
        <v>96</v>
      </c>
      <c r="G23" s="151" t="s">
        <v>451</v>
      </c>
      <c r="H23" s="967"/>
    </row>
    <row r="24" spans="2:10" x14ac:dyDescent="0.3">
      <c r="B24" s="968" t="s">
        <v>587</v>
      </c>
      <c r="C24" s="44" t="s">
        <v>92</v>
      </c>
      <c r="D24" s="966">
        <v>30</v>
      </c>
      <c r="E24" s="966">
        <v>12.54</v>
      </c>
      <c r="F24" s="966">
        <v>11.617000000000001</v>
      </c>
      <c r="G24" s="966">
        <v>16.3</v>
      </c>
      <c r="H24" s="967"/>
      <c r="I24" s="876"/>
      <c r="J24" s="876"/>
    </row>
    <row r="25" spans="2:10" ht="14.25" customHeight="1" x14ac:dyDescent="0.3">
      <c r="B25" s="24" t="s">
        <v>259</v>
      </c>
      <c r="C25" s="24"/>
      <c r="D25" s="24"/>
      <c r="E25" s="24"/>
      <c r="F25" s="24"/>
      <c r="G25" s="24"/>
      <c r="H25" s="967"/>
    </row>
    <row r="26" spans="2:10" x14ac:dyDescent="0.3">
      <c r="B26" s="24"/>
      <c r="C26" s="24"/>
      <c r="D26" s="24"/>
      <c r="E26" s="24"/>
      <c r="F26" s="24"/>
      <c r="G26" s="24"/>
      <c r="H26" s="967"/>
    </row>
    <row r="27" spans="2:10" x14ac:dyDescent="0.3">
      <c r="B27" s="51" t="s">
        <v>567</v>
      </c>
      <c r="C27" s="44"/>
      <c r="D27" s="44"/>
      <c r="E27" s="44"/>
      <c r="F27" s="44"/>
      <c r="G27" s="44"/>
      <c r="H27" s="967"/>
    </row>
    <row r="28" spans="2:10" x14ac:dyDescent="0.3">
      <c r="B28" s="24"/>
      <c r="C28" s="24"/>
      <c r="D28" s="24"/>
      <c r="E28" s="24"/>
      <c r="F28" s="24"/>
      <c r="G28" s="24"/>
      <c r="H28" s="967"/>
    </row>
    <row r="29" spans="2:10" x14ac:dyDescent="0.3">
      <c r="B29" s="24"/>
      <c r="C29" s="926" t="s">
        <v>569</v>
      </c>
      <c r="D29" s="150" t="s">
        <v>94</v>
      </c>
      <c r="E29" s="150" t="s">
        <v>95</v>
      </c>
      <c r="F29" s="151" t="s">
        <v>96</v>
      </c>
      <c r="G29" s="151" t="s">
        <v>451</v>
      </c>
      <c r="H29" s="967"/>
    </row>
    <row r="30" spans="2:10" x14ac:dyDescent="0.3">
      <c r="B30" s="146" t="s">
        <v>568</v>
      </c>
      <c r="C30" s="150">
        <v>1</v>
      </c>
      <c r="D30" s="923"/>
      <c r="E30" s="923">
        <v>4.784688995215311E-2</v>
      </c>
      <c r="F30" s="923">
        <v>0.1761785888496743</v>
      </c>
      <c r="G30" s="923">
        <v>0</v>
      </c>
      <c r="H30" s="967"/>
    </row>
    <row r="31" spans="2:10" x14ac:dyDescent="0.3">
      <c r="B31" s="24"/>
      <c r="C31" s="925">
        <v>2</v>
      </c>
      <c r="D31" s="924"/>
      <c r="E31" s="924">
        <v>0.31299840510366833</v>
      </c>
      <c r="F31" s="924">
        <v>0.71188775071016608</v>
      </c>
      <c r="G31" s="924">
        <v>0.60940695296523517</v>
      </c>
      <c r="H31" s="967"/>
    </row>
    <row r="32" spans="2:10" x14ac:dyDescent="0.3">
      <c r="B32" s="24"/>
      <c r="C32" s="150">
        <v>3</v>
      </c>
      <c r="D32" s="924"/>
      <c r="E32" s="924">
        <v>0.88516746411483238</v>
      </c>
      <c r="F32" s="924">
        <v>0.94057559323979223</v>
      </c>
      <c r="G32" s="924">
        <v>0.90184049079754602</v>
      </c>
      <c r="H32" s="967"/>
    </row>
    <row r="33" spans="2:8" x14ac:dyDescent="0.3">
      <c r="B33" s="24"/>
      <c r="C33" s="925">
        <v>4</v>
      </c>
      <c r="D33" s="924">
        <v>1</v>
      </c>
      <c r="E33" s="924">
        <v>1</v>
      </c>
      <c r="F33" s="924">
        <v>1</v>
      </c>
      <c r="G33" s="924">
        <v>0.96523517382413093</v>
      </c>
      <c r="H33" s="967"/>
    </row>
    <row r="34" spans="2:8" x14ac:dyDescent="0.3">
      <c r="B34" s="24"/>
      <c r="C34" s="150">
        <v>5</v>
      </c>
      <c r="D34" s="924"/>
      <c r="E34" s="924">
        <v>1</v>
      </c>
      <c r="F34" s="924">
        <v>1</v>
      </c>
      <c r="G34" s="924">
        <v>1</v>
      </c>
      <c r="H34" s="967"/>
    </row>
    <row r="35" spans="2:8" x14ac:dyDescent="0.3">
      <c r="B35" s="24"/>
      <c r="C35" s="925">
        <v>6</v>
      </c>
      <c r="D35" s="924"/>
      <c r="E35" s="924">
        <v>1</v>
      </c>
      <c r="F35" s="924">
        <v>1</v>
      </c>
      <c r="G35" s="924">
        <v>1</v>
      </c>
      <c r="H35" s="967"/>
    </row>
    <row r="36" spans="2:8" x14ac:dyDescent="0.3">
      <c r="B36" s="24"/>
      <c r="C36" s="150">
        <v>7</v>
      </c>
      <c r="D36" s="924">
        <v>1</v>
      </c>
      <c r="E36" s="924">
        <v>1</v>
      </c>
      <c r="F36" s="924">
        <v>1</v>
      </c>
      <c r="G36" s="924">
        <v>1</v>
      </c>
      <c r="H36" s="967"/>
    </row>
    <row r="37" spans="2:8" x14ac:dyDescent="0.3">
      <c r="B37" s="24"/>
      <c r="C37" s="925">
        <v>8</v>
      </c>
      <c r="D37" s="924"/>
      <c r="E37" s="924">
        <v>1</v>
      </c>
      <c r="F37" s="924">
        <v>1</v>
      </c>
      <c r="G37" s="924">
        <v>1</v>
      </c>
      <c r="H37" s="967"/>
    </row>
    <row r="38" spans="2:8" x14ac:dyDescent="0.3">
      <c r="B38" s="24"/>
      <c r="C38" s="150">
        <v>9</v>
      </c>
      <c r="D38" s="924"/>
      <c r="E38" s="924">
        <v>1</v>
      </c>
      <c r="F38" s="924">
        <v>1</v>
      </c>
      <c r="G38" s="924">
        <v>1</v>
      </c>
      <c r="H38" s="967"/>
    </row>
    <row r="39" spans="2:8" x14ac:dyDescent="0.3">
      <c r="B39" s="24"/>
      <c r="C39" s="925">
        <v>10</v>
      </c>
      <c r="D39" s="924">
        <v>1</v>
      </c>
      <c r="E39" s="924">
        <v>1</v>
      </c>
      <c r="F39" s="924">
        <v>1</v>
      </c>
      <c r="G39" s="924">
        <v>1</v>
      </c>
      <c r="H39" s="967"/>
    </row>
    <row r="40" spans="2:8" x14ac:dyDescent="0.3">
      <c r="B40" s="24"/>
      <c r="C40" s="150">
        <v>11</v>
      </c>
      <c r="D40" s="924"/>
      <c r="E40" s="924">
        <v>1</v>
      </c>
      <c r="F40" s="924">
        <v>1</v>
      </c>
      <c r="G40" s="924">
        <v>1</v>
      </c>
      <c r="H40" s="967"/>
    </row>
    <row r="41" spans="2:8" x14ac:dyDescent="0.3">
      <c r="B41" s="24"/>
      <c r="C41" s="925">
        <v>12</v>
      </c>
      <c r="D41" s="924"/>
      <c r="E41" s="924">
        <v>1</v>
      </c>
      <c r="F41" s="924">
        <v>1</v>
      </c>
      <c r="G41" s="924">
        <v>1</v>
      </c>
      <c r="H41" s="967"/>
    </row>
    <row r="42" spans="2:8" x14ac:dyDescent="0.3">
      <c r="B42" s="24"/>
      <c r="C42" s="150">
        <v>13</v>
      </c>
      <c r="D42" s="924">
        <v>1</v>
      </c>
      <c r="E42" s="924">
        <v>1</v>
      </c>
      <c r="F42" s="924">
        <v>1</v>
      </c>
      <c r="G42" s="924">
        <v>1</v>
      </c>
      <c r="H42" s="967"/>
    </row>
    <row r="43" spans="2:8" x14ac:dyDescent="0.3">
      <c r="B43" s="24"/>
      <c r="C43" s="925">
        <v>14</v>
      </c>
      <c r="D43" s="924"/>
      <c r="E43" s="924">
        <v>1</v>
      </c>
      <c r="F43" s="924">
        <v>1</v>
      </c>
      <c r="G43" s="924">
        <v>1</v>
      </c>
      <c r="H43" s="967"/>
    </row>
    <row r="44" spans="2:8" x14ac:dyDescent="0.3">
      <c r="B44" s="24"/>
      <c r="C44" s="150">
        <v>15</v>
      </c>
      <c r="D44" s="924"/>
      <c r="E44" s="924">
        <v>1</v>
      </c>
      <c r="F44" s="924">
        <v>1</v>
      </c>
      <c r="G44" s="924">
        <v>1</v>
      </c>
      <c r="H44" s="967"/>
    </row>
    <row r="45" spans="2:8" x14ac:dyDescent="0.3">
      <c r="B45" s="24"/>
      <c r="C45" s="925">
        <v>16</v>
      </c>
      <c r="D45" s="924">
        <v>1</v>
      </c>
      <c r="E45" s="924">
        <v>1</v>
      </c>
      <c r="F45" s="924">
        <v>1</v>
      </c>
      <c r="G45" s="924">
        <v>1</v>
      </c>
      <c r="H45" s="967"/>
    </row>
    <row r="46" spans="2:8" x14ac:dyDescent="0.3">
      <c r="B46" s="24" t="s">
        <v>570</v>
      </c>
      <c r="C46" s="24"/>
      <c r="D46" s="24"/>
      <c r="E46" s="24"/>
      <c r="F46" s="24"/>
      <c r="G46" s="24"/>
    </row>
    <row r="47" spans="2:8" x14ac:dyDescent="0.3">
      <c r="B47" s="24"/>
      <c r="C47" s="24"/>
      <c r="D47" s="24"/>
      <c r="E47" s="24"/>
      <c r="F47" s="24"/>
      <c r="G47" s="24"/>
    </row>
    <row r="48" spans="2:8" x14ac:dyDescent="0.3">
      <c r="B48" s="51" t="s">
        <v>248</v>
      </c>
      <c r="C48" s="44"/>
      <c r="D48" s="44"/>
      <c r="E48" s="44"/>
      <c r="F48" s="44"/>
      <c r="G48" s="44"/>
    </row>
    <row r="49" spans="2:12" x14ac:dyDescent="0.3">
      <c r="B49" s="24"/>
      <c r="C49" s="24"/>
      <c r="D49" s="24"/>
      <c r="E49" s="24"/>
      <c r="F49" s="24"/>
      <c r="G49" s="24"/>
    </row>
    <row r="50" spans="2:12" x14ac:dyDescent="0.3">
      <c r="B50" s="24"/>
      <c r="C50" s="24"/>
      <c r="D50" s="150" t="s">
        <v>94</v>
      </c>
      <c r="E50" s="150" t="s">
        <v>95</v>
      </c>
      <c r="F50" s="151" t="s">
        <v>96</v>
      </c>
      <c r="G50" s="151" t="s">
        <v>451</v>
      </c>
      <c r="I50" s="24"/>
      <c r="J50" s="24"/>
      <c r="K50" s="24"/>
      <c r="L50" s="24"/>
    </row>
    <row r="51" spans="2:12" x14ac:dyDescent="0.3">
      <c r="B51" s="146" t="s">
        <v>249</v>
      </c>
      <c r="C51" s="48" t="s">
        <v>607</v>
      </c>
      <c r="D51" s="585"/>
      <c r="E51" s="586"/>
      <c r="F51" s="586">
        <f>350/1000</f>
        <v>0.35</v>
      </c>
      <c r="G51" s="587">
        <f>590</f>
        <v>590</v>
      </c>
      <c r="I51" s="24"/>
      <c r="J51" s="24"/>
      <c r="K51" s="24"/>
      <c r="L51" s="24"/>
    </row>
    <row r="52" spans="2:12" ht="14.25" customHeight="1" x14ac:dyDescent="0.3">
      <c r="B52" s="24"/>
      <c r="C52" s="24"/>
      <c r="D52" s="24"/>
      <c r="E52" s="24"/>
      <c r="F52" s="24"/>
      <c r="G52" s="24"/>
    </row>
    <row r="53" spans="2:12" x14ac:dyDescent="0.3">
      <c r="B53" s="24"/>
      <c r="C53" s="24"/>
      <c r="D53" s="24"/>
      <c r="E53" s="24"/>
      <c r="F53" s="24"/>
      <c r="G53" s="24"/>
    </row>
    <row r="54" spans="2:12" x14ac:dyDescent="0.3">
      <c r="B54" s="24"/>
      <c r="C54" s="24"/>
      <c r="D54" s="24"/>
      <c r="E54" s="24"/>
      <c r="F54" s="24"/>
      <c r="G54" s="24"/>
    </row>
    <row r="55" spans="2:12" x14ac:dyDescent="0.3">
      <c r="B55" s="51" t="s">
        <v>250</v>
      </c>
      <c r="C55" s="44"/>
      <c r="D55" s="44"/>
      <c r="E55" s="44"/>
      <c r="F55" s="44"/>
      <c r="G55" s="44"/>
    </row>
    <row r="56" spans="2:12" x14ac:dyDescent="0.3">
      <c r="B56" s="24"/>
      <c r="C56" s="24"/>
      <c r="D56" s="24"/>
      <c r="E56" s="24"/>
      <c r="F56" s="24"/>
      <c r="G56" s="24"/>
    </row>
    <row r="57" spans="2:12" x14ac:dyDescent="0.3">
      <c r="B57" s="102"/>
      <c r="C57" s="102"/>
      <c r="D57" s="150" t="s">
        <v>94</v>
      </c>
      <c r="E57" s="150" t="s">
        <v>95</v>
      </c>
      <c r="F57" s="151" t="s">
        <v>96</v>
      </c>
      <c r="G57" s="151" t="s">
        <v>451</v>
      </c>
    </row>
    <row r="58" spans="2:12" x14ac:dyDescent="0.3">
      <c r="B58" s="146" t="s">
        <v>251</v>
      </c>
      <c r="C58" s="48" t="s">
        <v>608</v>
      </c>
      <c r="D58" s="898">
        <v>72</v>
      </c>
      <c r="E58" s="898">
        <v>72</v>
      </c>
      <c r="F58" s="898">
        <v>72</v>
      </c>
      <c r="G58" s="815">
        <v>72</v>
      </c>
    </row>
    <row r="59" spans="2:12" x14ac:dyDescent="0.3">
      <c r="B59" s="24" t="s">
        <v>261</v>
      </c>
      <c r="C59" s="24"/>
      <c r="D59" s="24"/>
      <c r="E59" s="24"/>
      <c r="F59" s="24"/>
      <c r="G59" s="24"/>
    </row>
    <row r="60" spans="2:12" x14ac:dyDescent="0.3">
      <c r="B60" s="24" t="s">
        <v>262</v>
      </c>
      <c r="C60" s="24"/>
      <c r="D60" s="24"/>
      <c r="E60" s="24"/>
      <c r="F60" s="24"/>
      <c r="G60" s="24"/>
    </row>
    <row r="61" spans="2:12" x14ac:dyDescent="0.3">
      <c r="B61" s="24"/>
      <c r="C61" s="24"/>
      <c r="D61" s="24"/>
      <c r="E61" s="24"/>
      <c r="F61" s="24"/>
      <c r="G61" s="24"/>
    </row>
    <row r="62" spans="2:12" x14ac:dyDescent="0.3">
      <c r="B62" s="51" t="s">
        <v>481</v>
      </c>
      <c r="C62" s="44"/>
      <c r="D62" s="44"/>
      <c r="E62" s="44"/>
      <c r="F62" s="44"/>
      <c r="G62" s="44"/>
    </row>
    <row r="63" spans="2:12" x14ac:dyDescent="0.3">
      <c r="B63" s="24"/>
      <c r="C63" s="24"/>
      <c r="D63" s="24"/>
      <c r="E63" s="24"/>
      <c r="F63" s="24"/>
      <c r="G63" s="24"/>
    </row>
    <row r="64" spans="2:12" x14ac:dyDescent="0.3">
      <c r="B64" s="24"/>
      <c r="C64" s="24"/>
      <c r="D64" s="150" t="s">
        <v>94</v>
      </c>
      <c r="E64" s="150" t="s">
        <v>95</v>
      </c>
      <c r="F64" s="151" t="s">
        <v>96</v>
      </c>
      <c r="G64" s="151" t="s">
        <v>451</v>
      </c>
    </row>
    <row r="65" spans="2:8" x14ac:dyDescent="0.3">
      <c r="B65" s="146" t="s">
        <v>471</v>
      </c>
      <c r="C65" s="48" t="s">
        <v>599</v>
      </c>
      <c r="D65" s="815">
        <f>15000*0.1</f>
        <v>1500</v>
      </c>
      <c r="E65" s="815">
        <f>1190*'Arable Inputs'!D8</f>
        <v>1344.6999999999998</v>
      </c>
      <c r="F65" s="815">
        <f>F51*14000</f>
        <v>4900</v>
      </c>
      <c r="G65" s="815">
        <f>G51*2.5</f>
        <v>1475</v>
      </c>
    </row>
    <row r="66" spans="2:8" x14ac:dyDescent="0.3">
      <c r="B66" s="26"/>
      <c r="C66" s="26"/>
      <c r="D66" s="877"/>
      <c r="E66" s="877"/>
      <c r="F66" s="878"/>
      <c r="G66" s="879"/>
    </row>
    <row r="67" spans="2:8" x14ac:dyDescent="0.3">
      <c r="B67" s="26"/>
      <c r="C67" s="26"/>
      <c r="D67" s="877"/>
      <c r="E67" s="877"/>
      <c r="F67" s="878"/>
      <c r="G67" s="879"/>
    </row>
    <row r="68" spans="2:8" x14ac:dyDescent="0.3">
      <c r="B68" s="385" t="s">
        <v>231</v>
      </c>
      <c r="C68" s="384"/>
      <c r="D68" s="384"/>
      <c r="E68" s="384"/>
      <c r="F68" s="384"/>
      <c r="G68" s="384"/>
      <c r="H68" s="381"/>
    </row>
    <row r="69" spans="2:8" x14ac:dyDescent="0.3">
      <c r="B69" s="26"/>
      <c r="C69" s="26"/>
      <c r="D69" s="877"/>
      <c r="E69" s="877"/>
      <c r="F69" s="878"/>
      <c r="G69" s="879"/>
    </row>
    <row r="70" spans="2:8" x14ac:dyDescent="0.3">
      <c r="B70" s="381"/>
      <c r="C70" s="381"/>
      <c r="D70" s="380" t="s">
        <v>94</v>
      </c>
      <c r="E70" s="380" t="s">
        <v>95</v>
      </c>
      <c r="F70" s="880" t="s">
        <v>96</v>
      </c>
      <c r="G70" s="880" t="s">
        <v>451</v>
      </c>
    </row>
    <row r="71" spans="2:8" x14ac:dyDescent="0.3">
      <c r="B71" s="379" t="s">
        <v>530</v>
      </c>
      <c r="C71" s="402" t="s">
        <v>228</v>
      </c>
      <c r="D71" s="882">
        <v>90</v>
      </c>
      <c r="E71" s="882">
        <v>84</v>
      </c>
      <c r="F71" s="882">
        <v>100</v>
      </c>
      <c r="G71" s="882">
        <v>120</v>
      </c>
    </row>
    <row r="72" spans="2:8" x14ac:dyDescent="0.3">
      <c r="C72" s="399" t="s">
        <v>462</v>
      </c>
      <c r="D72" s="883">
        <v>55</v>
      </c>
      <c r="E72" s="883">
        <v>14</v>
      </c>
      <c r="F72" s="883">
        <v>92</v>
      </c>
      <c r="G72" s="883">
        <v>92</v>
      </c>
    </row>
    <row r="73" spans="2:8" ht="14.5" x14ac:dyDescent="0.35">
      <c r="C73" s="881" t="s">
        <v>463</v>
      </c>
      <c r="D73" s="884">
        <v>72</v>
      </c>
      <c r="E73" s="884">
        <v>120</v>
      </c>
      <c r="F73" s="884">
        <v>84</v>
      </c>
      <c r="G73" s="884">
        <v>90</v>
      </c>
    </row>
    <row r="74" spans="2:8" x14ac:dyDescent="0.3">
      <c r="B74" s="26"/>
      <c r="C74" s="26"/>
      <c r="D74" s="877"/>
      <c r="E74" s="877"/>
      <c r="F74" s="878"/>
      <c r="G74" s="879"/>
    </row>
    <row r="75" spans="2:8" s="39" customFormat="1" x14ac:dyDescent="0.3">
      <c r="B75"/>
      <c r="C75"/>
      <c r="D75"/>
      <c r="E75"/>
      <c r="F75"/>
      <c r="G75"/>
      <c r="H75"/>
    </row>
    <row r="76" spans="2:8" x14ac:dyDescent="0.3">
      <c r="B76" s="51" t="s">
        <v>252</v>
      </c>
      <c r="C76" s="44"/>
      <c r="D76" s="44"/>
      <c r="E76" s="44"/>
      <c r="F76" s="44"/>
      <c r="G76" s="44"/>
    </row>
    <row r="77" spans="2:8" x14ac:dyDescent="0.3">
      <c r="B77" s="24"/>
    </row>
    <row r="78" spans="2:8" x14ac:dyDescent="0.3">
      <c r="B78" s="24"/>
      <c r="C78" s="167"/>
      <c r="D78" s="150" t="s">
        <v>94</v>
      </c>
      <c r="E78" s="150" t="s">
        <v>95</v>
      </c>
      <c r="F78" s="151" t="s">
        <v>96</v>
      </c>
      <c r="G78" s="151" t="s">
        <v>451</v>
      </c>
    </row>
    <row r="79" spans="2:8" x14ac:dyDescent="0.3">
      <c r="B79" s="49" t="s">
        <v>253</v>
      </c>
      <c r="C79" s="148"/>
      <c r="D79" s="152"/>
      <c r="E79" s="152"/>
      <c r="F79" s="152"/>
      <c r="G79" s="174"/>
    </row>
    <row r="80" spans="2:8" x14ac:dyDescent="0.3">
      <c r="B80" s="62" t="s">
        <v>254</v>
      </c>
      <c r="C80" s="170" t="s">
        <v>599</v>
      </c>
      <c r="D80" s="819">
        <f>200*$D$8</f>
        <v>225.99999999999997</v>
      </c>
      <c r="E80" s="819">
        <f>180*$D$8</f>
        <v>203.39999999999998</v>
      </c>
      <c r="F80" s="819">
        <f>180*$D$8</f>
        <v>203.39999999999998</v>
      </c>
      <c r="G80" s="819">
        <f>180*$D$8</f>
        <v>203.39999999999998</v>
      </c>
    </row>
    <row r="81" spans="2:9" x14ac:dyDescent="0.3">
      <c r="B81" s="41" t="s">
        <v>533</v>
      </c>
      <c r="C81" s="171" t="s">
        <v>599</v>
      </c>
      <c r="D81" s="583">
        <f>'Energy margins'!J40</f>
        <v>130.822</v>
      </c>
      <c r="E81" s="583">
        <f>'Energy margins'!Q40</f>
        <v>102.83600000000001</v>
      </c>
      <c r="F81" s="583">
        <f>'Energy margins'!X40</f>
        <v>176.60399999999998</v>
      </c>
      <c r="G81" s="583">
        <f>'Energy margins'!AE40</f>
        <v>190.61</v>
      </c>
    </row>
    <row r="82" spans="2:9" x14ac:dyDescent="0.3">
      <c r="B82" s="41" t="s">
        <v>477</v>
      </c>
      <c r="C82" s="171" t="s">
        <v>599</v>
      </c>
      <c r="D82" s="583">
        <f>'Energy fixed costs'!G85</f>
        <v>19.974783999999993</v>
      </c>
      <c r="E82" s="583">
        <f>'Energy fixed costs'!L85</f>
        <v>19.974783999999993</v>
      </c>
      <c r="F82" s="583">
        <f>'Energy fixed costs'!Q85</f>
        <v>19.974783999999993</v>
      </c>
      <c r="G82" s="583">
        <f>'Energy fixed costs'!V85</f>
        <v>19.974783999999993</v>
      </c>
    </row>
    <row r="83" spans="2:9" x14ac:dyDescent="0.3">
      <c r="B83" s="41" t="s">
        <v>534</v>
      </c>
      <c r="C83" s="171" t="s">
        <v>599</v>
      </c>
      <c r="D83" s="583">
        <f>200*$D$8</f>
        <v>225.99999999999997</v>
      </c>
      <c r="E83" s="583">
        <f>120*$D$8</f>
        <v>135.6</v>
      </c>
      <c r="F83" s="583">
        <f>120*$D$8</f>
        <v>135.6</v>
      </c>
      <c r="G83" s="583">
        <f>120*$D$8</f>
        <v>135.6</v>
      </c>
    </row>
    <row r="84" spans="2:9" x14ac:dyDescent="0.3">
      <c r="B84" s="41" t="s">
        <v>549</v>
      </c>
      <c r="C84" s="171" t="s">
        <v>599</v>
      </c>
      <c r="D84" s="583">
        <f>'Energy fixed costs'!G72</f>
        <v>45.561599999999999</v>
      </c>
      <c r="E84" s="583">
        <f>'Energy fixed costs'!L72</f>
        <v>45.561599999999999</v>
      </c>
      <c r="F84" s="583">
        <f>'Energy fixed costs'!Q72</f>
        <v>22.780799999999999</v>
      </c>
      <c r="G84" s="583">
        <f>'Energy fixed costs'!V72</f>
        <v>22.780799999999999</v>
      </c>
    </row>
    <row r="85" spans="2:9" x14ac:dyDescent="0.3">
      <c r="B85" s="41" t="s">
        <v>85</v>
      </c>
      <c r="C85" s="171" t="s">
        <v>599</v>
      </c>
      <c r="D85" s="583">
        <f>300*'Arable Inputs'!D8</f>
        <v>338.99999999999994</v>
      </c>
      <c r="E85" s="583">
        <f>350*'Arable Inputs'!D8</f>
        <v>395.49999999999994</v>
      </c>
      <c r="F85" s="820">
        <f>'Energy fixed costs'!Q54</f>
        <v>142.70769999999999</v>
      </c>
      <c r="G85" s="583">
        <f>45*$D$8</f>
        <v>50.849999999999994</v>
      </c>
    </row>
    <row r="86" spans="2:9" x14ac:dyDescent="0.3">
      <c r="B86" s="41" t="s">
        <v>255</v>
      </c>
      <c r="C86" s="171" t="s">
        <v>599</v>
      </c>
      <c r="D86" s="832" t="s">
        <v>118</v>
      </c>
      <c r="E86" s="832" t="s">
        <v>118</v>
      </c>
      <c r="F86" s="583">
        <f>'Energy fixed costs'!Q62</f>
        <v>136.44749999999999</v>
      </c>
      <c r="G86" s="583">
        <f>'Energy fixed costs'!V62</f>
        <v>136.44749999999999</v>
      </c>
    </row>
    <row r="87" spans="2:9" x14ac:dyDescent="0.3">
      <c r="B87" s="46" t="s">
        <v>474</v>
      </c>
      <c r="C87" s="172" t="s">
        <v>599</v>
      </c>
      <c r="D87" s="821">
        <f>50*$D$8</f>
        <v>56.499999999999993</v>
      </c>
      <c r="E87" s="821">
        <f>20*$D$8</f>
        <v>22.599999999999998</v>
      </c>
      <c r="F87" s="821">
        <f>20*$D$8</f>
        <v>22.599999999999998</v>
      </c>
      <c r="G87" s="821">
        <f>20*$D$8</f>
        <v>22.599999999999998</v>
      </c>
      <c r="I87" s="984"/>
    </row>
    <row r="88" spans="2:9" x14ac:dyDescent="0.3">
      <c r="B88" s="52" t="s">
        <v>256</v>
      </c>
      <c r="C88" s="172"/>
      <c r="D88" s="168"/>
      <c r="E88" s="168"/>
      <c r="F88" s="168"/>
      <c r="G88" s="169"/>
    </row>
    <row r="89" spans="2:9" x14ac:dyDescent="0.3">
      <c r="B89" s="62" t="s">
        <v>254</v>
      </c>
      <c r="C89" s="818" t="s">
        <v>599</v>
      </c>
      <c r="D89" s="828" t="s">
        <v>118</v>
      </c>
      <c r="E89" s="828" t="s">
        <v>118</v>
      </c>
      <c r="F89" s="828" t="s">
        <v>118</v>
      </c>
      <c r="G89" s="828" t="s">
        <v>118</v>
      </c>
    </row>
    <row r="90" spans="2:9" x14ac:dyDescent="0.3">
      <c r="B90" s="41" t="s">
        <v>33</v>
      </c>
      <c r="C90" s="171" t="s">
        <v>599</v>
      </c>
      <c r="D90" s="820">
        <f>'Energy margins'!J58/5</f>
        <v>130.82199999999997</v>
      </c>
      <c r="E90" s="820">
        <f>'Energy margins'!Q58/15</f>
        <v>102.836</v>
      </c>
      <c r="F90" s="820">
        <f>'Energy margins'!X58/15</f>
        <v>176.60399999999998</v>
      </c>
      <c r="G90" s="820">
        <f>'Energy margins'!AE58/15</f>
        <v>190.61</v>
      </c>
    </row>
    <row r="91" spans="2:9" x14ac:dyDescent="0.3">
      <c r="B91" s="41" t="s">
        <v>477</v>
      </c>
      <c r="C91" s="171" t="s">
        <v>599</v>
      </c>
      <c r="D91" s="583">
        <f>'Energy fixed costs'!G101</f>
        <v>19.974783999999993</v>
      </c>
      <c r="E91" s="583">
        <f>'Energy fixed costs'!L101</f>
        <v>19.974783999999993</v>
      </c>
      <c r="F91" s="583">
        <f>'Energy fixed costs'!Q101</f>
        <v>19.974783999999993</v>
      </c>
      <c r="G91" s="583">
        <f>'Energy fixed costs'!V101</f>
        <v>19.974783999999993</v>
      </c>
    </row>
    <row r="92" spans="2:9" x14ac:dyDescent="0.3">
      <c r="B92" s="41" t="s">
        <v>255</v>
      </c>
      <c r="C92" s="171" t="s">
        <v>599</v>
      </c>
      <c r="D92" s="829" t="s">
        <v>118</v>
      </c>
      <c r="E92" s="829" t="s">
        <v>118</v>
      </c>
      <c r="F92" s="583">
        <f>'Energy fixed costs'!Q105</f>
        <v>181.92999999999998</v>
      </c>
      <c r="G92" s="583">
        <f>'Energy fixed costs'!V105</f>
        <v>181.92999999999998</v>
      </c>
    </row>
    <row r="93" spans="2:9" x14ac:dyDescent="0.3">
      <c r="B93" s="41" t="s">
        <v>548</v>
      </c>
      <c r="C93" s="171" t="s">
        <v>599</v>
      </c>
      <c r="D93" s="1014">
        <f>D83/2</f>
        <v>112.99999999999999</v>
      </c>
      <c r="E93" s="829">
        <f>E83/2</f>
        <v>67.8</v>
      </c>
      <c r="F93" s="832" t="s">
        <v>118</v>
      </c>
      <c r="G93" s="832" t="s">
        <v>118</v>
      </c>
    </row>
    <row r="94" spans="2:9" x14ac:dyDescent="0.3">
      <c r="B94" s="41" t="s">
        <v>550</v>
      </c>
      <c r="C94" s="171" t="s">
        <v>599</v>
      </c>
      <c r="D94" s="583">
        <f>'Energy fixed costs'!G115</f>
        <v>45.561599999999999</v>
      </c>
      <c r="E94" s="583">
        <f>'Energy fixed costs'!L115</f>
        <v>45.561599999999999</v>
      </c>
      <c r="F94" s="584" t="s">
        <v>118</v>
      </c>
      <c r="G94" s="584" t="s">
        <v>118</v>
      </c>
    </row>
    <row r="95" spans="2:9" x14ac:dyDescent="0.3">
      <c r="B95" s="41" t="s">
        <v>182</v>
      </c>
      <c r="C95" s="171" t="s">
        <v>599</v>
      </c>
      <c r="D95" s="583">
        <f>450*$D$8</f>
        <v>508.49999999999994</v>
      </c>
      <c r="E95" s="584" t="s">
        <v>118</v>
      </c>
      <c r="F95" s="822">
        <f>100*$D$8</f>
        <v>112.99999999999999</v>
      </c>
      <c r="G95" s="820" t="s">
        <v>118</v>
      </c>
    </row>
    <row r="96" spans="2:9" x14ac:dyDescent="0.3">
      <c r="B96" s="41" t="s">
        <v>475</v>
      </c>
      <c r="C96" s="171" t="s">
        <v>599</v>
      </c>
      <c r="D96" s="584" t="s">
        <v>118</v>
      </c>
      <c r="E96" s="583">
        <f>270.5</f>
        <v>270.5</v>
      </c>
      <c r="F96" s="584" t="s">
        <v>118</v>
      </c>
      <c r="G96" s="584" t="s">
        <v>118</v>
      </c>
    </row>
    <row r="97" spans="2:7" x14ac:dyDescent="0.3">
      <c r="B97" s="41" t="s">
        <v>476</v>
      </c>
      <c r="C97" s="171" t="s">
        <v>599</v>
      </c>
      <c r="D97" s="584" t="s">
        <v>118</v>
      </c>
      <c r="E97" s="584" t="s">
        <v>118</v>
      </c>
      <c r="F97" s="584" t="s">
        <v>118</v>
      </c>
      <c r="G97" s="583">
        <f>175*$D$8</f>
        <v>197.74999999999997</v>
      </c>
    </row>
    <row r="98" spans="2:7" x14ac:dyDescent="0.3">
      <c r="B98" s="46" t="s">
        <v>257</v>
      </c>
      <c r="C98" s="172" t="s">
        <v>599</v>
      </c>
      <c r="D98" s="821">
        <f>170*$D$8</f>
        <v>192.1</v>
      </c>
      <c r="E98" s="821">
        <f>170*$D$8</f>
        <v>192.1</v>
      </c>
      <c r="F98" s="821">
        <f>170*$D$8</f>
        <v>192.1</v>
      </c>
      <c r="G98" s="821">
        <f>170*$D$8</f>
        <v>192.1</v>
      </c>
    </row>
    <row r="101" spans="2:7" x14ac:dyDescent="0.3">
      <c r="C101" s="24"/>
    </row>
    <row r="102" spans="2:7" x14ac:dyDescent="0.3">
      <c r="C102" s="24"/>
    </row>
    <row r="103" spans="2:7" x14ac:dyDescent="0.3">
      <c r="C103" s="24"/>
    </row>
    <row r="104" spans="2:7" x14ac:dyDescent="0.3">
      <c r="C104" s="24"/>
    </row>
    <row r="105" spans="2:7" x14ac:dyDescent="0.3">
      <c r="C105" s="24"/>
    </row>
    <row r="106" spans="2:7" x14ac:dyDescent="0.3">
      <c r="C106" s="24"/>
    </row>
    <row r="110" spans="2:7" x14ac:dyDescent="0.3">
      <c r="G110" s="10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46"/>
  <sheetViews>
    <sheetView topLeftCell="C56" zoomScale="110" zoomScaleNormal="110" workbookViewId="0">
      <selection activeCell="W92" sqref="W92"/>
    </sheetView>
  </sheetViews>
  <sheetFormatPr defaultColWidth="9" defaultRowHeight="14" x14ac:dyDescent="0.3"/>
  <cols>
    <col min="2" max="2" width="45" customWidth="1"/>
    <col min="5" max="5" width="4.08203125" customWidth="1"/>
    <col min="10" max="10" width="4.08203125" customWidth="1"/>
    <col min="15" max="15" width="4.08203125" customWidth="1"/>
    <col min="20" max="20" width="4.08203125" customWidth="1"/>
  </cols>
  <sheetData>
    <row r="1" spans="2:24" ht="14.5" thickBot="1" x14ac:dyDescent="0.35"/>
    <row r="2" spans="2:24" ht="14.5" thickBot="1" x14ac:dyDescent="0.35">
      <c r="B2" s="302" t="s">
        <v>617</v>
      </c>
    </row>
    <row r="3" spans="2:24" x14ac:dyDescent="0.3">
      <c r="B3" s="128"/>
      <c r="F3" s="70"/>
      <c r="M3" s="70"/>
      <c r="N3" s="69"/>
    </row>
    <row r="4" spans="2:24" x14ac:dyDescent="0.3">
      <c r="B4" s="129" t="s">
        <v>40</v>
      </c>
      <c r="C4" s="130">
        <f>'Arable Inputs'!D31</f>
        <v>14.99</v>
      </c>
      <c r="F4" s="70"/>
      <c r="G4" s="69"/>
      <c r="I4" s="70"/>
      <c r="J4" s="70"/>
      <c r="K4" s="69"/>
      <c r="M4" s="70"/>
      <c r="N4" s="69"/>
    </row>
    <row r="6" spans="2:24" x14ac:dyDescent="0.3">
      <c r="B6" s="21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</row>
    <row r="7" spans="2:24" x14ac:dyDescent="0.3">
      <c r="B7" s="47"/>
      <c r="C7" s="47"/>
      <c r="D7" s="47"/>
      <c r="E7" s="139"/>
      <c r="F7" s="51" t="s">
        <v>94</v>
      </c>
      <c r="G7" s="44"/>
      <c r="H7" s="44"/>
      <c r="I7" s="44"/>
      <c r="J7" s="139"/>
      <c r="K7" s="42" t="s">
        <v>95</v>
      </c>
      <c r="L7" s="44"/>
      <c r="M7" s="44"/>
      <c r="N7" s="48"/>
      <c r="O7" s="44"/>
      <c r="P7" s="183" t="s">
        <v>96</v>
      </c>
      <c r="Q7" s="44"/>
      <c r="R7" s="44"/>
      <c r="S7" s="48"/>
      <c r="T7" s="44"/>
      <c r="U7" s="183" t="s">
        <v>451</v>
      </c>
      <c r="V7" s="44"/>
      <c r="W7" s="44"/>
      <c r="X7" s="48"/>
    </row>
    <row r="8" spans="2:24" ht="22.5" customHeight="1" x14ac:dyDescent="0.3">
      <c r="B8" s="103"/>
      <c r="C8" s="26"/>
      <c r="D8" s="26"/>
      <c r="E8" s="135"/>
      <c r="F8" s="1056" t="s">
        <v>38</v>
      </c>
      <c r="G8" s="1059"/>
      <c r="H8" s="1057">
        <f>H36</f>
        <v>4.9499999999999993</v>
      </c>
      <c r="I8" s="1060"/>
      <c r="J8" s="140"/>
      <c r="K8" s="1055" t="s">
        <v>38</v>
      </c>
      <c r="L8" s="1061"/>
      <c r="M8" s="1057">
        <f>M36</f>
        <v>4.9499999999999993</v>
      </c>
      <c r="N8" s="1058"/>
      <c r="O8" s="132"/>
      <c r="P8" s="1055" t="s">
        <v>38</v>
      </c>
      <c r="Q8" s="1056"/>
      <c r="R8" s="1057">
        <f>R36</f>
        <v>6</v>
      </c>
      <c r="S8" s="1058"/>
      <c r="T8" s="132"/>
      <c r="U8" s="1055" t="s">
        <v>38</v>
      </c>
      <c r="V8" s="1056"/>
      <c r="W8" s="1057">
        <f>W36</f>
        <v>6</v>
      </c>
      <c r="X8" s="1057"/>
    </row>
    <row r="9" spans="2:24" ht="22.5" customHeight="1" x14ac:dyDescent="0.3">
      <c r="B9" s="45"/>
      <c r="C9" s="26"/>
      <c r="D9" s="26"/>
      <c r="E9" s="135"/>
      <c r="F9" s="1050" t="s">
        <v>37</v>
      </c>
      <c r="G9" s="1053"/>
      <c r="H9" s="1051">
        <f>I36</f>
        <v>74.200500000000005</v>
      </c>
      <c r="I9" s="1054"/>
      <c r="J9" s="141"/>
      <c r="K9" s="1049" t="s">
        <v>37</v>
      </c>
      <c r="L9" s="1050"/>
      <c r="M9" s="1051">
        <f>N36</f>
        <v>74.200500000000005</v>
      </c>
      <c r="N9" s="1052"/>
      <c r="O9" s="133"/>
      <c r="P9" s="1049" t="s">
        <v>37</v>
      </c>
      <c r="Q9" s="1050"/>
      <c r="R9" s="1051">
        <f>S36</f>
        <v>89.940000000000012</v>
      </c>
      <c r="S9" s="1052"/>
      <c r="T9" s="133"/>
      <c r="U9" s="1049" t="s">
        <v>37</v>
      </c>
      <c r="V9" s="1050"/>
      <c r="W9" s="1051">
        <f>X36</f>
        <v>89.940000000000012</v>
      </c>
      <c r="X9" s="1051"/>
    </row>
    <row r="10" spans="2:24" ht="22.5" customHeight="1" x14ac:dyDescent="0.3">
      <c r="B10" s="45" t="s">
        <v>242</v>
      </c>
      <c r="C10" s="25"/>
      <c r="D10" s="26"/>
      <c r="E10" s="135"/>
      <c r="F10" s="1050" t="s">
        <v>36</v>
      </c>
      <c r="G10" s="1053"/>
      <c r="H10" s="1051">
        <f>G36</f>
        <v>200</v>
      </c>
      <c r="I10" s="1054"/>
      <c r="J10" s="141"/>
      <c r="K10" s="1049" t="s">
        <v>36</v>
      </c>
      <c r="L10" s="1050"/>
      <c r="M10" s="1051">
        <f>L36</f>
        <v>180</v>
      </c>
      <c r="N10" s="1052"/>
      <c r="O10" s="133"/>
      <c r="P10" s="1049" t="s">
        <v>36</v>
      </c>
      <c r="Q10" s="1050"/>
      <c r="R10" s="1051">
        <f>Q36</f>
        <v>180</v>
      </c>
      <c r="S10" s="1052"/>
      <c r="T10" s="133"/>
      <c r="U10" s="1049" t="s">
        <v>36</v>
      </c>
      <c r="V10" s="1050"/>
      <c r="W10" s="1051">
        <f>V36</f>
        <v>180</v>
      </c>
      <c r="X10" s="1051"/>
    </row>
    <row r="11" spans="2:24" ht="22.5" customHeight="1" x14ac:dyDescent="0.3">
      <c r="B11" s="41"/>
      <c r="C11" s="47"/>
      <c r="D11" s="47"/>
      <c r="E11" s="137"/>
      <c r="F11" s="1042" t="s">
        <v>39</v>
      </c>
      <c r="G11" s="1043"/>
      <c r="H11" s="1044">
        <f>H10-H9</f>
        <v>125.79949999999999</v>
      </c>
      <c r="I11" s="1045"/>
      <c r="J11" s="142"/>
      <c r="K11" s="1046" t="s">
        <v>39</v>
      </c>
      <c r="L11" s="1042"/>
      <c r="M11" s="1044">
        <f>M10-M9</f>
        <v>105.79949999999999</v>
      </c>
      <c r="N11" s="1047"/>
      <c r="O11" s="364"/>
      <c r="P11" s="1046" t="s">
        <v>39</v>
      </c>
      <c r="Q11" s="1042"/>
      <c r="R11" s="1044">
        <f>R10-R9</f>
        <v>90.059999999999988</v>
      </c>
      <c r="S11" s="1047"/>
      <c r="T11" s="364"/>
      <c r="U11" s="1046" t="s">
        <v>39</v>
      </c>
      <c r="V11" s="1048"/>
      <c r="W11" s="1044">
        <f>W10-W9</f>
        <v>90.059999999999988</v>
      </c>
      <c r="X11" s="1044"/>
    </row>
    <row r="12" spans="2:24" x14ac:dyDescent="0.3">
      <c r="B12" s="55"/>
      <c r="C12" s="58" t="s">
        <v>100</v>
      </c>
      <c r="D12" s="134" t="s">
        <v>101</v>
      </c>
      <c r="E12" s="144" t="s">
        <v>243</v>
      </c>
      <c r="F12" s="71" t="s">
        <v>42</v>
      </c>
      <c r="G12" s="72" t="s">
        <v>43</v>
      </c>
      <c r="H12" s="71" t="s">
        <v>44</v>
      </c>
      <c r="I12" s="71" t="s">
        <v>45</v>
      </c>
      <c r="J12" s="143" t="s">
        <v>243</v>
      </c>
      <c r="K12" s="73" t="s">
        <v>42</v>
      </c>
      <c r="L12" s="72" t="s">
        <v>45</v>
      </c>
      <c r="M12" s="71" t="s">
        <v>44</v>
      </c>
      <c r="N12" s="72" t="s">
        <v>45</v>
      </c>
      <c r="O12" s="143" t="s">
        <v>243</v>
      </c>
      <c r="P12" s="73" t="s">
        <v>42</v>
      </c>
      <c r="Q12" s="72" t="s">
        <v>45</v>
      </c>
      <c r="R12" s="71" t="s">
        <v>44</v>
      </c>
      <c r="S12" s="72" t="s">
        <v>45</v>
      </c>
      <c r="T12" s="143" t="s">
        <v>243</v>
      </c>
      <c r="U12" s="73" t="s">
        <v>42</v>
      </c>
      <c r="V12" s="72" t="s">
        <v>45</v>
      </c>
      <c r="W12" s="71" t="s">
        <v>44</v>
      </c>
      <c r="X12" s="72" t="s">
        <v>45</v>
      </c>
    </row>
    <row r="13" spans="2:24" x14ac:dyDescent="0.3">
      <c r="B13" s="849" t="s">
        <v>492</v>
      </c>
      <c r="C13" s="50"/>
      <c r="D13" s="56"/>
      <c r="E13" s="848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2"/>
    </row>
    <row r="14" spans="2:24" x14ac:dyDescent="0.3">
      <c r="B14" s="42" t="s">
        <v>41</v>
      </c>
      <c r="C14" s="50"/>
      <c r="D14" s="56"/>
      <c r="E14" s="56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57"/>
    </row>
    <row r="15" spans="2:24" x14ac:dyDescent="0.3">
      <c r="B15" s="41" t="s">
        <v>121</v>
      </c>
      <c r="C15" s="59">
        <f>61.38*'Energy Inputs'!D8</f>
        <v>69.359399999999994</v>
      </c>
      <c r="D15" s="61">
        <f>52.06*'Energy Inputs'!D8</f>
        <v>58.827799999999996</v>
      </c>
      <c r="E15" s="138"/>
      <c r="F15" s="26"/>
      <c r="G15" s="54"/>
      <c r="H15" s="26"/>
      <c r="I15" s="26"/>
      <c r="J15" s="138"/>
      <c r="K15" s="26"/>
      <c r="L15" s="54"/>
      <c r="M15" s="26"/>
      <c r="N15" s="26"/>
      <c r="O15" s="138"/>
      <c r="P15" s="26"/>
      <c r="Q15" s="54"/>
      <c r="R15" s="26"/>
      <c r="S15" s="26"/>
      <c r="T15" s="138"/>
      <c r="U15" s="26"/>
      <c r="V15" s="54"/>
      <c r="W15" s="53"/>
      <c r="X15" s="54"/>
    </row>
    <row r="16" spans="2:24" x14ac:dyDescent="0.3">
      <c r="B16" s="41" t="s">
        <v>122</v>
      </c>
      <c r="C16" s="59">
        <f>63.88*'Energy Inputs'!D8</f>
        <v>72.184399999999997</v>
      </c>
      <c r="D16" s="61">
        <f>57.54*'Energy Inputs'!D8</f>
        <v>65.020199999999988</v>
      </c>
      <c r="E16" s="138"/>
      <c r="F16" s="26"/>
      <c r="G16" s="54"/>
      <c r="H16" s="863">
        <v>1.4</v>
      </c>
      <c r="I16" s="1011">
        <f>H16*$C$4</f>
        <v>20.986000000000001</v>
      </c>
      <c r="J16" s="138"/>
      <c r="K16" s="26"/>
      <c r="L16" s="54"/>
      <c r="M16" s="863">
        <v>1.4</v>
      </c>
      <c r="N16" s="1011">
        <f>M16*$C$4</f>
        <v>20.986000000000001</v>
      </c>
      <c r="O16" s="138"/>
      <c r="P16" s="26"/>
      <c r="Q16" s="54"/>
      <c r="R16" s="863">
        <v>1.4</v>
      </c>
      <c r="S16" s="1011">
        <f>R16*$C$4</f>
        <v>20.986000000000001</v>
      </c>
      <c r="T16" s="138"/>
      <c r="U16" s="26"/>
      <c r="V16" s="54"/>
      <c r="W16" s="863">
        <v>1.4</v>
      </c>
      <c r="X16" s="1004">
        <f>W16*$C$4</f>
        <v>20.986000000000001</v>
      </c>
    </row>
    <row r="17" spans="2:24" x14ac:dyDescent="0.3">
      <c r="B17" s="41" t="s">
        <v>123</v>
      </c>
      <c r="C17" s="59">
        <f>(C15+6.92)*'Energy Inputs'!D8</f>
        <v>86.195721999999989</v>
      </c>
      <c r="D17" s="61">
        <f>(D15+10.44)*'Energy Inputs'!D8</f>
        <v>78.27261399999999</v>
      </c>
      <c r="E17" s="138"/>
      <c r="F17" s="26"/>
      <c r="G17" s="54"/>
      <c r="H17" s="26"/>
      <c r="I17" s="1011"/>
      <c r="J17" s="138"/>
      <c r="K17" s="26"/>
      <c r="L17" s="54"/>
      <c r="M17" s="26"/>
      <c r="N17" s="1011"/>
      <c r="O17" s="138"/>
      <c r="P17" s="26"/>
      <c r="Q17" s="54"/>
      <c r="R17" s="26"/>
      <c r="S17" s="1011"/>
      <c r="T17" s="138"/>
      <c r="U17" s="26"/>
      <c r="V17" s="54"/>
      <c r="W17" s="864"/>
      <c r="X17" s="1004"/>
    </row>
    <row r="18" spans="2:24" x14ac:dyDescent="0.3">
      <c r="B18" s="41" t="s">
        <v>102</v>
      </c>
      <c r="C18" s="59">
        <f>76.5*'Energy Inputs'!D8</f>
        <v>86.444999999999993</v>
      </c>
      <c r="D18" s="61">
        <f>68.49*'Energy Inputs'!D8</f>
        <v>77.393699999999981</v>
      </c>
      <c r="E18" s="138"/>
      <c r="F18" s="26"/>
      <c r="G18" s="54"/>
      <c r="H18" s="26"/>
      <c r="I18" s="1011"/>
      <c r="J18" s="138"/>
      <c r="K18" s="26"/>
      <c r="L18" s="54"/>
      <c r="M18" s="26"/>
      <c r="N18" s="1011"/>
      <c r="O18" s="138"/>
      <c r="P18" s="26"/>
      <c r="Q18" s="54"/>
      <c r="R18" s="26"/>
      <c r="S18" s="1011"/>
      <c r="T18" s="138"/>
      <c r="U18" s="26"/>
      <c r="V18" s="54"/>
      <c r="W18" s="864"/>
      <c r="X18" s="1004"/>
    </row>
    <row r="19" spans="2:24" x14ac:dyDescent="0.3">
      <c r="B19" s="41" t="s">
        <v>125</v>
      </c>
      <c r="C19" s="59">
        <f>75.12*'Energy Inputs'!D8</f>
        <v>84.885599999999997</v>
      </c>
      <c r="D19" s="61">
        <f>62.16*'Energy Inputs'!D8</f>
        <v>70.240799999999993</v>
      </c>
      <c r="E19" s="138"/>
      <c r="F19" s="26"/>
      <c r="G19" s="54"/>
      <c r="H19" s="26"/>
      <c r="I19" s="1011"/>
      <c r="J19" s="138"/>
      <c r="K19" s="26"/>
      <c r="L19" s="54"/>
      <c r="M19" s="26"/>
      <c r="N19" s="1011"/>
      <c r="O19" s="138"/>
      <c r="P19" s="26"/>
      <c r="Q19" s="54"/>
      <c r="R19" s="26"/>
      <c r="S19" s="1011"/>
      <c r="T19" s="138"/>
      <c r="U19" s="26"/>
      <c r="V19" s="54"/>
      <c r="W19" s="864"/>
      <c r="X19" s="1004"/>
    </row>
    <row r="20" spans="2:24" x14ac:dyDescent="0.3">
      <c r="B20" s="41" t="s">
        <v>124</v>
      </c>
      <c r="C20" s="59" t="s">
        <v>118</v>
      </c>
      <c r="D20" s="61">
        <f>88.06*'Energy Inputs'!D8</f>
        <v>99.507799999999989</v>
      </c>
      <c r="E20" s="138"/>
      <c r="F20" s="26"/>
      <c r="G20" s="54"/>
      <c r="H20" s="26"/>
      <c r="I20" s="1011"/>
      <c r="J20" s="138"/>
      <c r="K20" s="26"/>
      <c r="L20" s="54"/>
      <c r="M20" s="26"/>
      <c r="N20" s="1011"/>
      <c r="O20" s="138"/>
      <c r="P20" s="26"/>
      <c r="Q20" s="54"/>
      <c r="R20" s="26"/>
      <c r="S20" s="1011"/>
      <c r="T20" s="138"/>
      <c r="U20" s="26"/>
      <c r="V20" s="54"/>
      <c r="W20" s="864"/>
      <c r="X20" s="1004"/>
    </row>
    <row r="21" spans="2:24" x14ac:dyDescent="0.3">
      <c r="B21" s="41" t="s">
        <v>103</v>
      </c>
      <c r="C21" s="59">
        <f>59.3*'Energy Inputs'!D8</f>
        <v>67.008999999999986</v>
      </c>
      <c r="D21" s="61">
        <f>52.25*'Energy Inputs'!D8</f>
        <v>59.042499999999997</v>
      </c>
      <c r="E21" s="138"/>
      <c r="F21" s="26"/>
      <c r="G21" s="54"/>
      <c r="H21" s="863">
        <v>1.4</v>
      </c>
      <c r="I21" s="1011">
        <f>H21*$C$4</f>
        <v>20.986000000000001</v>
      </c>
      <c r="J21" s="138"/>
      <c r="K21" s="26"/>
      <c r="L21" s="54"/>
      <c r="M21" s="863">
        <v>1.4</v>
      </c>
      <c r="N21" s="1011">
        <f>M21*$C$4</f>
        <v>20.986000000000001</v>
      </c>
      <c r="O21" s="138"/>
      <c r="P21" s="26"/>
      <c r="Q21" s="54"/>
      <c r="R21" s="863">
        <v>1.4</v>
      </c>
      <c r="S21" s="1011">
        <f>R21*$C$4</f>
        <v>20.986000000000001</v>
      </c>
      <c r="T21" s="138"/>
      <c r="U21" s="26"/>
      <c r="V21" s="54"/>
      <c r="W21" s="863">
        <v>1.4</v>
      </c>
      <c r="X21" s="1004">
        <f>W21*$C$4</f>
        <v>20.986000000000001</v>
      </c>
    </row>
    <row r="22" spans="2:24" x14ac:dyDescent="0.3">
      <c r="B22" s="41" t="s">
        <v>104</v>
      </c>
      <c r="C22" s="59">
        <f>70.77*'Energy Inputs'!D8</f>
        <v>79.970099999999988</v>
      </c>
      <c r="D22" s="61">
        <f>59.72*'Energy Inputs'!D8</f>
        <v>67.483599999999996</v>
      </c>
      <c r="E22" s="138"/>
      <c r="F22" s="26"/>
      <c r="G22" s="54"/>
      <c r="H22" s="26"/>
      <c r="I22" s="1011"/>
      <c r="J22" s="138"/>
      <c r="K22" s="26"/>
      <c r="L22" s="54"/>
      <c r="M22" s="26"/>
      <c r="N22" s="1011"/>
      <c r="O22" s="138"/>
      <c r="P22" s="26"/>
      <c r="Q22" s="54"/>
      <c r="R22" s="26"/>
      <c r="S22" s="1011"/>
      <c r="T22" s="138"/>
      <c r="U22" s="26"/>
      <c r="V22" s="54"/>
      <c r="W22" s="864"/>
      <c r="X22" s="1004"/>
    </row>
    <row r="23" spans="2:24" x14ac:dyDescent="0.3">
      <c r="B23" s="41" t="s">
        <v>46</v>
      </c>
      <c r="C23" s="59">
        <f>18.93*'Energy Inputs'!D8</f>
        <v>21.390899999999998</v>
      </c>
      <c r="D23" s="61">
        <f>15.22*'Energy Inputs'!D8</f>
        <v>17.198599999999999</v>
      </c>
      <c r="E23" s="138"/>
      <c r="F23" s="26"/>
      <c r="G23" s="54"/>
      <c r="H23" s="26"/>
      <c r="I23" s="1011"/>
      <c r="J23" s="138"/>
      <c r="K23" s="26"/>
      <c r="L23" s="54"/>
      <c r="M23" s="26"/>
      <c r="N23" s="1011"/>
      <c r="O23" s="138"/>
      <c r="P23" s="26"/>
      <c r="Q23" s="54"/>
      <c r="R23" s="26"/>
      <c r="S23" s="1011"/>
      <c r="T23" s="138"/>
      <c r="U23" s="26"/>
      <c r="V23" s="54"/>
      <c r="W23" s="864"/>
      <c r="X23" s="1004"/>
    </row>
    <row r="24" spans="2:24" x14ac:dyDescent="0.3">
      <c r="B24" s="41" t="s">
        <v>127</v>
      </c>
      <c r="C24" s="59">
        <f>51.89*'Energy Inputs'!D8</f>
        <v>58.635699999999993</v>
      </c>
      <c r="D24" s="61">
        <f>33.4*'Energy Inputs'!D8</f>
        <v>37.741999999999997</v>
      </c>
      <c r="E24" s="138"/>
      <c r="F24" s="26"/>
      <c r="G24" s="54"/>
      <c r="H24" s="26"/>
      <c r="I24" s="1011"/>
      <c r="J24" s="138"/>
      <c r="K24" s="26"/>
      <c r="L24" s="54"/>
      <c r="M24" s="26"/>
      <c r="N24" s="1011"/>
      <c r="O24" s="138"/>
      <c r="P24" s="26"/>
      <c r="Q24" s="54"/>
      <c r="R24" s="26"/>
      <c r="S24" s="1011"/>
      <c r="T24" s="138"/>
      <c r="U24" s="26"/>
      <c r="V24" s="54"/>
      <c r="W24" s="864"/>
      <c r="X24" s="1004"/>
    </row>
    <row r="25" spans="2:24" x14ac:dyDescent="0.3">
      <c r="B25" s="41" t="s">
        <v>126</v>
      </c>
      <c r="C25" s="59">
        <f>59.3*'Energy Inputs'!D8</f>
        <v>67.008999999999986</v>
      </c>
      <c r="D25" s="61">
        <f>41.49*'Energy Inputs'!D8</f>
        <v>46.883699999999997</v>
      </c>
      <c r="E25" s="138"/>
      <c r="F25" s="26"/>
      <c r="G25" s="54"/>
      <c r="H25" s="26"/>
      <c r="I25" s="1011"/>
      <c r="J25" s="138"/>
      <c r="K25" s="26"/>
      <c r="L25" s="54"/>
      <c r="M25" s="26"/>
      <c r="N25" s="1011"/>
      <c r="O25" s="138"/>
      <c r="P25" s="26"/>
      <c r="Q25" s="54"/>
      <c r="R25" s="26"/>
      <c r="S25" s="1011"/>
      <c r="T25" s="138"/>
      <c r="U25" s="26"/>
      <c r="V25" s="54"/>
      <c r="W25" s="864"/>
      <c r="X25" s="1004"/>
    </row>
    <row r="26" spans="2:24" x14ac:dyDescent="0.3">
      <c r="B26" s="41" t="s">
        <v>128</v>
      </c>
      <c r="C26" s="59">
        <f>59.3*'Energy Inputs'!D8</f>
        <v>67.008999999999986</v>
      </c>
      <c r="D26" s="61">
        <f>52.41*'Energy Inputs'!D8</f>
        <v>59.223299999999988</v>
      </c>
      <c r="E26" s="138"/>
      <c r="F26" s="26"/>
      <c r="G26" s="54"/>
      <c r="H26" s="862">
        <v>1</v>
      </c>
      <c r="I26" s="1011">
        <f>H26*$C$4</f>
        <v>14.99</v>
      </c>
      <c r="J26" s="138"/>
      <c r="K26" s="26"/>
      <c r="L26" s="54"/>
      <c r="M26" s="863">
        <v>1</v>
      </c>
      <c r="N26" s="1011">
        <f>M26*$C$4</f>
        <v>14.99</v>
      </c>
      <c r="O26" s="138"/>
      <c r="P26" s="26"/>
      <c r="Q26" s="54"/>
      <c r="R26" s="863">
        <v>2.1</v>
      </c>
      <c r="S26" s="1011">
        <f>R26*$C$4</f>
        <v>31.479000000000003</v>
      </c>
      <c r="T26" s="138"/>
      <c r="U26" s="26"/>
      <c r="V26" s="54"/>
      <c r="W26" s="864"/>
      <c r="X26" s="1004"/>
    </row>
    <row r="27" spans="2:24" x14ac:dyDescent="0.3">
      <c r="B27" s="41" t="s">
        <v>129</v>
      </c>
      <c r="C27" s="59">
        <f>51.89*'Energy Inputs'!D8</f>
        <v>58.635699999999993</v>
      </c>
      <c r="D27" s="61">
        <f>39.31*'Energy Inputs'!D8</f>
        <v>44.420299999999997</v>
      </c>
      <c r="E27" s="138"/>
      <c r="F27" s="26"/>
      <c r="G27" s="54"/>
      <c r="H27" s="26"/>
      <c r="I27" s="1011"/>
      <c r="J27" s="138"/>
      <c r="K27" s="26"/>
      <c r="L27" s="54"/>
      <c r="M27" s="26"/>
      <c r="N27" s="1011"/>
      <c r="O27" s="138"/>
      <c r="P27" s="26"/>
      <c r="Q27" s="54"/>
      <c r="R27" s="863"/>
      <c r="S27" s="1011"/>
      <c r="T27" s="138"/>
      <c r="U27" s="26"/>
      <c r="V27" s="54"/>
      <c r="W27" s="864">
        <v>2.1</v>
      </c>
      <c r="X27" s="1004">
        <f>W27*$C$4</f>
        <v>31.479000000000003</v>
      </c>
    </row>
    <row r="28" spans="2:24" x14ac:dyDescent="0.3">
      <c r="B28" s="41" t="s">
        <v>105</v>
      </c>
      <c r="C28" s="59">
        <f>34.59*'Energy Inputs'!D8</f>
        <v>39.0867</v>
      </c>
      <c r="D28" s="61">
        <f>21.76*'Energy Inputs'!D8</f>
        <v>24.588799999999999</v>
      </c>
      <c r="E28" s="138"/>
      <c r="F28" s="26"/>
      <c r="G28" s="54"/>
      <c r="H28" s="26"/>
      <c r="I28" s="1011"/>
      <c r="J28" s="138"/>
      <c r="K28" s="26"/>
      <c r="L28" s="54"/>
      <c r="M28" s="26"/>
      <c r="N28" s="1011"/>
      <c r="O28" s="138"/>
      <c r="P28" s="26"/>
      <c r="Q28" s="54"/>
      <c r="R28" s="863"/>
      <c r="S28" s="1011"/>
      <c r="T28" s="138"/>
      <c r="U28" s="26"/>
      <c r="V28" s="54"/>
      <c r="W28" s="864"/>
      <c r="X28" s="1004"/>
    </row>
    <row r="29" spans="2:24" x14ac:dyDescent="0.3">
      <c r="B29" s="41" t="s">
        <v>106</v>
      </c>
      <c r="C29" s="59">
        <f>37.07*'Energy Inputs'!D8</f>
        <v>41.889099999999999</v>
      </c>
      <c r="D29" s="61">
        <f>25.65*'Energy Inputs'!D8</f>
        <v>28.984499999999997</v>
      </c>
      <c r="E29" s="138"/>
      <c r="F29" s="26"/>
      <c r="G29" s="54"/>
      <c r="H29" s="26"/>
      <c r="I29" s="1011"/>
      <c r="J29" s="138"/>
      <c r="K29" s="26"/>
      <c r="L29" s="54"/>
      <c r="M29" s="26"/>
      <c r="N29" s="1011"/>
      <c r="O29" s="138"/>
      <c r="P29" s="26"/>
      <c r="Q29" s="54"/>
      <c r="R29" s="863"/>
      <c r="S29" s="1011"/>
      <c r="T29" s="138"/>
      <c r="U29" s="26"/>
      <c r="V29" s="54"/>
      <c r="W29" s="864"/>
      <c r="X29" s="1004"/>
    </row>
    <row r="30" spans="2:24" x14ac:dyDescent="0.3">
      <c r="B30" s="41" t="s">
        <v>109</v>
      </c>
      <c r="C30" s="59">
        <f>67.26*'Energy Inputs'!D8</f>
        <v>76.003799999999998</v>
      </c>
      <c r="D30" s="61">
        <f>52.91*'Energy Inputs'!D8</f>
        <v>59.788299999999992</v>
      </c>
      <c r="E30" s="138"/>
      <c r="F30" s="26"/>
      <c r="G30" s="54"/>
      <c r="H30" s="26"/>
      <c r="I30" s="1011"/>
      <c r="J30" s="138"/>
      <c r="K30" s="26"/>
      <c r="L30" s="54"/>
      <c r="M30" s="26"/>
      <c r="N30" s="1011"/>
      <c r="O30" s="138"/>
      <c r="P30" s="26"/>
      <c r="Q30" s="54"/>
      <c r="R30" s="863"/>
      <c r="S30" s="1011"/>
      <c r="T30" s="138"/>
      <c r="U30" s="26"/>
      <c r="V30" s="54"/>
      <c r="W30" s="864"/>
      <c r="X30" s="1004"/>
    </row>
    <row r="31" spans="2:24" x14ac:dyDescent="0.3">
      <c r="B31" s="41" t="s">
        <v>108</v>
      </c>
      <c r="C31" s="59">
        <f>37.07*'Energy Inputs'!D8</f>
        <v>41.889099999999999</v>
      </c>
      <c r="D31" s="61">
        <f>37.32*'Energy Inputs'!D8</f>
        <v>42.171599999999998</v>
      </c>
      <c r="E31" s="138"/>
      <c r="F31" s="26"/>
      <c r="G31" s="54"/>
      <c r="H31" s="862"/>
      <c r="I31" s="1011"/>
      <c r="J31" s="138"/>
      <c r="K31" s="26"/>
      <c r="L31" s="54"/>
      <c r="M31" s="862"/>
      <c r="N31" s="1011"/>
      <c r="O31" s="138"/>
      <c r="P31" s="26"/>
      <c r="Q31" s="54"/>
      <c r="R31" s="862"/>
      <c r="S31" s="1011"/>
      <c r="T31" s="138"/>
      <c r="U31" s="26"/>
      <c r="V31" s="54"/>
      <c r="W31" s="864"/>
      <c r="X31" s="1004"/>
    </row>
    <row r="32" spans="2:24" x14ac:dyDescent="0.3">
      <c r="B32" s="41" t="s">
        <v>107</v>
      </c>
      <c r="C32" s="59">
        <f>29.9*'Energy Inputs'!D8</f>
        <v>33.786999999999992</v>
      </c>
      <c r="D32" s="61">
        <f>16.68*'Energy Inputs'!D8</f>
        <v>18.848399999999998</v>
      </c>
      <c r="E32" s="138"/>
      <c r="F32" s="39"/>
      <c r="G32" s="54"/>
      <c r="H32" s="39"/>
      <c r="I32" s="1011"/>
      <c r="J32" s="138"/>
      <c r="K32" s="98"/>
      <c r="L32" s="54"/>
      <c r="M32" s="26"/>
      <c r="N32" s="1011"/>
      <c r="O32" s="138"/>
      <c r="P32" s="26"/>
      <c r="Q32" s="54"/>
      <c r="R32" s="863"/>
      <c r="S32" s="1011"/>
      <c r="T32" s="138"/>
      <c r="U32" s="26"/>
      <c r="V32" s="54"/>
      <c r="W32" s="864"/>
      <c r="X32" s="1004"/>
    </row>
    <row r="33" spans="2:24" x14ac:dyDescent="0.3">
      <c r="B33" s="41" t="s">
        <v>130</v>
      </c>
      <c r="C33" s="59">
        <f>21.42*'Energy Inputs'!D8</f>
        <v>24.204599999999999</v>
      </c>
      <c r="D33" s="61">
        <f>8.89*'Energy Inputs'!D8</f>
        <v>10.0457</v>
      </c>
      <c r="E33" s="138"/>
      <c r="F33" s="26"/>
      <c r="G33" s="54"/>
      <c r="H33" s="1010">
        <f>AVERAGE(1.1,1.2)</f>
        <v>1.1499999999999999</v>
      </c>
      <c r="I33" s="1011">
        <f>H33*$C$4</f>
        <v>17.238499999999998</v>
      </c>
      <c r="J33" s="138"/>
      <c r="K33" s="26"/>
      <c r="L33" s="54"/>
      <c r="M33" s="1010">
        <f>AVERAGE(1.1,1.2)</f>
        <v>1.1499999999999999</v>
      </c>
      <c r="N33" s="1011">
        <f>M33*$C$4</f>
        <v>17.238499999999998</v>
      </c>
      <c r="O33" s="138"/>
      <c r="P33" s="26"/>
      <c r="Q33" s="54"/>
      <c r="R33" s="1010">
        <v>1.1000000000000001</v>
      </c>
      <c r="S33" s="1011">
        <f>R33*$C$4</f>
        <v>16.489000000000001</v>
      </c>
      <c r="T33" s="138"/>
      <c r="U33" s="26"/>
      <c r="V33" s="54"/>
      <c r="W33" s="864">
        <v>1.1000000000000001</v>
      </c>
      <c r="X33" s="1004">
        <f>W33*$C$4</f>
        <v>16.489000000000001</v>
      </c>
    </row>
    <row r="34" spans="2:24" x14ac:dyDescent="0.3">
      <c r="B34" s="41" t="s">
        <v>54</v>
      </c>
      <c r="C34" s="59">
        <f>276.75*'Energy Inputs'!D8</f>
        <v>312.72749999999996</v>
      </c>
      <c r="D34" s="131">
        <f>217.01*'Energy Inputs'!D8</f>
        <v>245.22129999999996</v>
      </c>
      <c r="E34" s="138"/>
      <c r="F34" s="26"/>
      <c r="G34" s="54"/>
      <c r="H34" s="1011"/>
      <c r="I34" s="1011"/>
      <c r="J34" s="138"/>
      <c r="K34" s="26"/>
      <c r="L34" s="54"/>
      <c r="M34" s="1011"/>
      <c r="N34" s="1011"/>
      <c r="O34" s="138"/>
      <c r="P34" s="26"/>
      <c r="Q34" s="54"/>
      <c r="R34" s="1011"/>
      <c r="S34" s="1011"/>
      <c r="T34" s="138"/>
      <c r="U34" s="26"/>
      <c r="V34" s="54"/>
      <c r="W34" s="53"/>
      <c r="X34" s="1004"/>
    </row>
    <row r="35" spans="2:24" x14ac:dyDescent="0.3">
      <c r="B35" s="41" t="s">
        <v>55</v>
      </c>
      <c r="C35" s="60">
        <f>85.25*'Energy Inputs'!D8</f>
        <v>96.332499999999996</v>
      </c>
      <c r="D35" s="131">
        <f>56.5*'Energy Inputs'!D8</f>
        <v>63.844999999999992</v>
      </c>
      <c r="E35" s="138"/>
      <c r="F35" s="26"/>
      <c r="G35" s="54"/>
      <c r="H35" s="1011"/>
      <c r="I35" s="1011"/>
      <c r="J35" s="138"/>
      <c r="K35" s="26"/>
      <c r="L35" s="54"/>
      <c r="M35" s="1011"/>
      <c r="N35" s="1011"/>
      <c r="O35" s="138"/>
      <c r="P35" s="26"/>
      <c r="Q35" s="54"/>
      <c r="R35" s="1011"/>
      <c r="S35" s="1011"/>
      <c r="T35" s="138"/>
      <c r="U35" s="26"/>
      <c r="V35" s="54"/>
      <c r="W35" s="53"/>
      <c r="X35" s="1004"/>
    </row>
    <row r="36" spans="2:24" x14ac:dyDescent="0.3">
      <c r="B36" s="42" t="s">
        <v>47</v>
      </c>
      <c r="C36" s="365"/>
      <c r="D36" s="365"/>
      <c r="E36" s="136"/>
      <c r="F36" s="51" t="s">
        <v>12</v>
      </c>
      <c r="G36" s="843">
        <v>200</v>
      </c>
      <c r="H36" s="1012">
        <f>SUM(H15:H35)</f>
        <v>4.9499999999999993</v>
      </c>
      <c r="I36" s="823">
        <f>SUM(I15:I35)</f>
        <v>74.200500000000005</v>
      </c>
      <c r="J36" s="145"/>
      <c r="K36" s="51"/>
      <c r="L36" s="843">
        <v>180</v>
      </c>
      <c r="M36" s="1012">
        <f>SUM(M15:M35)</f>
        <v>4.9499999999999993</v>
      </c>
      <c r="N36" s="823">
        <f>SUM(N15:N35)</f>
        <v>74.200500000000005</v>
      </c>
      <c r="O36" s="145"/>
      <c r="P36" s="51"/>
      <c r="Q36" s="857">
        <f>L36</f>
        <v>180</v>
      </c>
      <c r="R36" s="1012">
        <f>SUM(R15:R35)</f>
        <v>6</v>
      </c>
      <c r="S36" s="823">
        <f>SUM(S15:S35)</f>
        <v>89.940000000000012</v>
      </c>
      <c r="T36" s="145"/>
      <c r="U36" s="51"/>
      <c r="V36" s="857">
        <v>180</v>
      </c>
      <c r="W36" s="1012">
        <f>SUM(W15:W35)</f>
        <v>6</v>
      </c>
      <c r="X36" s="1013">
        <f>SUM(X15:X35)</f>
        <v>89.940000000000012</v>
      </c>
    </row>
    <row r="37" spans="2:24" x14ac:dyDescent="0.3">
      <c r="B37" s="42"/>
      <c r="C37" s="365"/>
      <c r="D37" s="365"/>
      <c r="E37" s="365"/>
      <c r="F37" s="51"/>
      <c r="G37" s="823"/>
      <c r="H37" s="51"/>
      <c r="I37" s="67"/>
      <c r="J37" s="824"/>
      <c r="K37" s="51"/>
      <c r="L37" s="823"/>
      <c r="M37" s="51"/>
      <c r="N37" s="67"/>
      <c r="O37" s="824"/>
      <c r="P37" s="51"/>
      <c r="Q37" s="823"/>
      <c r="R37" s="51"/>
      <c r="S37" s="67"/>
      <c r="T37" s="824"/>
      <c r="U37" s="51"/>
      <c r="V37" s="823"/>
      <c r="W37" s="51"/>
      <c r="X37" s="66"/>
    </row>
    <row r="38" spans="2:24" s="39" customFormat="1" x14ac:dyDescent="0.3">
      <c r="B38" s="432" t="s">
        <v>187</v>
      </c>
      <c r="C38" s="805"/>
      <c r="D38" s="805"/>
      <c r="E38" s="805"/>
      <c r="F38" s="431"/>
      <c r="G38" s="431"/>
      <c r="H38" s="431"/>
      <c r="I38" s="431"/>
      <c r="J38" s="431"/>
      <c r="K38" s="431"/>
      <c r="L38" s="431"/>
      <c r="M38" s="431"/>
      <c r="N38" s="431"/>
      <c r="O38" s="431"/>
      <c r="P38" s="431"/>
      <c r="Q38" s="431"/>
      <c r="R38" s="431"/>
      <c r="S38" s="431"/>
      <c r="T38" s="431"/>
      <c r="U38" s="431"/>
      <c r="V38" s="431"/>
      <c r="W38" s="431"/>
      <c r="X38" s="433"/>
    </row>
    <row r="39" spans="2:24" x14ac:dyDescent="0.3">
      <c r="B39" s="16" t="s">
        <v>110</v>
      </c>
      <c r="C39" s="458">
        <f>67.78*'Arable Inputs'!$D$8</f>
        <v>76.591399999999993</v>
      </c>
      <c r="D39" s="459">
        <f>57.48*'Arable Inputs'!$D$8</f>
        <v>64.952399999999997</v>
      </c>
      <c r="E39" s="491"/>
      <c r="F39" s="435"/>
      <c r="G39" s="461"/>
      <c r="H39" s="435"/>
      <c r="I39" s="435"/>
      <c r="J39" s="460"/>
      <c r="K39" s="435"/>
      <c r="L39" s="461"/>
      <c r="M39" s="435"/>
      <c r="N39" s="435"/>
      <c r="O39" s="460"/>
      <c r="P39" s="435"/>
      <c r="Q39" s="461"/>
      <c r="R39" s="435"/>
      <c r="S39" s="435"/>
      <c r="T39" s="460"/>
      <c r="U39" s="435"/>
      <c r="V39" s="461"/>
      <c r="W39" s="435"/>
      <c r="X39" s="461"/>
    </row>
    <row r="40" spans="2:24" x14ac:dyDescent="0.3">
      <c r="B40" s="16" t="s">
        <v>111</v>
      </c>
      <c r="C40" s="458">
        <f>50.14*'Arable Inputs'!$D$8</f>
        <v>56.658199999999994</v>
      </c>
      <c r="D40" s="459">
        <f>27.04*'Arable Inputs'!$D$8</f>
        <v>30.555199999999996</v>
      </c>
      <c r="E40" s="460"/>
      <c r="F40" s="435"/>
      <c r="G40" s="54"/>
      <c r="H40" s="813"/>
      <c r="I40" s="424"/>
      <c r="J40" s="460"/>
      <c r="K40" s="435"/>
      <c r="L40" s="54"/>
      <c r="M40" s="813"/>
      <c r="N40" s="424"/>
      <c r="O40" s="460"/>
      <c r="P40" s="435"/>
      <c r="Q40" s="461"/>
      <c r="R40" s="435"/>
      <c r="S40" s="435"/>
      <c r="T40" s="460"/>
      <c r="U40" s="435"/>
      <c r="V40" s="461"/>
      <c r="W40" s="462"/>
      <c r="X40" s="461"/>
    </row>
    <row r="41" spans="2:24" x14ac:dyDescent="0.3">
      <c r="B41" s="16" t="s">
        <v>112</v>
      </c>
      <c r="C41" s="458">
        <f>61.78*'Arable Inputs'!$D$8</f>
        <v>69.811399999999992</v>
      </c>
      <c r="D41" s="459">
        <f>58.52*'Arable Inputs'!$D$8</f>
        <v>66.127600000000001</v>
      </c>
      <c r="E41" s="484"/>
      <c r="F41" s="435"/>
      <c r="G41" s="461"/>
      <c r="H41" s="435"/>
      <c r="I41" s="435"/>
      <c r="J41" s="460"/>
      <c r="K41" s="435"/>
      <c r="L41" s="461"/>
      <c r="M41" s="435"/>
      <c r="N41" s="435"/>
      <c r="O41" s="460"/>
      <c r="P41" s="435"/>
      <c r="Q41" s="461"/>
      <c r="R41" s="435"/>
      <c r="S41" s="435"/>
      <c r="T41" s="460"/>
      <c r="U41" s="435"/>
      <c r="V41" s="461"/>
      <c r="W41" s="462"/>
      <c r="X41" s="461"/>
    </row>
    <row r="42" spans="2:24" x14ac:dyDescent="0.3">
      <c r="B42" s="16" t="s">
        <v>113</v>
      </c>
      <c r="C42" s="458">
        <f>51.89*'Arable Inputs'!$D$8</f>
        <v>58.635699999999993</v>
      </c>
      <c r="D42" s="459">
        <f>50.58*'Arable Inputs'!$D$8</f>
        <v>57.155399999999993</v>
      </c>
      <c r="E42" s="484"/>
      <c r="F42" s="435"/>
      <c r="G42" s="461"/>
      <c r="H42" s="435"/>
      <c r="I42" s="435"/>
      <c r="J42" s="460"/>
      <c r="K42" s="435"/>
      <c r="L42" s="461"/>
      <c r="M42" s="435"/>
      <c r="N42" s="435"/>
      <c r="O42" s="460"/>
      <c r="P42" s="435"/>
      <c r="Q42" s="461"/>
      <c r="R42" s="435"/>
      <c r="S42" s="435"/>
      <c r="T42" s="460"/>
      <c r="U42" s="435"/>
      <c r="V42" s="461"/>
      <c r="W42" s="462"/>
      <c r="X42" s="461"/>
    </row>
    <row r="43" spans="2:24" x14ac:dyDescent="0.3">
      <c r="B43" s="16" t="s">
        <v>114</v>
      </c>
      <c r="C43" s="458">
        <f>58.71*'Arable Inputs'!$D$8</f>
        <v>66.342299999999994</v>
      </c>
      <c r="D43" s="459">
        <f>61.14*'Arable Inputs'!$D$8</f>
        <v>69.088200000000001</v>
      </c>
      <c r="E43" s="484"/>
      <c r="F43" s="435"/>
      <c r="G43" s="461"/>
      <c r="H43" s="435"/>
      <c r="I43" s="435"/>
      <c r="J43" s="460"/>
      <c r="K43" s="435"/>
      <c r="L43" s="461"/>
      <c r="M43" s="435"/>
      <c r="N43" s="435"/>
      <c r="O43" s="460"/>
      <c r="P43" s="435"/>
      <c r="Q43" s="461"/>
      <c r="R43" s="435"/>
      <c r="S43" s="435"/>
      <c r="T43" s="460"/>
      <c r="U43" s="435"/>
      <c r="V43" s="461"/>
      <c r="W43" s="462"/>
      <c r="X43" s="461"/>
    </row>
    <row r="44" spans="2:24" x14ac:dyDescent="0.3">
      <c r="B44" s="16" t="s">
        <v>53</v>
      </c>
      <c r="C44" s="458">
        <f>51.97*'Arable Inputs'!$D$8</f>
        <v>58.726099999999995</v>
      </c>
      <c r="D44" s="459">
        <f>57.16*'Arable Inputs'!$D$8</f>
        <v>64.590799999999987</v>
      </c>
      <c r="E44" s="484"/>
      <c r="F44" s="435"/>
      <c r="G44" s="461"/>
      <c r="H44" s="435"/>
      <c r="I44" s="435"/>
      <c r="J44" s="460"/>
      <c r="K44" s="435"/>
      <c r="L44" s="461"/>
      <c r="M44" s="435"/>
      <c r="N44" s="435"/>
      <c r="O44" s="460"/>
      <c r="P44" s="435"/>
      <c r="Q44" s="54"/>
      <c r="R44" s="813"/>
      <c r="S44" s="424"/>
      <c r="T44" s="460"/>
      <c r="U44" s="435"/>
      <c r="V44" s="461"/>
      <c r="W44" s="462"/>
      <c r="X44" s="461"/>
    </row>
    <row r="45" spans="2:24" x14ac:dyDescent="0.3">
      <c r="B45" s="16" t="s">
        <v>115</v>
      </c>
      <c r="C45" s="458">
        <f>78.26*'Arable Inputs'!$D$8</f>
        <v>88.433799999999991</v>
      </c>
      <c r="D45" s="459" t="s">
        <v>118</v>
      </c>
      <c r="E45" s="484"/>
      <c r="F45" s="435"/>
      <c r="G45" s="461"/>
      <c r="H45" s="435"/>
      <c r="I45" s="435"/>
      <c r="J45" s="460"/>
      <c r="K45" s="435"/>
      <c r="L45" s="461"/>
      <c r="M45" s="435"/>
      <c r="N45" s="435"/>
      <c r="O45" s="460"/>
      <c r="P45" s="435"/>
      <c r="Q45" s="461"/>
      <c r="R45" s="435"/>
      <c r="S45" s="435"/>
      <c r="T45" s="460"/>
      <c r="U45" s="435"/>
      <c r="V45" s="461"/>
      <c r="W45" s="462"/>
      <c r="X45" s="461"/>
    </row>
    <row r="46" spans="2:24" x14ac:dyDescent="0.3">
      <c r="B46" s="16" t="s">
        <v>51</v>
      </c>
      <c r="C46" s="458">
        <f>29.31*'Arable Inputs'!$D$8</f>
        <v>33.120299999999993</v>
      </c>
      <c r="D46" s="459">
        <f>20*'Arable Inputs'!$D$8</f>
        <v>22.599999999999998</v>
      </c>
      <c r="E46" s="484"/>
      <c r="F46" s="435"/>
      <c r="G46" s="461"/>
      <c r="H46" s="435"/>
      <c r="I46" s="435"/>
      <c r="J46" s="460"/>
      <c r="K46" s="435"/>
      <c r="L46" s="461"/>
      <c r="M46" s="435"/>
      <c r="N46" s="435"/>
      <c r="O46" s="460"/>
      <c r="P46" s="435"/>
      <c r="Q46" s="461"/>
      <c r="R46" s="435"/>
      <c r="S46" s="435"/>
      <c r="T46" s="460"/>
      <c r="U46" s="435"/>
      <c r="V46" s="461"/>
      <c r="W46" s="462"/>
      <c r="X46" s="461"/>
    </row>
    <row r="47" spans="2:24" x14ac:dyDescent="0.3">
      <c r="B47" s="16" t="s">
        <v>116</v>
      </c>
      <c r="C47" s="458">
        <f>31.16*'Arable Inputs'!$D$8</f>
        <v>35.210799999999999</v>
      </c>
      <c r="D47" s="459">
        <f>20.54*'Arable Inputs'!$D$8</f>
        <v>23.210199999999997</v>
      </c>
      <c r="E47" s="484"/>
      <c r="F47" s="435"/>
      <c r="G47" s="461"/>
      <c r="H47" s="435"/>
      <c r="I47" s="435"/>
      <c r="J47" s="460"/>
      <c r="K47" s="435"/>
      <c r="L47" s="461"/>
      <c r="M47" s="435"/>
      <c r="N47" s="435"/>
      <c r="O47" s="460"/>
      <c r="P47" s="435"/>
      <c r="Q47" s="461"/>
      <c r="R47" s="435"/>
      <c r="S47" s="435"/>
      <c r="T47" s="460"/>
      <c r="U47" s="435"/>
      <c r="V47" s="461"/>
      <c r="W47" s="462"/>
      <c r="X47" s="461"/>
    </row>
    <row r="48" spans="2:24" x14ac:dyDescent="0.3">
      <c r="B48" s="16" t="s">
        <v>117</v>
      </c>
      <c r="C48" s="458">
        <f>74.13*'Arable Inputs'!$D$8</f>
        <v>83.766899999999993</v>
      </c>
      <c r="D48" s="459" t="s">
        <v>118</v>
      </c>
      <c r="E48" s="484"/>
      <c r="F48" s="435"/>
      <c r="G48" s="461"/>
      <c r="H48" s="435"/>
      <c r="I48" s="435"/>
      <c r="J48" s="460"/>
      <c r="K48" s="435"/>
      <c r="L48" s="461"/>
      <c r="M48" s="435"/>
      <c r="N48" s="435"/>
      <c r="O48" s="460"/>
      <c r="P48" s="435"/>
      <c r="Q48" s="461"/>
      <c r="R48" s="435"/>
      <c r="S48" s="435"/>
      <c r="T48" s="460"/>
      <c r="U48" s="435"/>
      <c r="V48" s="461"/>
      <c r="W48" s="462"/>
      <c r="X48" s="461"/>
    </row>
    <row r="49" spans="2:24" x14ac:dyDescent="0.3">
      <c r="B49" s="16" t="s">
        <v>119</v>
      </c>
      <c r="C49" s="458">
        <f>23.3*'Arable Inputs'!$D$8</f>
        <v>26.328999999999997</v>
      </c>
      <c r="D49" s="459">
        <f>14.67*'Arable Inputs'!$D$8</f>
        <v>16.577099999999998</v>
      </c>
      <c r="E49" s="484"/>
      <c r="F49" s="435"/>
      <c r="G49" s="461"/>
      <c r="H49" s="435"/>
      <c r="I49" s="435"/>
      <c r="J49" s="460"/>
      <c r="K49" s="435"/>
      <c r="L49" s="461"/>
      <c r="M49" s="435"/>
      <c r="N49" s="435"/>
      <c r="O49" s="460"/>
      <c r="P49" s="435"/>
      <c r="Q49" s="461"/>
      <c r="R49" s="435"/>
      <c r="S49" s="435"/>
      <c r="T49" s="460"/>
      <c r="U49" s="435"/>
      <c r="V49" s="461"/>
      <c r="W49" s="462"/>
      <c r="X49" s="461"/>
    </row>
    <row r="50" spans="2:24" x14ac:dyDescent="0.3">
      <c r="B50" s="16" t="s">
        <v>52</v>
      </c>
      <c r="C50" s="458">
        <f>46.55*'Arable Inputs'!$D$8</f>
        <v>52.601499999999994</v>
      </c>
      <c r="D50" s="459" t="s">
        <v>118</v>
      </c>
      <c r="E50" s="484"/>
      <c r="F50" s="435"/>
      <c r="G50" s="461"/>
      <c r="H50" s="435"/>
      <c r="I50" s="435"/>
      <c r="J50" s="460"/>
      <c r="K50" s="435"/>
      <c r="L50" s="461"/>
      <c r="M50" s="435"/>
      <c r="N50" s="435"/>
      <c r="O50" s="460"/>
      <c r="P50" s="435"/>
      <c r="Q50" s="461"/>
      <c r="R50" s="435"/>
      <c r="S50" s="435"/>
      <c r="T50" s="460"/>
      <c r="U50" s="435"/>
      <c r="V50" s="461"/>
      <c r="W50" s="865">
        <v>1.1000000000000001</v>
      </c>
      <c r="X50" s="985">
        <f>W50*$C$4</f>
        <v>16.489000000000001</v>
      </c>
    </row>
    <row r="51" spans="2:24" x14ac:dyDescent="0.3">
      <c r="B51" s="16" t="s">
        <v>120</v>
      </c>
      <c r="C51" s="458">
        <f>123.87*'Arable Inputs'!$D$8</f>
        <v>139.97309999999999</v>
      </c>
      <c r="D51" s="459" t="s">
        <v>118</v>
      </c>
      <c r="E51" s="484"/>
      <c r="F51" s="492"/>
      <c r="G51" s="493"/>
      <c r="H51" s="494"/>
      <c r="I51" s="494"/>
      <c r="J51" s="495"/>
      <c r="K51" s="492"/>
      <c r="L51" s="493"/>
      <c r="M51" s="494"/>
      <c r="N51" s="494"/>
      <c r="O51" s="495"/>
      <c r="P51" s="492"/>
      <c r="Q51" s="493"/>
      <c r="R51" s="496"/>
      <c r="S51" s="492"/>
      <c r="T51" s="460"/>
      <c r="U51" s="435"/>
      <c r="V51" s="54"/>
      <c r="W51" s="1005"/>
      <c r="X51" s="985"/>
    </row>
    <row r="52" spans="2:24" x14ac:dyDescent="0.3">
      <c r="B52" s="16" t="s">
        <v>56</v>
      </c>
      <c r="C52" s="458">
        <f>187.8*'Arable Inputs'!$D$8</f>
        <v>212.214</v>
      </c>
      <c r="D52" s="459">
        <f>126.29*'Arable Inputs'!$D$8</f>
        <v>142.70769999999999</v>
      </c>
      <c r="E52" s="484"/>
      <c r="F52" s="435"/>
      <c r="G52" s="461"/>
      <c r="H52" s="858">
        <v>1</v>
      </c>
      <c r="I52" s="579">
        <f>H52*$C$4</f>
        <v>14.99</v>
      </c>
      <c r="J52" s="460"/>
      <c r="K52" s="435"/>
      <c r="L52" s="461"/>
      <c r="M52" s="858">
        <v>1</v>
      </c>
      <c r="N52" s="579">
        <f>M52*$C$4</f>
        <v>14.99</v>
      </c>
      <c r="O52" s="460">
        <v>2</v>
      </c>
      <c r="P52" s="435">
        <v>1</v>
      </c>
      <c r="Q52" s="1004">
        <f>IF(P52&gt;=1,CHOOSE(O52,$C52,$D52)*P52)</f>
        <v>142.70769999999999</v>
      </c>
      <c r="R52" s="858">
        <v>1.1000000000000001</v>
      </c>
      <c r="S52" s="579">
        <f>R52*$C$4</f>
        <v>16.489000000000001</v>
      </c>
      <c r="T52" s="460"/>
      <c r="U52" s="435"/>
      <c r="V52" s="54"/>
      <c r="W52" s="813"/>
      <c r="X52" s="985"/>
    </row>
    <row r="53" spans="2:24" x14ac:dyDescent="0.3">
      <c r="B53" s="16" t="s">
        <v>208</v>
      </c>
      <c r="C53" s="458">
        <f>42*'Arable Inputs'!$D$8</f>
        <v>47.459999999999994</v>
      </c>
      <c r="D53" s="459">
        <f>35.63*'Arable Inputs'!$D$8</f>
        <v>40.261899999999997</v>
      </c>
      <c r="E53" s="484"/>
      <c r="F53" s="435"/>
      <c r="G53" s="461"/>
      <c r="H53" s="435"/>
      <c r="I53" s="579"/>
      <c r="J53" s="460"/>
      <c r="K53" s="435"/>
      <c r="L53" s="461"/>
      <c r="M53" s="435"/>
      <c r="N53" s="579"/>
      <c r="O53" s="460"/>
      <c r="P53" s="435"/>
      <c r="Q53" s="985"/>
      <c r="R53" s="435"/>
      <c r="S53" s="579"/>
      <c r="T53" s="460"/>
      <c r="U53" s="428"/>
      <c r="V53" s="461"/>
      <c r="W53" s="462"/>
      <c r="X53" s="985"/>
    </row>
    <row r="54" spans="2:24" x14ac:dyDescent="0.3">
      <c r="B54" s="432" t="s">
        <v>57</v>
      </c>
      <c r="C54" s="805"/>
      <c r="D54" s="805"/>
      <c r="E54" s="470"/>
      <c r="F54" s="430"/>
      <c r="G54" s="842">
        <f>300*'Arable Inputs'!D8</f>
        <v>338.99999999999994</v>
      </c>
      <c r="H54" s="432">
        <f>SUM(H39:H53)</f>
        <v>1</v>
      </c>
      <c r="I54" s="838">
        <f>SUM(I39:I53)</f>
        <v>14.99</v>
      </c>
      <c r="J54" s="473"/>
      <c r="K54" s="430"/>
      <c r="L54" s="842">
        <f>350*'Arable Inputs'!D8</f>
        <v>395.49999999999994</v>
      </c>
      <c r="M54" s="432">
        <f>SUM(M39:M53)</f>
        <v>1</v>
      </c>
      <c r="N54" s="838">
        <f>SUM(N39:N53)</f>
        <v>14.99</v>
      </c>
      <c r="O54" s="473"/>
      <c r="P54" s="430"/>
      <c r="Q54" s="826">
        <f>SUM(Q39:Q53)</f>
        <v>142.70769999999999</v>
      </c>
      <c r="R54" s="432">
        <f>SUM(R39:R53)</f>
        <v>1.1000000000000001</v>
      </c>
      <c r="S54" s="838">
        <f>SUM(S39:S53)</f>
        <v>16.489000000000001</v>
      </c>
      <c r="T54" s="473"/>
      <c r="U54" s="430"/>
      <c r="V54" s="986">
        <f>45*'Arable Inputs'!D8</f>
        <v>50.849999999999994</v>
      </c>
      <c r="W54" s="432">
        <f>SUM(W39:W53)</f>
        <v>1.1000000000000001</v>
      </c>
      <c r="X54" s="826">
        <f>SUM(X39:X53)</f>
        <v>16.489000000000001</v>
      </c>
    </row>
    <row r="55" spans="2:24" x14ac:dyDescent="0.3">
      <c r="Q55" s="984"/>
    </row>
    <row r="56" spans="2:24" x14ac:dyDescent="0.3">
      <c r="B56" s="432" t="s">
        <v>486</v>
      </c>
      <c r="C56" s="831"/>
      <c r="D56" s="831"/>
      <c r="E56" s="8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3"/>
    </row>
    <row r="57" spans="2:24" x14ac:dyDescent="0.3">
      <c r="B57" s="16" t="s">
        <v>487</v>
      </c>
      <c r="C57" s="853"/>
      <c r="D57" s="855"/>
      <c r="E57" s="484"/>
      <c r="F57" s="476"/>
      <c r="G57" s="477"/>
      <c r="H57" s="858">
        <v>0.5</v>
      </c>
      <c r="I57" s="424">
        <f>H57*$C$4</f>
        <v>7.4950000000000001</v>
      </c>
      <c r="J57" s="460"/>
      <c r="K57" s="476"/>
      <c r="L57" s="477"/>
      <c r="M57" s="858">
        <v>0.5</v>
      </c>
      <c r="N57" s="424">
        <f>M57*$C$4</f>
        <v>7.4950000000000001</v>
      </c>
      <c r="O57" s="460"/>
      <c r="P57" s="476"/>
      <c r="Q57" s="477"/>
      <c r="R57" s="858">
        <v>0.5</v>
      </c>
      <c r="S57" s="579">
        <f>R57*$C$4</f>
        <v>7.4950000000000001</v>
      </c>
      <c r="T57" s="460"/>
      <c r="U57" s="476"/>
      <c r="V57" s="477"/>
      <c r="W57" s="858">
        <v>0.5</v>
      </c>
      <c r="X57" s="1009">
        <f>W57*$C$4</f>
        <v>7.4950000000000001</v>
      </c>
    </row>
    <row r="58" spans="2:24" x14ac:dyDescent="0.3">
      <c r="B58" s="432" t="s">
        <v>204</v>
      </c>
      <c r="C58" s="831"/>
      <c r="D58" s="831"/>
      <c r="E58" s="470"/>
      <c r="F58" s="430" t="s">
        <v>12</v>
      </c>
      <c r="G58" s="844">
        <f>50*'Arable Inputs'!D8</f>
        <v>56.499999999999993</v>
      </c>
      <c r="H58" s="432">
        <f>SUM(H57:H57)</f>
        <v>0.5</v>
      </c>
      <c r="I58" s="472">
        <f>SUM(I57:I57)</f>
        <v>7.4950000000000001</v>
      </c>
      <c r="J58" s="473"/>
      <c r="K58" s="430"/>
      <c r="L58" s="841">
        <f>20*'Arable Inputs'!$D$8</f>
        <v>22.599999999999998</v>
      </c>
      <c r="M58" s="432">
        <f>SUM(M57:M57)</f>
        <v>0.5</v>
      </c>
      <c r="N58" s="472">
        <f>SUM(N57:N57)</f>
        <v>7.4950000000000001</v>
      </c>
      <c r="O58" s="473"/>
      <c r="P58" s="430"/>
      <c r="Q58" s="1008">
        <f>20*'Arable Inputs'!$D$8</f>
        <v>22.599999999999998</v>
      </c>
      <c r="R58" s="432">
        <f>SUM(R57:R57)</f>
        <v>0.5</v>
      </c>
      <c r="S58" s="838">
        <f>SUM(S43:S57)</f>
        <v>40.472999999999999</v>
      </c>
      <c r="T58" s="473"/>
      <c r="U58" s="430"/>
      <c r="V58" s="1008">
        <f>20*'Arable Inputs'!$D$8</f>
        <v>22.599999999999998</v>
      </c>
      <c r="W58" s="432">
        <f>SUM(W57:W57)</f>
        <v>0.5</v>
      </c>
      <c r="X58" s="826">
        <f>SUM(X57:X57)</f>
        <v>7.4950000000000001</v>
      </c>
    </row>
    <row r="59" spans="2:24" x14ac:dyDescent="0.3">
      <c r="B59" s="432"/>
      <c r="C59" s="831"/>
      <c r="D59" s="831"/>
      <c r="E59" s="831"/>
      <c r="F59" s="430"/>
      <c r="G59" s="430"/>
      <c r="H59" s="430"/>
      <c r="I59" s="430"/>
      <c r="J59" s="839"/>
      <c r="K59" s="430"/>
      <c r="L59" s="430"/>
      <c r="M59" s="430"/>
      <c r="N59" s="430"/>
      <c r="O59" s="839"/>
      <c r="P59" s="430"/>
      <c r="Q59" s="838"/>
      <c r="R59" s="430"/>
      <c r="S59" s="472"/>
      <c r="T59" s="839"/>
      <c r="U59" s="430"/>
      <c r="V59" s="838"/>
      <c r="W59" s="430"/>
      <c r="X59" s="474"/>
    </row>
    <row r="60" spans="2:24" x14ac:dyDescent="0.3">
      <c r="B60" s="432" t="s">
        <v>255</v>
      </c>
      <c r="C60" s="805"/>
      <c r="D60" s="805"/>
      <c r="E60" s="805"/>
      <c r="F60" s="431"/>
      <c r="G60" s="431"/>
      <c r="H60" s="431"/>
      <c r="I60" s="431"/>
      <c r="J60" s="431"/>
      <c r="K60" s="431"/>
      <c r="L60" s="431"/>
      <c r="M60" s="431"/>
      <c r="N60" s="431"/>
      <c r="O60" s="431"/>
      <c r="P60" s="431"/>
      <c r="Q60" s="431"/>
      <c r="R60" s="431"/>
      <c r="S60" s="431"/>
      <c r="T60" s="431"/>
      <c r="U60" s="431"/>
      <c r="V60" s="431"/>
      <c r="W60" s="431"/>
      <c r="X60" s="433"/>
    </row>
    <row r="61" spans="2:24" x14ac:dyDescent="0.3">
      <c r="B61" s="16" t="s">
        <v>196</v>
      </c>
      <c r="C61" s="458">
        <f>40.25*'Arable Inputs'!$D$8</f>
        <v>45.482499999999995</v>
      </c>
      <c r="D61" s="459" t="s">
        <v>118</v>
      </c>
      <c r="E61" s="484"/>
      <c r="F61" s="435"/>
      <c r="G61" s="461"/>
      <c r="H61" s="435"/>
      <c r="I61" s="435"/>
      <c r="J61" s="460"/>
      <c r="K61" s="435"/>
      <c r="L61" s="461"/>
      <c r="M61" s="435"/>
      <c r="N61" s="435"/>
      <c r="O61" s="460">
        <v>1</v>
      </c>
      <c r="P61" s="435">
        <v>3</v>
      </c>
      <c r="Q61" s="1004">
        <f>IF(P61&gt;=1,CHOOSE(O61,$C61,$D61)*P61)</f>
        <v>136.44749999999999</v>
      </c>
      <c r="R61" s="866">
        <f>0.3*P61</f>
        <v>0.89999999999999991</v>
      </c>
      <c r="S61" s="579">
        <f>R61*$C$4</f>
        <v>13.491</v>
      </c>
      <c r="T61" s="460">
        <v>1</v>
      </c>
      <c r="U61" s="435">
        <v>3</v>
      </c>
      <c r="V61" s="1004">
        <f>IF(U61&gt;=1,CHOOSE(T61,$C61,$D61)*U61)</f>
        <v>136.44749999999999</v>
      </c>
      <c r="W61" s="866">
        <f>0.3*3</f>
        <v>0.89999999999999991</v>
      </c>
      <c r="X61" s="985">
        <f>W61*$C$4</f>
        <v>13.491</v>
      </c>
    </row>
    <row r="62" spans="2:24" x14ac:dyDescent="0.3">
      <c r="B62" s="432" t="s">
        <v>204</v>
      </c>
      <c r="C62" s="805"/>
      <c r="D62" s="805"/>
      <c r="E62" s="470"/>
      <c r="F62" s="430" t="s">
        <v>12</v>
      </c>
      <c r="G62" s="471"/>
      <c r="H62" s="430"/>
      <c r="I62" s="430"/>
      <c r="J62" s="473"/>
      <c r="K62" s="430"/>
      <c r="L62" s="471"/>
      <c r="M62" s="430"/>
      <c r="N62" s="430"/>
      <c r="O62" s="473"/>
      <c r="P62" s="430"/>
      <c r="Q62" s="826">
        <f>SUM(Q61:Q61)</f>
        <v>136.44749999999999</v>
      </c>
      <c r="R62" s="432">
        <f>SUM(R61:R61)</f>
        <v>0.89999999999999991</v>
      </c>
      <c r="S62" s="838">
        <f>SUM(S61:S61)</f>
        <v>13.491</v>
      </c>
      <c r="T62" s="473"/>
      <c r="U62" s="430"/>
      <c r="V62" s="826">
        <f>SUM(V61:V61)</f>
        <v>136.44749999999999</v>
      </c>
      <c r="W62" s="432">
        <f>SUM(W61:W61)</f>
        <v>0.89999999999999991</v>
      </c>
      <c r="X62" s="826">
        <f>SUM(X61:X61)</f>
        <v>13.491</v>
      </c>
    </row>
    <row r="64" spans="2:24" x14ac:dyDescent="0.3">
      <c r="B64" s="432" t="s">
        <v>35</v>
      </c>
      <c r="C64" s="805"/>
      <c r="D64" s="805"/>
      <c r="E64" s="805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3"/>
    </row>
    <row r="65" spans="2:24" x14ac:dyDescent="0.3">
      <c r="B65" s="16" t="s">
        <v>60</v>
      </c>
      <c r="C65" s="458">
        <f>12.63*'Arable Inputs'!$D$8</f>
        <v>14.271899999999999</v>
      </c>
      <c r="D65" s="497">
        <f>10.08*'Arable Inputs'!$D$8</f>
        <v>11.3904</v>
      </c>
      <c r="E65" s="460">
        <v>2</v>
      </c>
      <c r="F65" s="605">
        <v>4</v>
      </c>
      <c r="G65" s="985">
        <f>IF(F65&gt;=1,CHOOSE(E65,$C65,$D65)*F65)</f>
        <v>45.561599999999999</v>
      </c>
      <c r="H65" s="867">
        <f>0.3*F65</f>
        <v>1.2</v>
      </c>
      <c r="I65" s="579">
        <f>H65*$C$4</f>
        <v>17.988</v>
      </c>
      <c r="J65" s="460">
        <v>2</v>
      </c>
      <c r="K65" s="605">
        <v>4</v>
      </c>
      <c r="L65" s="985">
        <f>IF(K65&gt;=1,CHOOSE(J65,$C65,$D65)*K65)</f>
        <v>45.561599999999999</v>
      </c>
      <c r="M65" s="867">
        <f>0.3*K65</f>
        <v>1.2</v>
      </c>
      <c r="N65" s="579">
        <f>M65*$C$4</f>
        <v>17.988</v>
      </c>
      <c r="O65" s="460">
        <v>2</v>
      </c>
      <c r="P65" s="605">
        <v>2</v>
      </c>
      <c r="Q65" s="985">
        <f>IF(P65&gt;=1,CHOOSE(O65,$C65,$D65)*P65)</f>
        <v>22.780799999999999</v>
      </c>
      <c r="R65" s="867">
        <f>0.3*P65</f>
        <v>0.6</v>
      </c>
      <c r="S65" s="579">
        <f>R65*$C$4</f>
        <v>8.9939999999999998</v>
      </c>
      <c r="T65" s="460">
        <v>2</v>
      </c>
      <c r="U65" s="605">
        <v>2</v>
      </c>
      <c r="V65" s="985">
        <f>IF(U65&gt;=1,CHOOSE(T65,$C65,$D65)*U65)</f>
        <v>22.780799999999999</v>
      </c>
      <c r="W65" s="867">
        <f>0.3*U65</f>
        <v>0.6</v>
      </c>
      <c r="X65" s="1007">
        <f>W65*$C$4</f>
        <v>8.9939999999999998</v>
      </c>
    </row>
    <row r="66" spans="2:24" x14ac:dyDescent="0.3">
      <c r="B66" s="16" t="s">
        <v>59</v>
      </c>
      <c r="C66" s="458" t="s">
        <v>118</v>
      </c>
      <c r="D66" s="459">
        <f>8.16*'Arable Inputs'!$D$8</f>
        <v>9.2207999999999988</v>
      </c>
      <c r="E66" s="460"/>
      <c r="F66" s="435"/>
      <c r="G66" s="579"/>
      <c r="H66" s="16"/>
      <c r="I66" s="579"/>
      <c r="J66" s="460"/>
      <c r="K66" s="435"/>
      <c r="L66" s="579"/>
      <c r="M66" s="16"/>
      <c r="N66" s="579"/>
      <c r="O66" s="460"/>
      <c r="P66" s="435"/>
      <c r="Q66" s="579"/>
      <c r="R66" s="16"/>
      <c r="S66" s="579"/>
      <c r="T66" s="460"/>
      <c r="U66" s="435"/>
      <c r="V66" s="579"/>
      <c r="W66" s="16"/>
      <c r="X66" s="985"/>
    </row>
    <row r="67" spans="2:24" x14ac:dyDescent="0.3">
      <c r="B67" s="10" t="s">
        <v>58</v>
      </c>
      <c r="C67" s="500">
        <f>(C65+4.32)*'Arable Inputs'!$D$8</f>
        <v>21.008846999999996</v>
      </c>
      <c r="D67" s="459" t="s">
        <v>118</v>
      </c>
      <c r="E67" s="460"/>
      <c r="F67" s="435"/>
      <c r="G67" s="579"/>
      <c r="H67" s="16"/>
      <c r="I67" s="579"/>
      <c r="J67" s="460"/>
      <c r="K67" s="435"/>
      <c r="L67" s="579"/>
      <c r="M67" s="16"/>
      <c r="N67" s="579"/>
      <c r="O67" s="460"/>
      <c r="P67" s="435"/>
      <c r="Q67" s="579"/>
      <c r="R67" s="16"/>
      <c r="S67" s="579"/>
      <c r="T67" s="460"/>
      <c r="U67" s="435"/>
      <c r="V67" s="579"/>
      <c r="W67" s="16"/>
      <c r="X67" s="985"/>
    </row>
    <row r="68" spans="2:24" x14ac:dyDescent="0.3">
      <c r="B68" s="16" t="s">
        <v>135</v>
      </c>
      <c r="C68" s="458">
        <f>12.36*'Arable Inputs'!$D$8</f>
        <v>13.966799999999997</v>
      </c>
      <c r="D68" s="459" t="s">
        <v>118</v>
      </c>
      <c r="E68" s="460"/>
      <c r="F68" s="494"/>
      <c r="G68" s="995"/>
      <c r="H68" s="496"/>
      <c r="I68" s="996"/>
      <c r="J68" s="495"/>
      <c r="K68" s="494"/>
      <c r="L68" s="995"/>
      <c r="M68" s="496"/>
      <c r="N68" s="995"/>
      <c r="O68" s="460"/>
      <c r="P68" s="494"/>
      <c r="Q68" s="995"/>
      <c r="R68" s="496"/>
      <c r="S68" s="996"/>
      <c r="T68" s="460"/>
      <c r="U68" s="494"/>
      <c r="V68" s="995"/>
      <c r="W68" s="496"/>
      <c r="X68" s="994"/>
    </row>
    <row r="69" spans="2:24" x14ac:dyDescent="0.3">
      <c r="B69" s="16" t="s">
        <v>136</v>
      </c>
      <c r="C69" s="458">
        <f>8.9*'Arable Inputs'!$D$8</f>
        <v>10.056999999999999</v>
      </c>
      <c r="D69" s="459">
        <f>2.89*'Arable Inputs'!$D$8</f>
        <v>3.2656999999999998</v>
      </c>
      <c r="E69" s="460"/>
      <c r="F69" s="494"/>
      <c r="G69" s="995"/>
      <c r="H69" s="496"/>
      <c r="I69" s="996"/>
      <c r="J69" s="495"/>
      <c r="K69" s="494"/>
      <c r="L69" s="995"/>
      <c r="M69" s="496"/>
      <c r="N69" s="995"/>
      <c r="O69" s="460"/>
      <c r="P69" s="494"/>
      <c r="Q69" s="995"/>
      <c r="R69" s="496"/>
      <c r="S69" s="996"/>
      <c r="T69" s="460"/>
      <c r="U69" s="494"/>
      <c r="V69" s="995"/>
      <c r="W69" s="496"/>
      <c r="X69" s="994"/>
    </row>
    <row r="70" spans="2:24" x14ac:dyDescent="0.3">
      <c r="B70" s="16" t="s">
        <v>61</v>
      </c>
      <c r="C70" s="458">
        <f>25.95*'Arable Inputs'!$D$8</f>
        <v>29.323499999999996</v>
      </c>
      <c r="D70" s="459" t="s">
        <v>118</v>
      </c>
      <c r="E70" s="460"/>
      <c r="F70" s="435"/>
      <c r="G70" s="579"/>
      <c r="H70" s="16"/>
      <c r="I70" s="579"/>
      <c r="J70" s="460"/>
      <c r="K70" s="435"/>
      <c r="L70" s="579"/>
      <c r="M70" s="16"/>
      <c r="N70" s="579"/>
      <c r="O70" s="460"/>
      <c r="P70" s="435"/>
      <c r="Q70" s="579"/>
      <c r="R70" s="16"/>
      <c r="S70" s="579"/>
      <c r="T70" s="460"/>
      <c r="U70" s="435"/>
      <c r="V70" s="579"/>
      <c r="W70" s="16"/>
      <c r="X70" s="985"/>
    </row>
    <row r="71" spans="2:24" x14ac:dyDescent="0.3">
      <c r="B71" s="16" t="s">
        <v>137</v>
      </c>
      <c r="C71" s="458">
        <f>19.77*'Arable Inputs'!$D$8</f>
        <v>22.340099999999996</v>
      </c>
      <c r="D71" s="459" t="s">
        <v>118</v>
      </c>
      <c r="E71" s="460"/>
      <c r="F71" s="435"/>
      <c r="G71" s="985"/>
      <c r="H71" s="827"/>
      <c r="I71" s="579"/>
      <c r="J71" s="460"/>
      <c r="K71" s="428"/>
      <c r="L71" s="985"/>
      <c r="M71" s="827"/>
      <c r="N71" s="579"/>
      <c r="O71" s="460"/>
      <c r="P71" s="435"/>
      <c r="Q71" s="985"/>
      <c r="R71" s="827"/>
      <c r="S71" s="579"/>
      <c r="T71" s="460"/>
      <c r="U71" s="435"/>
      <c r="V71" s="985"/>
      <c r="W71" s="827"/>
      <c r="X71" s="993"/>
    </row>
    <row r="72" spans="2:24" x14ac:dyDescent="0.3">
      <c r="B72" s="432" t="s">
        <v>62</v>
      </c>
      <c r="C72" s="805"/>
      <c r="D72" s="805"/>
      <c r="E72" s="470"/>
      <c r="F72" s="430" t="s">
        <v>12</v>
      </c>
      <c r="G72" s="826">
        <f>SUM(G65:G71)</f>
        <v>45.561599999999999</v>
      </c>
      <c r="H72" s="808">
        <f>SUM(H65:H71)</f>
        <v>1.2</v>
      </c>
      <c r="I72" s="838">
        <f>SUM(I65:I71)</f>
        <v>17.988</v>
      </c>
      <c r="J72" s="473"/>
      <c r="K72" s="430"/>
      <c r="L72" s="826">
        <f>SUM(L65:L71)</f>
        <v>45.561599999999999</v>
      </c>
      <c r="M72" s="808">
        <f>SUM(M65:M71)</f>
        <v>1.2</v>
      </c>
      <c r="N72" s="838">
        <f>SUM(N65:N71)</f>
        <v>17.988</v>
      </c>
      <c r="O72" s="470"/>
      <c r="P72" s="430" t="s">
        <v>12</v>
      </c>
      <c r="Q72" s="826">
        <f>SUM(Q65:Q71)</f>
        <v>22.780799999999999</v>
      </c>
      <c r="R72" s="808">
        <f>SUM(R65:R71)</f>
        <v>0.6</v>
      </c>
      <c r="S72" s="838">
        <f>SUM(S65:S71)</f>
        <v>8.9939999999999998</v>
      </c>
      <c r="T72" s="470"/>
      <c r="U72" s="430" t="s">
        <v>12</v>
      </c>
      <c r="V72" s="826">
        <f>SUM(V65:V71)</f>
        <v>22.780799999999999</v>
      </c>
      <c r="W72" s="808">
        <f>SUM(W65:W71)</f>
        <v>0.6</v>
      </c>
      <c r="X72" s="826">
        <f>SUM(X65:X71)</f>
        <v>8.9939999999999998</v>
      </c>
    </row>
    <row r="74" spans="2:24" x14ac:dyDescent="0.3">
      <c r="B74" s="432" t="s">
        <v>483</v>
      </c>
      <c r="C74" s="831"/>
      <c r="D74" s="831"/>
      <c r="E74" s="8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3"/>
    </row>
    <row r="75" spans="2:24" x14ac:dyDescent="0.3">
      <c r="B75" s="16" t="s">
        <v>206</v>
      </c>
      <c r="C75" s="458">
        <f>12.36*'Arable Inputs'!$D$8</f>
        <v>13.966799999999997</v>
      </c>
      <c r="D75" s="459">
        <f>6.69*'Arable Inputs'!$D$8</f>
        <v>7.5596999999999994</v>
      </c>
      <c r="E75" s="460"/>
      <c r="F75" s="476"/>
      <c r="G75" s="477"/>
      <c r="H75" s="435"/>
      <c r="I75" s="435"/>
      <c r="J75" s="460"/>
      <c r="K75" s="476"/>
      <c r="L75" s="477"/>
      <c r="M75" s="435"/>
      <c r="N75" s="435"/>
      <c r="O75" s="460"/>
      <c r="P75" s="476"/>
      <c r="Q75" s="477"/>
      <c r="R75" s="435"/>
      <c r="S75" s="435"/>
      <c r="T75" s="460"/>
      <c r="U75" s="476"/>
      <c r="V75" s="477"/>
      <c r="W75" s="462"/>
      <c r="X75" s="461"/>
    </row>
    <row r="76" spans="2:24" x14ac:dyDescent="0.3">
      <c r="B76" s="16" t="s">
        <v>48</v>
      </c>
      <c r="C76" s="458">
        <f>(C75+3.71)*'Arable Inputs'!$D$8</f>
        <v>19.974783999999993</v>
      </c>
      <c r="D76" s="459" t="s">
        <v>118</v>
      </c>
      <c r="E76" s="460">
        <v>1</v>
      </c>
      <c r="F76" s="435">
        <v>1</v>
      </c>
      <c r="G76" s="985">
        <f>IF(F76&gt;=1,CHOOSE(E76,$C76,$D76)*F76)</f>
        <v>19.974783999999993</v>
      </c>
      <c r="H76" s="858">
        <v>1.2</v>
      </c>
      <c r="I76" s="579">
        <f>H76*$C$4</f>
        <v>17.988</v>
      </c>
      <c r="J76" s="460">
        <v>1</v>
      </c>
      <c r="K76" s="435">
        <v>1</v>
      </c>
      <c r="L76" s="985">
        <f>IF(K76&gt;=1,CHOOSE(J76,$C76,$D76)*K76)</f>
        <v>19.974783999999993</v>
      </c>
      <c r="M76" s="858">
        <v>1.2</v>
      </c>
      <c r="N76" s="579">
        <f>M76*$C$4</f>
        <v>17.988</v>
      </c>
      <c r="O76" s="460">
        <v>1</v>
      </c>
      <c r="P76" s="435">
        <v>1</v>
      </c>
      <c r="Q76" s="461">
        <f>IF(P76&gt;=1,CHOOSE(O76,$C76,$D76)*P76)</f>
        <v>19.974783999999993</v>
      </c>
      <c r="R76" s="858">
        <v>1.2</v>
      </c>
      <c r="S76" s="579">
        <f>R76*$C$4</f>
        <v>17.988</v>
      </c>
      <c r="T76" s="460">
        <v>1</v>
      </c>
      <c r="U76" s="435">
        <v>1</v>
      </c>
      <c r="V76" s="985">
        <f>IF(U76&gt;=1,CHOOSE(T76,$C76,$D76)*U76)</f>
        <v>19.974783999999993</v>
      </c>
      <c r="W76" s="858">
        <v>1.2</v>
      </c>
      <c r="X76" s="985">
        <f>W76*$C$4</f>
        <v>17.988</v>
      </c>
    </row>
    <row r="77" spans="2:24" x14ac:dyDescent="0.3">
      <c r="B77" s="16" t="s">
        <v>131</v>
      </c>
      <c r="C77" s="458">
        <f>6.1*'Arable Inputs'!$D$8</f>
        <v>6.8929999999999989</v>
      </c>
      <c r="D77" s="459" t="s">
        <v>118</v>
      </c>
      <c r="E77" s="460"/>
      <c r="F77" s="435"/>
      <c r="G77" s="461"/>
      <c r="H77" s="435"/>
      <c r="I77" s="579"/>
      <c r="J77" s="460"/>
      <c r="K77" s="435"/>
      <c r="L77" s="461"/>
      <c r="M77" s="435"/>
      <c r="N77" s="579"/>
      <c r="O77" s="460"/>
      <c r="P77" s="435"/>
      <c r="Q77" s="461"/>
      <c r="R77" s="435"/>
      <c r="S77" s="579"/>
      <c r="T77" s="460"/>
      <c r="U77" s="435"/>
      <c r="V77" s="985"/>
      <c r="W77" s="462"/>
      <c r="X77" s="985"/>
    </row>
    <row r="78" spans="2:24" x14ac:dyDescent="0.3">
      <c r="B78" s="16" t="s">
        <v>49</v>
      </c>
      <c r="C78" s="458">
        <f>14.83*'Arable Inputs'!$D$8</f>
        <v>16.757899999999999</v>
      </c>
      <c r="D78" s="459">
        <f>12.09*'Arable Inputs'!$D$8</f>
        <v>13.661699999999998</v>
      </c>
      <c r="E78" s="460"/>
      <c r="F78" s="435"/>
      <c r="G78" s="461"/>
      <c r="H78" s="435"/>
      <c r="I78" s="579"/>
      <c r="J78" s="460"/>
      <c r="K78" s="435"/>
      <c r="L78" s="461"/>
      <c r="M78" s="435"/>
      <c r="N78" s="579"/>
      <c r="O78" s="460"/>
      <c r="P78" s="435"/>
      <c r="Q78" s="461"/>
      <c r="R78" s="435"/>
      <c r="S78" s="579"/>
      <c r="T78" s="460"/>
      <c r="U78" s="435"/>
      <c r="V78" s="985"/>
      <c r="W78" s="462"/>
      <c r="X78" s="985"/>
    </row>
    <row r="79" spans="2:24" x14ac:dyDescent="0.3">
      <c r="B79" s="16" t="s">
        <v>176</v>
      </c>
      <c r="C79" s="458">
        <f>49.5*'Arable Inputs'!$D$8</f>
        <v>55.934999999999995</v>
      </c>
      <c r="D79" s="459">
        <f>49.64*'Arable Inputs'!$D$8</f>
        <v>56.093199999999996</v>
      </c>
      <c r="E79" s="460"/>
      <c r="F79" s="435"/>
      <c r="G79" s="461"/>
      <c r="H79" s="840"/>
      <c r="I79" s="579"/>
      <c r="J79" s="460"/>
      <c r="K79" s="435"/>
      <c r="L79" s="461"/>
      <c r="M79" s="840"/>
      <c r="N79" s="579"/>
      <c r="O79" s="460"/>
      <c r="P79" s="435"/>
      <c r="Q79" s="461"/>
      <c r="R79" s="840"/>
      <c r="S79" s="579"/>
      <c r="T79" s="460"/>
      <c r="U79" s="435"/>
      <c r="V79" s="985"/>
      <c r="W79" s="814"/>
      <c r="X79" s="985"/>
    </row>
    <row r="80" spans="2:24" x14ac:dyDescent="0.3">
      <c r="B80" s="16" t="s">
        <v>177</v>
      </c>
      <c r="C80" s="458">
        <f>44.5*'Arable Inputs'!$D$8</f>
        <v>50.284999999999997</v>
      </c>
      <c r="D80" s="459" t="s">
        <v>118</v>
      </c>
      <c r="E80" s="460"/>
      <c r="F80" s="435"/>
      <c r="G80" s="461"/>
      <c r="H80" s="435"/>
      <c r="I80" s="579"/>
      <c r="J80" s="460"/>
      <c r="K80" s="435"/>
      <c r="L80" s="461"/>
      <c r="M80" s="435"/>
      <c r="N80" s="579"/>
      <c r="O80" s="460"/>
      <c r="P80" s="435"/>
      <c r="Q80" s="461"/>
      <c r="R80" s="435"/>
      <c r="S80" s="579"/>
      <c r="T80" s="460"/>
      <c r="U80" s="435"/>
      <c r="V80" s="985"/>
      <c r="W80" s="462"/>
      <c r="X80" s="985"/>
    </row>
    <row r="81" spans="2:24" x14ac:dyDescent="0.3">
      <c r="B81" s="16" t="s">
        <v>178</v>
      </c>
      <c r="C81" s="458">
        <f>50*'Arable Inputs'!$D$8</f>
        <v>56.499999999999993</v>
      </c>
      <c r="D81" s="459">
        <f>54.11*'Arable Inputs'!$D$8</f>
        <v>61.144299999999994</v>
      </c>
      <c r="E81" s="460"/>
      <c r="F81" s="435"/>
      <c r="G81" s="461"/>
      <c r="H81" s="435"/>
      <c r="I81" s="579"/>
      <c r="J81" s="460"/>
      <c r="K81" s="435"/>
      <c r="L81" s="461"/>
      <c r="M81" s="435"/>
      <c r="N81" s="579"/>
      <c r="O81" s="460"/>
      <c r="P81" s="435"/>
      <c r="Q81" s="461"/>
      <c r="R81" s="435"/>
      <c r="S81" s="579"/>
      <c r="T81" s="460"/>
      <c r="U81" s="435"/>
      <c r="V81" s="985"/>
      <c r="W81" s="462"/>
      <c r="X81" s="985"/>
    </row>
    <row r="82" spans="2:24" x14ac:dyDescent="0.3">
      <c r="B82" s="16" t="s">
        <v>179</v>
      </c>
      <c r="C82" s="458">
        <f>78.2*'Arable Inputs'!$D$8</f>
        <v>88.366</v>
      </c>
      <c r="D82" s="459" t="s">
        <v>118</v>
      </c>
      <c r="E82" s="460"/>
      <c r="F82" s="435"/>
      <c r="G82" s="461"/>
      <c r="H82" s="435"/>
      <c r="I82" s="579"/>
      <c r="J82" s="460"/>
      <c r="K82" s="435"/>
      <c r="L82" s="461"/>
      <c r="M82" s="435"/>
      <c r="N82" s="579"/>
      <c r="O82" s="460"/>
      <c r="P82" s="435"/>
      <c r="Q82" s="461"/>
      <c r="R82" s="435"/>
      <c r="S82" s="579"/>
      <c r="T82" s="460"/>
      <c r="U82" s="435"/>
      <c r="V82" s="985"/>
      <c r="W82" s="462"/>
      <c r="X82" s="985"/>
    </row>
    <row r="83" spans="2:24" x14ac:dyDescent="0.3">
      <c r="B83" s="16" t="s">
        <v>180</v>
      </c>
      <c r="C83" s="458">
        <f>40*'Arable Inputs'!$D$8</f>
        <v>45.199999999999996</v>
      </c>
      <c r="D83" s="459" t="s">
        <v>118</v>
      </c>
      <c r="E83" s="460"/>
      <c r="F83" s="435"/>
      <c r="G83" s="461"/>
      <c r="H83" s="435"/>
      <c r="I83" s="579"/>
      <c r="J83" s="460"/>
      <c r="K83" s="435"/>
      <c r="L83" s="461"/>
      <c r="M83" s="435"/>
      <c r="N83" s="579"/>
      <c r="O83" s="460"/>
      <c r="P83" s="435"/>
      <c r="Q83" s="461"/>
      <c r="R83" s="435"/>
      <c r="S83" s="579"/>
      <c r="T83" s="460"/>
      <c r="U83" s="435"/>
      <c r="V83" s="985"/>
      <c r="W83" s="462"/>
      <c r="X83" s="985"/>
    </row>
    <row r="84" spans="2:24" x14ac:dyDescent="0.3">
      <c r="B84" s="16" t="s">
        <v>181</v>
      </c>
      <c r="C84" s="468">
        <f>54.83*'Arable Inputs'!$D$8</f>
        <v>61.957899999999995</v>
      </c>
      <c r="D84" s="478" t="s">
        <v>118</v>
      </c>
      <c r="E84" s="479"/>
      <c r="F84" s="428"/>
      <c r="G84" s="480"/>
      <c r="H84" s="435"/>
      <c r="I84" s="579"/>
      <c r="J84" s="460"/>
      <c r="K84" s="428"/>
      <c r="L84" s="480"/>
      <c r="M84" s="435"/>
      <c r="N84" s="579"/>
      <c r="O84" s="460"/>
      <c r="P84" s="428"/>
      <c r="Q84" s="480"/>
      <c r="R84" s="435"/>
      <c r="S84" s="579"/>
      <c r="T84" s="460"/>
      <c r="U84" s="428"/>
      <c r="V84" s="993"/>
      <c r="W84" s="462"/>
      <c r="X84" s="985"/>
    </row>
    <row r="85" spans="2:24" x14ac:dyDescent="0.3">
      <c r="B85" s="432" t="s">
        <v>50</v>
      </c>
      <c r="C85" s="831"/>
      <c r="D85" s="831"/>
      <c r="E85" s="470"/>
      <c r="F85" s="430" t="s">
        <v>12</v>
      </c>
      <c r="G85" s="826">
        <f>SUM(G75:G84)</f>
        <v>19.974783999999993</v>
      </c>
      <c r="H85" s="808">
        <f>SUM(H75:H84)</f>
        <v>1.2</v>
      </c>
      <c r="I85" s="838">
        <f>SUM(I75:I84)</f>
        <v>17.988</v>
      </c>
      <c r="J85" s="473"/>
      <c r="K85" s="430"/>
      <c r="L85" s="826">
        <f>SUM(L75:L84)</f>
        <v>19.974783999999993</v>
      </c>
      <c r="M85" s="808">
        <f>SUM(M75:M84)</f>
        <v>1.2</v>
      </c>
      <c r="N85" s="838">
        <f>SUM(N75:N84)</f>
        <v>17.988</v>
      </c>
      <c r="O85" s="473"/>
      <c r="P85" s="430"/>
      <c r="Q85" s="826">
        <f>SUM(Q75:Q84)</f>
        <v>19.974783999999993</v>
      </c>
      <c r="R85" s="808">
        <f>SUM(R75:R84)</f>
        <v>1.2</v>
      </c>
      <c r="S85" s="838">
        <f>SUM(S75:S84)</f>
        <v>17.988</v>
      </c>
      <c r="T85" s="473"/>
      <c r="U85" s="430"/>
      <c r="V85" s="826">
        <f>SUM(V75:V84)</f>
        <v>19.974783999999993</v>
      </c>
      <c r="W85" s="808">
        <f>SUM(W75:W84)</f>
        <v>1.2</v>
      </c>
      <c r="X85" s="826">
        <f>SUM(X75:X84)</f>
        <v>17.988</v>
      </c>
    </row>
    <row r="89" spans="2:24" x14ac:dyDescent="0.3">
      <c r="B89" s="432" t="s">
        <v>491</v>
      </c>
      <c r="C89" s="831"/>
      <c r="D89" s="831"/>
      <c r="E89" s="831"/>
      <c r="F89" s="430"/>
      <c r="G89" s="838"/>
      <c r="H89" s="838"/>
      <c r="I89" s="472"/>
      <c r="J89" s="839"/>
      <c r="K89" s="430"/>
      <c r="L89" s="838"/>
      <c r="M89" s="838"/>
      <c r="N89" s="472"/>
      <c r="O89" s="839"/>
      <c r="P89" s="430"/>
      <c r="Q89" s="838"/>
      <c r="R89" s="838"/>
      <c r="S89" s="472"/>
      <c r="T89" s="839"/>
      <c r="U89" s="430"/>
      <c r="V89" s="838"/>
      <c r="W89" s="838"/>
      <c r="X89" s="474"/>
    </row>
    <row r="90" spans="2:24" x14ac:dyDescent="0.3">
      <c r="B90" s="432" t="s">
        <v>482</v>
      </c>
      <c r="C90" s="805"/>
      <c r="D90" s="805"/>
      <c r="E90" s="805"/>
      <c r="F90" s="431"/>
      <c r="G90" s="431"/>
      <c r="H90" s="431"/>
      <c r="I90" s="431"/>
      <c r="J90" s="431"/>
      <c r="K90" s="431"/>
      <c r="L90" s="431"/>
      <c r="M90" s="431"/>
      <c r="N90" s="431"/>
      <c r="O90" s="431"/>
      <c r="P90" s="431"/>
      <c r="Q90" s="431"/>
      <c r="R90" s="431"/>
      <c r="S90" s="431"/>
      <c r="T90" s="431"/>
      <c r="U90" s="431"/>
      <c r="V90" s="431"/>
      <c r="W90" s="431"/>
      <c r="X90" s="433"/>
    </row>
    <row r="91" spans="2:24" x14ac:dyDescent="0.3">
      <c r="B91" s="16" t="s">
        <v>206</v>
      </c>
      <c r="C91" s="458">
        <f>12.36*'Arable Inputs'!$D$8</f>
        <v>13.966799999999997</v>
      </c>
      <c r="D91" s="459">
        <f>6.69*'Arable Inputs'!$D$8</f>
        <v>7.5596999999999994</v>
      </c>
      <c r="E91" s="460"/>
      <c r="F91" s="476"/>
      <c r="G91" s="477"/>
      <c r="H91" s="435"/>
      <c r="I91" s="435"/>
      <c r="J91" s="460"/>
      <c r="K91" s="476"/>
      <c r="L91" s="477"/>
      <c r="M91" s="435"/>
      <c r="N91" s="435"/>
      <c r="O91" s="460"/>
      <c r="P91" s="476"/>
      <c r="Q91" s="477"/>
      <c r="R91" s="435"/>
      <c r="S91" s="435"/>
      <c r="T91" s="460"/>
      <c r="U91" s="476"/>
      <c r="V91" s="477"/>
      <c r="W91" s="462"/>
      <c r="X91" s="461"/>
    </row>
    <row r="92" spans="2:24" x14ac:dyDescent="0.3">
      <c r="B92" s="16" t="s">
        <v>48</v>
      </c>
      <c r="C92" s="458">
        <f>(C91+3.71)*'Arable Inputs'!$D$8</f>
        <v>19.974783999999993</v>
      </c>
      <c r="D92" s="459" t="s">
        <v>118</v>
      </c>
      <c r="E92" s="460">
        <v>1</v>
      </c>
      <c r="F92" s="435">
        <v>1</v>
      </c>
      <c r="G92" s="985">
        <f>IF(F92&gt;=1,CHOOSE(E92,$C92,$D92)*F92)</f>
        <v>19.974783999999993</v>
      </c>
      <c r="H92" s="858">
        <v>0.3</v>
      </c>
      <c r="I92" s="579">
        <f>H92*$C$4</f>
        <v>4.4969999999999999</v>
      </c>
      <c r="J92" s="460">
        <v>1</v>
      </c>
      <c r="K92" s="435">
        <v>1</v>
      </c>
      <c r="L92" s="985">
        <f>IF(K92&gt;=1,CHOOSE(J92,$C92,$D92)*K92)</f>
        <v>19.974783999999993</v>
      </c>
      <c r="M92" s="858">
        <v>0.3</v>
      </c>
      <c r="N92" s="579">
        <f>M92*$C$4</f>
        <v>4.4969999999999999</v>
      </c>
      <c r="O92" s="460">
        <v>1</v>
      </c>
      <c r="P92" s="435">
        <v>1</v>
      </c>
      <c r="Q92" s="985">
        <f>IF(P92&gt;=1,CHOOSE(O92,$C92,$D92)*P92)</f>
        <v>19.974783999999993</v>
      </c>
      <c r="R92" s="858">
        <v>0.3</v>
      </c>
      <c r="S92" s="579">
        <f>R92*$C$4</f>
        <v>4.4969999999999999</v>
      </c>
      <c r="T92" s="460">
        <v>1</v>
      </c>
      <c r="U92" s="435">
        <v>1</v>
      </c>
      <c r="V92" s="985">
        <f>IF(U92&gt;=1,CHOOSE(T92,$C92,$D92)*U92)</f>
        <v>19.974783999999993</v>
      </c>
      <c r="W92" s="858">
        <v>0.3</v>
      </c>
      <c r="X92" s="985">
        <f>W92*$C$4</f>
        <v>4.4969999999999999</v>
      </c>
    </row>
    <row r="93" spans="2:24" x14ac:dyDescent="0.3">
      <c r="B93" s="16" t="s">
        <v>131</v>
      </c>
      <c r="C93" s="458">
        <f>6.1*'Arable Inputs'!$D$8</f>
        <v>6.8929999999999989</v>
      </c>
      <c r="D93" s="459" t="s">
        <v>118</v>
      </c>
      <c r="E93" s="460"/>
      <c r="F93" s="435"/>
      <c r="G93" s="461"/>
      <c r="H93" s="858"/>
      <c r="I93" s="579"/>
      <c r="J93" s="460"/>
      <c r="K93" s="435"/>
      <c r="L93" s="461"/>
      <c r="M93" s="858"/>
      <c r="N93" s="579"/>
      <c r="O93" s="460"/>
      <c r="P93" s="435"/>
      <c r="Q93" s="461"/>
      <c r="R93" s="858"/>
      <c r="S93" s="579"/>
      <c r="T93" s="460"/>
      <c r="U93" s="435"/>
      <c r="V93" s="461"/>
      <c r="W93" s="865"/>
      <c r="X93" s="985"/>
    </row>
    <row r="94" spans="2:24" x14ac:dyDescent="0.3">
      <c r="B94" s="16" t="s">
        <v>49</v>
      </c>
      <c r="C94" s="458">
        <f>14.83*'Arable Inputs'!$D$8</f>
        <v>16.757899999999999</v>
      </c>
      <c r="D94" s="459">
        <f>12.09*'Arable Inputs'!$D$8</f>
        <v>13.661699999999998</v>
      </c>
      <c r="E94" s="460"/>
      <c r="F94" s="435"/>
      <c r="G94" s="461"/>
      <c r="H94" s="858"/>
      <c r="I94" s="579"/>
      <c r="J94" s="460"/>
      <c r="K94" s="435"/>
      <c r="L94" s="461"/>
      <c r="M94" s="858"/>
      <c r="N94" s="579"/>
      <c r="O94" s="460"/>
      <c r="P94" s="435"/>
      <c r="Q94" s="461"/>
      <c r="R94" s="858"/>
      <c r="S94" s="579"/>
      <c r="T94" s="460"/>
      <c r="U94" s="435"/>
      <c r="V94" s="461"/>
      <c r="W94" s="865"/>
      <c r="X94" s="985"/>
    </row>
    <row r="95" spans="2:24" x14ac:dyDescent="0.3">
      <c r="B95" s="16" t="s">
        <v>176</v>
      </c>
      <c r="C95" s="458">
        <f>49.5*'Arable Inputs'!$D$8</f>
        <v>55.934999999999995</v>
      </c>
      <c r="D95" s="459">
        <f>49.64*'Arable Inputs'!$D$8</f>
        <v>56.093199999999996</v>
      </c>
      <c r="E95" s="460"/>
      <c r="F95" s="435"/>
      <c r="G95" s="461"/>
      <c r="H95" s="858"/>
      <c r="I95" s="579"/>
      <c r="J95" s="460"/>
      <c r="K95" s="435"/>
      <c r="L95" s="461"/>
      <c r="M95" s="858"/>
      <c r="N95" s="579"/>
      <c r="O95" s="460"/>
      <c r="P95" s="435"/>
      <c r="Q95" s="461"/>
      <c r="R95" s="858"/>
      <c r="S95" s="579"/>
      <c r="T95" s="460"/>
      <c r="U95" s="435"/>
      <c r="V95" s="461"/>
      <c r="W95" s="865"/>
      <c r="X95" s="985"/>
    </row>
    <row r="96" spans="2:24" x14ac:dyDescent="0.3">
      <c r="B96" s="16" t="s">
        <v>177</v>
      </c>
      <c r="C96" s="458">
        <f>44.5*'Arable Inputs'!$D$8</f>
        <v>50.284999999999997</v>
      </c>
      <c r="D96" s="459" t="s">
        <v>118</v>
      </c>
      <c r="E96" s="460"/>
      <c r="F96" s="435"/>
      <c r="G96" s="461"/>
      <c r="H96" s="435"/>
      <c r="I96" s="579"/>
      <c r="J96" s="460"/>
      <c r="K96" s="435"/>
      <c r="L96" s="461"/>
      <c r="M96" s="435"/>
      <c r="N96" s="579"/>
      <c r="O96" s="460"/>
      <c r="P96" s="435"/>
      <c r="Q96" s="461"/>
      <c r="R96" s="435"/>
      <c r="S96" s="579"/>
      <c r="T96" s="460"/>
      <c r="U96" s="435"/>
      <c r="V96" s="461"/>
      <c r="W96" s="462"/>
      <c r="X96" s="985"/>
    </row>
    <row r="97" spans="2:24" x14ac:dyDescent="0.3">
      <c r="B97" s="16" t="s">
        <v>178</v>
      </c>
      <c r="C97" s="458">
        <f>50*'Arable Inputs'!$D$8</f>
        <v>56.499999999999993</v>
      </c>
      <c r="D97" s="459">
        <f>54.11*'Arable Inputs'!$D$8</f>
        <v>61.144299999999994</v>
      </c>
      <c r="E97" s="460"/>
      <c r="F97" s="435"/>
      <c r="G97" s="461"/>
      <c r="H97" s="435"/>
      <c r="I97" s="579"/>
      <c r="J97" s="460"/>
      <c r="K97" s="435"/>
      <c r="L97" s="461"/>
      <c r="M97" s="435"/>
      <c r="N97" s="579"/>
      <c r="O97" s="460"/>
      <c r="P97" s="435"/>
      <c r="Q97" s="461"/>
      <c r="R97" s="435"/>
      <c r="S97" s="579"/>
      <c r="T97" s="460"/>
      <c r="U97" s="435"/>
      <c r="V97" s="461"/>
      <c r="W97" s="462"/>
      <c r="X97" s="985"/>
    </row>
    <row r="98" spans="2:24" x14ac:dyDescent="0.3">
      <c r="B98" s="16" t="s">
        <v>179</v>
      </c>
      <c r="C98" s="458">
        <f>78.2*'Arable Inputs'!$D$8</f>
        <v>88.366</v>
      </c>
      <c r="D98" s="459" t="s">
        <v>118</v>
      </c>
      <c r="E98" s="460"/>
      <c r="F98" s="435"/>
      <c r="G98" s="461"/>
      <c r="H98" s="435"/>
      <c r="I98" s="579"/>
      <c r="J98" s="460"/>
      <c r="K98" s="435"/>
      <c r="L98" s="461"/>
      <c r="M98" s="435"/>
      <c r="N98" s="579"/>
      <c r="O98" s="460"/>
      <c r="P98" s="435"/>
      <c r="Q98" s="461"/>
      <c r="R98" s="435"/>
      <c r="S98" s="579"/>
      <c r="T98" s="460"/>
      <c r="U98" s="435"/>
      <c r="V98" s="461"/>
      <c r="W98" s="462"/>
      <c r="X98" s="985"/>
    </row>
    <row r="99" spans="2:24" x14ac:dyDescent="0.3">
      <c r="B99" s="16" t="s">
        <v>180</v>
      </c>
      <c r="C99" s="458">
        <f>40*'Arable Inputs'!$D$8</f>
        <v>45.199999999999996</v>
      </c>
      <c r="D99" s="459" t="s">
        <v>118</v>
      </c>
      <c r="E99" s="460"/>
      <c r="F99" s="435"/>
      <c r="G99" s="461"/>
      <c r="H99" s="435"/>
      <c r="I99" s="579"/>
      <c r="J99" s="460"/>
      <c r="K99" s="435"/>
      <c r="L99" s="461"/>
      <c r="M99" s="435"/>
      <c r="N99" s="579"/>
      <c r="O99" s="460"/>
      <c r="P99" s="435"/>
      <c r="Q99" s="461"/>
      <c r="R99" s="435"/>
      <c r="S99" s="579"/>
      <c r="T99" s="460"/>
      <c r="U99" s="435"/>
      <c r="V99" s="461"/>
      <c r="W99" s="462"/>
      <c r="X99" s="985"/>
    </row>
    <row r="100" spans="2:24" x14ac:dyDescent="0.3">
      <c r="B100" s="16" t="s">
        <v>181</v>
      </c>
      <c r="C100" s="468">
        <f>54.83*'Arable Inputs'!$D$8</f>
        <v>61.957899999999995</v>
      </c>
      <c r="D100" s="478" t="s">
        <v>118</v>
      </c>
      <c r="E100" s="479"/>
      <c r="F100" s="428"/>
      <c r="G100" s="480"/>
      <c r="H100" s="435"/>
      <c r="I100" s="579"/>
      <c r="J100" s="460"/>
      <c r="K100" s="428"/>
      <c r="L100" s="480"/>
      <c r="M100" s="435"/>
      <c r="N100" s="579"/>
      <c r="O100" s="460"/>
      <c r="P100" s="428"/>
      <c r="Q100" s="480"/>
      <c r="R100" s="435"/>
      <c r="S100" s="579"/>
      <c r="T100" s="460"/>
      <c r="U100" s="428"/>
      <c r="V100" s="480"/>
      <c r="W100" s="462"/>
      <c r="X100" s="985"/>
    </row>
    <row r="101" spans="2:24" x14ac:dyDescent="0.3">
      <c r="B101" s="432" t="s">
        <v>50</v>
      </c>
      <c r="C101" s="805"/>
      <c r="D101" s="805"/>
      <c r="E101" s="470"/>
      <c r="F101" s="430" t="s">
        <v>12</v>
      </c>
      <c r="G101" s="826">
        <f>SUM(G91:G100)</f>
        <v>19.974783999999993</v>
      </c>
      <c r="H101" s="808">
        <f>SUM(H91:H100)</f>
        <v>0.3</v>
      </c>
      <c r="I101" s="838">
        <f>SUM(I91:I100)</f>
        <v>4.4969999999999999</v>
      </c>
      <c r="J101" s="473"/>
      <c r="K101" s="430"/>
      <c r="L101" s="826">
        <f>SUM(L91:L100)</f>
        <v>19.974783999999993</v>
      </c>
      <c r="M101" s="808">
        <f>SUM(M91:M100)</f>
        <v>0.3</v>
      </c>
      <c r="N101" s="838">
        <f>SUM(N91:N100)</f>
        <v>4.4969999999999999</v>
      </c>
      <c r="O101" s="473"/>
      <c r="P101" s="430"/>
      <c r="Q101" s="826">
        <f>SUM(Q91:Q100)</f>
        <v>19.974783999999993</v>
      </c>
      <c r="R101" s="808">
        <f>SUM(R91:R100)</f>
        <v>0.3</v>
      </c>
      <c r="S101" s="838">
        <f>SUM(S91:S100)</f>
        <v>4.4969999999999999</v>
      </c>
      <c r="T101" s="473"/>
      <c r="U101" s="430"/>
      <c r="V101" s="826">
        <f>SUM(V91:V100)</f>
        <v>19.974783999999993</v>
      </c>
      <c r="W101" s="808">
        <f>SUM(W91:W100)</f>
        <v>0.3</v>
      </c>
      <c r="X101" s="826">
        <f>SUM(X91:X100)</f>
        <v>4.4969999999999999</v>
      </c>
    </row>
    <row r="103" spans="2:24" x14ac:dyDescent="0.3">
      <c r="B103" s="432" t="s">
        <v>255</v>
      </c>
      <c r="C103" s="831"/>
      <c r="D103" s="831"/>
      <c r="E103" s="831"/>
      <c r="F103" s="431"/>
      <c r="G103" s="431"/>
      <c r="H103" s="431"/>
      <c r="I103" s="431"/>
      <c r="J103" s="431"/>
      <c r="K103" s="431"/>
      <c r="L103" s="431"/>
      <c r="M103" s="431"/>
      <c r="N103" s="431"/>
      <c r="O103" s="431"/>
      <c r="P103" s="431"/>
      <c r="Q103" s="431"/>
      <c r="R103" s="431"/>
      <c r="S103" s="431"/>
      <c r="T103" s="431"/>
      <c r="U103" s="431"/>
      <c r="V103" s="431"/>
      <c r="W103" s="431"/>
      <c r="X103" s="433"/>
    </row>
    <row r="104" spans="2:24" x14ac:dyDescent="0.3">
      <c r="B104" s="16" t="s">
        <v>196</v>
      </c>
      <c r="C104" s="458">
        <f>40.25*'Arable Inputs'!$D$8</f>
        <v>45.482499999999995</v>
      </c>
      <c r="D104" s="459" t="s">
        <v>118</v>
      </c>
      <c r="E104" s="484"/>
      <c r="F104" s="435"/>
      <c r="G104" s="461"/>
      <c r="H104" s="435"/>
      <c r="I104" s="435"/>
      <c r="J104" s="460"/>
      <c r="K104" s="435"/>
      <c r="L104" s="461"/>
      <c r="M104" s="435"/>
      <c r="N104" s="435"/>
      <c r="O104" s="460">
        <v>1</v>
      </c>
      <c r="P104" s="435">
        <v>4</v>
      </c>
      <c r="Q104" s="1004">
        <f>IF(P104&gt;=1,CHOOSE(O104,$C104,$D104)*P104)</f>
        <v>181.92999999999998</v>
      </c>
      <c r="R104" s="866">
        <f>0.3*4</f>
        <v>1.2</v>
      </c>
      <c r="S104" s="579">
        <f>R104*$C$4</f>
        <v>17.988</v>
      </c>
      <c r="T104" s="460">
        <v>1</v>
      </c>
      <c r="U104" s="435">
        <v>4</v>
      </c>
      <c r="V104" s="1004">
        <f>IF(U104&gt;=1,CHOOSE(T104,$C104,$D104)*U104)</f>
        <v>181.92999999999998</v>
      </c>
      <c r="W104" s="866">
        <f>0.3*4</f>
        <v>1.2</v>
      </c>
      <c r="X104" s="985">
        <f>W104*$C$4</f>
        <v>17.988</v>
      </c>
    </row>
    <row r="105" spans="2:24" x14ac:dyDescent="0.3">
      <c r="B105" s="432" t="s">
        <v>204</v>
      </c>
      <c r="C105" s="831"/>
      <c r="D105" s="831"/>
      <c r="E105" s="470"/>
      <c r="F105" s="430" t="s">
        <v>12</v>
      </c>
      <c r="G105" s="471"/>
      <c r="H105" s="430"/>
      <c r="I105" s="430"/>
      <c r="J105" s="473"/>
      <c r="K105" s="430"/>
      <c r="L105" s="471"/>
      <c r="M105" s="430"/>
      <c r="N105" s="430"/>
      <c r="O105" s="473"/>
      <c r="P105" s="430"/>
      <c r="Q105" s="826">
        <f>SUM(Q104:Q104)</f>
        <v>181.92999999999998</v>
      </c>
      <c r="R105" s="432">
        <f>SUM(R104:R104)</f>
        <v>1.2</v>
      </c>
      <c r="S105" s="838">
        <f>SUM(S104:S104)</f>
        <v>17.988</v>
      </c>
      <c r="T105" s="473"/>
      <c r="U105" s="430"/>
      <c r="V105" s="826">
        <f>SUM(V104:V104)</f>
        <v>181.92999999999998</v>
      </c>
      <c r="W105" s="432">
        <f>SUM(W104:W104)</f>
        <v>1.2</v>
      </c>
      <c r="X105" s="826">
        <f>SUM(X104:X104)</f>
        <v>17.988</v>
      </c>
    </row>
    <row r="106" spans="2:24" x14ac:dyDescent="0.3">
      <c r="B106" s="506"/>
      <c r="C106" s="505"/>
      <c r="D106" s="505"/>
      <c r="E106" s="505"/>
      <c r="F106" s="506"/>
      <c r="G106" s="506"/>
      <c r="H106" s="506"/>
      <c r="I106" s="506"/>
      <c r="J106" s="837"/>
      <c r="K106" s="506"/>
      <c r="L106" s="506"/>
      <c r="M106" s="506"/>
      <c r="N106" s="506"/>
      <c r="O106" s="837"/>
      <c r="P106" s="506"/>
      <c r="Q106" s="836"/>
      <c r="R106" s="506"/>
      <c r="S106" s="658"/>
      <c r="T106" s="837"/>
      <c r="U106" s="506"/>
      <c r="V106" s="836"/>
      <c r="W106" s="506"/>
      <c r="X106" s="658"/>
    </row>
    <row r="107" spans="2:24" x14ac:dyDescent="0.3">
      <c r="B107" s="432" t="s">
        <v>35</v>
      </c>
      <c r="C107" s="831"/>
      <c r="D107" s="831"/>
      <c r="E107" s="831"/>
      <c r="F107" s="431"/>
      <c r="G107" s="431"/>
      <c r="H107" s="431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3"/>
    </row>
    <row r="108" spans="2:24" x14ac:dyDescent="0.3">
      <c r="B108" s="16" t="s">
        <v>60</v>
      </c>
      <c r="C108" s="458">
        <f>12.63*'Arable Inputs'!$D$8</f>
        <v>14.271899999999999</v>
      </c>
      <c r="D108" s="497">
        <f>10.08*'Arable Inputs'!$D$8</f>
        <v>11.3904</v>
      </c>
      <c r="E108" s="460">
        <v>2</v>
      </c>
      <c r="F108" s="605">
        <v>4</v>
      </c>
      <c r="G108" s="985">
        <f>IF(F108&gt;=1,CHOOSE(E108,$C108,$D108)*F108)</f>
        <v>45.561599999999999</v>
      </c>
      <c r="H108" s="867">
        <f>0.3*F108</f>
        <v>1.2</v>
      </c>
      <c r="I108" s="579">
        <f>H108*$C$4</f>
        <v>17.988</v>
      </c>
      <c r="J108" s="460">
        <v>2</v>
      </c>
      <c r="K108" s="605">
        <v>4</v>
      </c>
      <c r="L108" s="985">
        <f>IF(K108&gt;=1,CHOOSE(J108,$C108,$D108)*K108)</f>
        <v>45.561599999999999</v>
      </c>
      <c r="M108" s="867">
        <f>0.3*K108</f>
        <v>1.2</v>
      </c>
      <c r="N108" s="579">
        <f>M108*$C$4</f>
        <v>17.988</v>
      </c>
      <c r="O108" s="460"/>
      <c r="P108" s="605"/>
      <c r="Q108" s="461"/>
      <c r="R108" s="867"/>
      <c r="S108" s="424"/>
      <c r="T108" s="460"/>
      <c r="U108" s="605"/>
      <c r="V108" s="461"/>
      <c r="W108" s="867"/>
      <c r="X108" s="464"/>
    </row>
    <row r="109" spans="2:24" x14ac:dyDescent="0.3">
      <c r="B109" s="16" t="s">
        <v>59</v>
      </c>
      <c r="C109" s="458" t="s">
        <v>118</v>
      </c>
      <c r="D109" s="459">
        <f>8.16*'Arable Inputs'!$D$8</f>
        <v>9.2207999999999988</v>
      </c>
      <c r="E109" s="460"/>
      <c r="F109" s="435"/>
      <c r="G109" s="579"/>
      <c r="H109" s="16"/>
      <c r="I109" s="579"/>
      <c r="J109" s="460"/>
      <c r="K109" s="435"/>
      <c r="L109" s="579"/>
      <c r="M109" s="16"/>
      <c r="N109" s="579"/>
      <c r="O109" s="460"/>
      <c r="P109" s="435"/>
      <c r="Q109" s="435"/>
      <c r="R109" s="16"/>
      <c r="S109" s="435"/>
      <c r="T109" s="460"/>
      <c r="U109" s="435"/>
      <c r="V109" s="435"/>
      <c r="W109" s="16"/>
      <c r="X109" s="461"/>
    </row>
    <row r="110" spans="2:24" x14ac:dyDescent="0.3">
      <c r="B110" s="10" t="s">
        <v>58</v>
      </c>
      <c r="C110" s="500">
        <f>(C108+4.32)*'Arable Inputs'!$D$8</f>
        <v>21.008846999999996</v>
      </c>
      <c r="D110" s="459" t="s">
        <v>118</v>
      </c>
      <c r="E110" s="460"/>
      <c r="F110" s="435"/>
      <c r="G110" s="579"/>
      <c r="H110" s="16"/>
      <c r="I110" s="579"/>
      <c r="J110" s="460"/>
      <c r="K110" s="435"/>
      <c r="L110" s="579"/>
      <c r="M110" s="16"/>
      <c r="N110" s="579"/>
      <c r="O110" s="460"/>
      <c r="P110" s="435"/>
      <c r="Q110" s="435"/>
      <c r="R110" s="16"/>
      <c r="S110" s="435"/>
      <c r="T110" s="460"/>
      <c r="U110" s="435"/>
      <c r="V110" s="435"/>
      <c r="W110" s="16"/>
      <c r="X110" s="461"/>
    </row>
    <row r="111" spans="2:24" x14ac:dyDescent="0.3">
      <c r="B111" s="16" t="s">
        <v>135</v>
      </c>
      <c r="C111" s="458">
        <f>12.36*'Arable Inputs'!$D$8</f>
        <v>13.966799999999997</v>
      </c>
      <c r="D111" s="459" t="s">
        <v>118</v>
      </c>
      <c r="E111" s="460"/>
      <c r="F111" s="494"/>
      <c r="G111" s="995"/>
      <c r="H111" s="496"/>
      <c r="I111" s="996"/>
      <c r="J111" s="495"/>
      <c r="K111" s="494"/>
      <c r="L111" s="995"/>
      <c r="M111" s="496"/>
      <c r="N111" s="995"/>
      <c r="O111" s="460"/>
      <c r="P111" s="494"/>
      <c r="Q111" s="494"/>
      <c r="R111" s="496"/>
      <c r="S111" s="492"/>
      <c r="T111" s="460"/>
      <c r="U111" s="494"/>
      <c r="V111" s="494"/>
      <c r="W111" s="496"/>
      <c r="X111" s="493"/>
    </row>
    <row r="112" spans="2:24" x14ac:dyDescent="0.3">
      <c r="B112" s="16" t="s">
        <v>136</v>
      </c>
      <c r="C112" s="458">
        <f>8.9*'Arable Inputs'!$D$8</f>
        <v>10.056999999999999</v>
      </c>
      <c r="D112" s="459">
        <f>2.89*'Arable Inputs'!$D$8</f>
        <v>3.2656999999999998</v>
      </c>
      <c r="E112" s="460"/>
      <c r="F112" s="494"/>
      <c r="G112" s="995"/>
      <c r="H112" s="496"/>
      <c r="I112" s="996"/>
      <c r="J112" s="495"/>
      <c r="K112" s="494"/>
      <c r="L112" s="995"/>
      <c r="M112" s="496"/>
      <c r="N112" s="995"/>
      <c r="O112" s="460"/>
      <c r="P112" s="494"/>
      <c r="Q112" s="494"/>
      <c r="R112" s="496"/>
      <c r="S112" s="492"/>
      <c r="T112" s="460"/>
      <c r="U112" s="494"/>
      <c r="V112" s="494"/>
      <c r="W112" s="496"/>
      <c r="X112" s="493"/>
    </row>
    <row r="113" spans="2:24" x14ac:dyDescent="0.3">
      <c r="B113" s="16" t="s">
        <v>61</v>
      </c>
      <c r="C113" s="458">
        <f>25.95*'Arable Inputs'!$D$8</f>
        <v>29.323499999999996</v>
      </c>
      <c r="D113" s="459" t="s">
        <v>118</v>
      </c>
      <c r="E113" s="460"/>
      <c r="F113" s="435"/>
      <c r="G113" s="579"/>
      <c r="H113" s="16"/>
      <c r="I113" s="579"/>
      <c r="J113" s="460"/>
      <c r="K113" s="435"/>
      <c r="L113" s="579"/>
      <c r="M113" s="16"/>
      <c r="N113" s="579"/>
      <c r="O113" s="460"/>
      <c r="P113" s="435"/>
      <c r="Q113" s="435"/>
      <c r="R113" s="16"/>
      <c r="S113" s="435"/>
      <c r="T113" s="460"/>
      <c r="U113" s="435"/>
      <c r="V113" s="435"/>
      <c r="W113" s="16"/>
      <c r="X113" s="461"/>
    </row>
    <row r="114" spans="2:24" x14ac:dyDescent="0.3">
      <c r="B114" s="16" t="s">
        <v>137</v>
      </c>
      <c r="C114" s="458">
        <f>19.77*'Arable Inputs'!$D$8</f>
        <v>22.340099999999996</v>
      </c>
      <c r="D114" s="459" t="s">
        <v>118</v>
      </c>
      <c r="E114" s="460"/>
      <c r="F114" s="435"/>
      <c r="G114" s="985"/>
      <c r="H114" s="827"/>
      <c r="I114" s="579"/>
      <c r="J114" s="460"/>
      <c r="K114" s="428"/>
      <c r="L114" s="985"/>
      <c r="M114" s="827"/>
      <c r="N114" s="579"/>
      <c r="O114" s="460"/>
      <c r="P114" s="435"/>
      <c r="Q114" s="461"/>
      <c r="R114" s="827"/>
      <c r="S114" s="424"/>
      <c r="T114" s="460"/>
      <c r="U114" s="435"/>
      <c r="V114" s="461"/>
      <c r="W114" s="827"/>
      <c r="X114" s="464"/>
    </row>
    <row r="115" spans="2:24" x14ac:dyDescent="0.3">
      <c r="B115" s="432" t="s">
        <v>62</v>
      </c>
      <c r="C115" s="831"/>
      <c r="D115" s="831"/>
      <c r="E115" s="470"/>
      <c r="F115" s="430" t="s">
        <v>12</v>
      </c>
      <c r="G115" s="826">
        <f>SUM(G108:G114)</f>
        <v>45.561599999999999</v>
      </c>
      <c r="H115" s="808">
        <f>SUM(H108:H114)</f>
        <v>1.2</v>
      </c>
      <c r="I115" s="838">
        <f>SUM(I108:I114)</f>
        <v>17.988</v>
      </c>
      <c r="J115" s="473"/>
      <c r="K115" s="430"/>
      <c r="L115" s="826">
        <f>SUM(L108:L114)</f>
        <v>45.561599999999999</v>
      </c>
      <c r="M115" s="808">
        <f>SUM(M108:M114)</f>
        <v>1.2</v>
      </c>
      <c r="N115" s="838">
        <f>SUM(N108:N114)</f>
        <v>17.988</v>
      </c>
      <c r="O115" s="470"/>
      <c r="P115" s="430"/>
      <c r="Q115" s="826"/>
      <c r="R115" s="808"/>
      <c r="S115" s="472"/>
      <c r="T115" s="470"/>
      <c r="U115" s="430"/>
      <c r="V115" s="826"/>
      <c r="W115" s="808"/>
      <c r="X115" s="474"/>
    </row>
    <row r="116" spans="2:24" x14ac:dyDescent="0.3">
      <c r="B116" s="506"/>
      <c r="C116" s="505"/>
      <c r="D116" s="505"/>
      <c r="E116" s="505"/>
      <c r="F116" s="506"/>
      <c r="G116" s="836"/>
      <c r="H116" s="836"/>
      <c r="I116" s="658"/>
      <c r="J116" s="837"/>
      <c r="K116" s="506"/>
      <c r="L116" s="836"/>
      <c r="M116" s="836"/>
      <c r="N116" s="658"/>
      <c r="O116" s="505"/>
      <c r="P116" s="506"/>
      <c r="Q116" s="836"/>
      <c r="R116" s="836"/>
      <c r="S116" s="658"/>
      <c r="T116" s="505"/>
      <c r="U116" s="506"/>
      <c r="V116" s="836"/>
      <c r="W116" s="836"/>
      <c r="X116" s="658"/>
    </row>
    <row r="117" spans="2:24" x14ac:dyDescent="0.3">
      <c r="B117" s="432" t="s">
        <v>182</v>
      </c>
      <c r="C117" s="831"/>
      <c r="D117" s="831"/>
      <c r="E117" s="8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3"/>
    </row>
    <row r="118" spans="2:24" x14ac:dyDescent="0.3">
      <c r="B118" s="16" t="s">
        <v>493</v>
      </c>
      <c r="C118" s="853"/>
      <c r="D118" s="854"/>
      <c r="E118" s="460"/>
      <c r="F118" s="435"/>
      <c r="G118" s="461"/>
      <c r="H118" s="866">
        <v>2</v>
      </c>
      <c r="I118" s="579">
        <f>H118*$C$4</f>
        <v>29.98</v>
      </c>
      <c r="J118" s="460"/>
      <c r="K118" s="435"/>
      <c r="L118" s="461"/>
      <c r="M118" s="825"/>
      <c r="N118" s="424"/>
      <c r="O118" s="460"/>
      <c r="P118" s="435"/>
      <c r="Q118" s="461"/>
      <c r="R118" s="435"/>
      <c r="S118" s="435"/>
      <c r="T118" s="460"/>
      <c r="U118" s="435"/>
      <c r="V118" s="461"/>
      <c r="W118" s="435"/>
      <c r="X118" s="461"/>
    </row>
    <row r="119" spans="2:24" x14ac:dyDescent="0.3">
      <c r="B119" s="16" t="s">
        <v>478</v>
      </c>
      <c r="C119" s="853"/>
      <c r="D119" s="855"/>
      <c r="E119" s="460"/>
      <c r="F119" s="435"/>
      <c r="G119" s="461"/>
      <c r="H119" s="813"/>
      <c r="I119" s="579"/>
      <c r="J119" s="460"/>
      <c r="K119" s="435"/>
      <c r="L119" s="461"/>
      <c r="M119" s="866">
        <v>2</v>
      </c>
      <c r="N119" s="579">
        <f>M119*$C$4</f>
        <v>29.98</v>
      </c>
      <c r="O119" s="460"/>
      <c r="P119" s="435"/>
      <c r="Q119" s="461"/>
      <c r="R119" s="435"/>
      <c r="S119" s="435"/>
      <c r="T119" s="460"/>
      <c r="U119" s="435"/>
      <c r="V119" s="461"/>
      <c r="W119" s="813"/>
      <c r="X119" s="464"/>
    </row>
    <row r="120" spans="2:24" x14ac:dyDescent="0.3">
      <c r="B120" s="16" t="s">
        <v>182</v>
      </c>
      <c r="C120" s="853"/>
      <c r="D120" s="855"/>
      <c r="E120" s="460"/>
      <c r="F120" s="435"/>
      <c r="G120" s="461"/>
      <c r="H120" s="825"/>
      <c r="I120" s="579"/>
      <c r="J120" s="460"/>
      <c r="K120" s="16"/>
      <c r="L120" s="461"/>
      <c r="M120" s="825"/>
      <c r="N120" s="579"/>
      <c r="O120" s="460"/>
      <c r="P120" s="16"/>
      <c r="Q120" s="461"/>
      <c r="R120" s="866">
        <v>2</v>
      </c>
      <c r="S120" s="579">
        <f>R120*$C$4</f>
        <v>29.98</v>
      </c>
      <c r="T120" s="460"/>
      <c r="U120" s="435"/>
      <c r="V120" s="461"/>
      <c r="W120" s="435"/>
      <c r="X120" s="461"/>
    </row>
    <row r="121" spans="2:24" x14ac:dyDescent="0.3">
      <c r="B121" s="16" t="s">
        <v>494</v>
      </c>
      <c r="C121" s="856"/>
      <c r="D121" s="488"/>
      <c r="E121" s="460"/>
      <c r="F121" s="435"/>
      <c r="G121" s="461"/>
      <c r="H121" s="825"/>
      <c r="I121" s="579"/>
      <c r="J121" s="460"/>
      <c r="K121" s="428"/>
      <c r="L121" s="461"/>
      <c r="M121" s="825"/>
      <c r="N121" s="579"/>
      <c r="O121" s="460"/>
      <c r="P121" s="428"/>
      <c r="Q121" s="461"/>
      <c r="R121" s="825"/>
      <c r="S121" s="579"/>
      <c r="T121" s="460"/>
      <c r="U121" s="435"/>
      <c r="V121" s="461"/>
      <c r="W121" s="866">
        <v>2</v>
      </c>
      <c r="X121" s="993">
        <f>W121*$C$4</f>
        <v>29.98</v>
      </c>
    </row>
    <row r="122" spans="2:24" x14ac:dyDescent="0.3">
      <c r="B122" s="432" t="s">
        <v>183</v>
      </c>
      <c r="C122" s="831"/>
      <c r="D122" s="831"/>
      <c r="E122" s="470"/>
      <c r="F122" s="430" t="s">
        <v>12</v>
      </c>
      <c r="G122" s="842">
        <f>450*'Arable Inputs'!D8</f>
        <v>508.49999999999994</v>
      </c>
      <c r="H122" s="808">
        <f>SUM(H118:H121)</f>
        <v>2</v>
      </c>
      <c r="I122" s="838">
        <f>SUM(I118:I121)</f>
        <v>29.98</v>
      </c>
      <c r="J122" s="473"/>
      <c r="K122" s="430"/>
      <c r="L122" s="826">
        <v>270.5</v>
      </c>
      <c r="M122" s="808">
        <f>SUM(M118:M121)</f>
        <v>2</v>
      </c>
      <c r="N122" s="838">
        <f>SUM(N118:N121)</f>
        <v>29.98</v>
      </c>
      <c r="O122" s="473"/>
      <c r="P122" s="852">
        <f>100*'Arable Inputs'!D8</f>
        <v>112.99999999999999</v>
      </c>
      <c r="Q122" s="471">
        <f>SUM(Q118:Q120)</f>
        <v>0</v>
      </c>
      <c r="R122" s="808">
        <f>SUM(R118:R121)</f>
        <v>2</v>
      </c>
      <c r="S122" s="838">
        <f>SUM(S118:S121)</f>
        <v>29.98</v>
      </c>
      <c r="T122" s="473"/>
      <c r="U122" s="430"/>
      <c r="V122" s="842">
        <f>175*'Arable Inputs'!D8</f>
        <v>197.74999999999997</v>
      </c>
      <c r="W122" s="432">
        <f>SUM(W118:W121)</f>
        <v>2</v>
      </c>
      <c r="X122" s="826">
        <f>SUM(X118:X121)</f>
        <v>29.98</v>
      </c>
    </row>
    <row r="123" spans="2:24" x14ac:dyDescent="0.3">
      <c r="B123" s="850"/>
      <c r="C123" s="830"/>
      <c r="D123" s="830"/>
      <c r="E123" s="505"/>
      <c r="F123" s="506"/>
      <c r="G123" s="506"/>
      <c r="H123" s="506"/>
      <c r="I123" s="836"/>
      <c r="J123" s="506"/>
      <c r="K123" s="506"/>
      <c r="L123" s="506"/>
      <c r="M123" s="506"/>
      <c r="N123" s="506"/>
      <c r="O123" s="506"/>
      <c r="P123" s="506"/>
      <c r="Q123" s="506"/>
      <c r="R123" s="506"/>
      <c r="S123" s="506"/>
      <c r="T123" s="506"/>
      <c r="U123" s="506"/>
      <c r="V123" s="506"/>
      <c r="W123" s="506"/>
      <c r="X123" s="506"/>
    </row>
    <row r="124" spans="2:24" x14ac:dyDescent="0.3">
      <c r="B124" s="506"/>
      <c r="C124" s="505"/>
      <c r="D124" s="505"/>
      <c r="E124" s="505"/>
      <c r="F124" s="506"/>
      <c r="G124" s="836"/>
      <c r="H124" s="836"/>
      <c r="I124" s="658"/>
      <c r="J124" s="837"/>
      <c r="K124" s="506"/>
      <c r="L124" s="836"/>
      <c r="M124" s="836"/>
      <c r="N124" s="658"/>
      <c r="O124" s="505"/>
      <c r="P124" s="506"/>
      <c r="Q124" s="836"/>
      <c r="R124" s="836"/>
      <c r="S124" s="658"/>
      <c r="T124" s="505"/>
      <c r="U124" s="506"/>
      <c r="V124" s="836"/>
      <c r="W124" s="836"/>
      <c r="X124" s="658"/>
    </row>
    <row r="126" spans="2:24" x14ac:dyDescent="0.3">
      <c r="B126" s="74"/>
      <c r="C126" s="19"/>
      <c r="D126" s="20"/>
      <c r="E126" s="20"/>
      <c r="F126" s="513"/>
      <c r="G126" s="513"/>
      <c r="H126" s="513"/>
      <c r="I126" s="513"/>
    </row>
    <row r="127" spans="2:24" x14ac:dyDescent="0.3">
      <c r="B127" s="427"/>
      <c r="C127" s="426"/>
      <c r="D127" s="426"/>
      <c r="E127" s="426"/>
      <c r="F127" s="514" t="s">
        <v>94</v>
      </c>
      <c r="G127" s="514" t="s">
        <v>95</v>
      </c>
      <c r="H127" s="514" t="s">
        <v>96</v>
      </c>
      <c r="I127" s="514" t="s">
        <v>451</v>
      </c>
    </row>
    <row r="128" spans="2:24" x14ac:dyDescent="0.3">
      <c r="B128" s="76" t="s">
        <v>82</v>
      </c>
      <c r="C128" s="81" t="s">
        <v>484</v>
      </c>
      <c r="D128" s="83" t="s">
        <v>599</v>
      </c>
      <c r="E128" s="79"/>
      <c r="F128" s="806">
        <f>G36</f>
        <v>200</v>
      </c>
      <c r="G128" s="806">
        <f>L36</f>
        <v>180</v>
      </c>
      <c r="H128" s="806">
        <f>Q36</f>
        <v>180</v>
      </c>
      <c r="I128" s="806">
        <f>V36</f>
        <v>180</v>
      </c>
    </row>
    <row r="129" spans="2:9" x14ac:dyDescent="0.3">
      <c r="B129" s="9"/>
      <c r="C129" s="32" t="s">
        <v>147</v>
      </c>
      <c r="D129" s="79" t="s">
        <v>599</v>
      </c>
      <c r="E129" s="79"/>
      <c r="F129" s="806">
        <f>G85</f>
        <v>19.974783999999993</v>
      </c>
      <c r="G129" s="806">
        <f>L85</f>
        <v>19.974783999999993</v>
      </c>
      <c r="H129" s="806">
        <f>Q85</f>
        <v>19.974783999999993</v>
      </c>
      <c r="I129" s="806">
        <f>V85</f>
        <v>19.974783999999993</v>
      </c>
    </row>
    <row r="130" spans="2:9" x14ac:dyDescent="0.3">
      <c r="B130" s="10"/>
      <c r="C130" s="33" t="s">
        <v>35</v>
      </c>
      <c r="D130" s="79" t="s">
        <v>599</v>
      </c>
      <c r="E130" s="79"/>
      <c r="F130" s="806">
        <f>G72</f>
        <v>45.561599999999999</v>
      </c>
      <c r="G130" s="806">
        <f>L72</f>
        <v>45.561599999999999</v>
      </c>
      <c r="H130" s="806">
        <f>Q72</f>
        <v>22.780799999999999</v>
      </c>
      <c r="I130" s="806">
        <f>V72</f>
        <v>22.780799999999999</v>
      </c>
    </row>
    <row r="131" spans="2:9" ht="20" x14ac:dyDescent="0.3">
      <c r="B131" s="10"/>
      <c r="C131" s="33" t="s">
        <v>255</v>
      </c>
      <c r="D131" s="79" t="s">
        <v>599</v>
      </c>
      <c r="E131" s="79"/>
      <c r="F131" s="806">
        <v>0</v>
      </c>
      <c r="G131" s="806">
        <v>0</v>
      </c>
      <c r="H131" s="806">
        <f>Q62</f>
        <v>136.44749999999999</v>
      </c>
      <c r="I131" s="806">
        <f>V62</f>
        <v>136.44749999999999</v>
      </c>
    </row>
    <row r="132" spans="2:9" x14ac:dyDescent="0.3">
      <c r="B132" s="10"/>
      <c r="C132" s="33" t="s">
        <v>85</v>
      </c>
      <c r="D132" s="79" t="s">
        <v>599</v>
      </c>
      <c r="E132" s="79"/>
      <c r="F132" s="516">
        <f>G54</f>
        <v>338.99999999999994</v>
      </c>
      <c r="G132" s="516">
        <f>L54</f>
        <v>395.49999999999994</v>
      </c>
      <c r="H132" s="516">
        <f>Q54</f>
        <v>142.70769999999999</v>
      </c>
      <c r="I132" s="516">
        <f>V54</f>
        <v>50.849999999999994</v>
      </c>
    </row>
    <row r="133" spans="2:9" x14ac:dyDescent="0.3">
      <c r="B133" s="10"/>
      <c r="C133" s="33" t="s">
        <v>485</v>
      </c>
      <c r="D133" s="79" t="s">
        <v>599</v>
      </c>
      <c r="E133" s="79"/>
      <c r="F133" s="516">
        <f>G58</f>
        <v>56.499999999999993</v>
      </c>
      <c r="G133" s="516">
        <f>L58</f>
        <v>22.599999999999998</v>
      </c>
      <c r="H133" s="516">
        <f>Q58</f>
        <v>22.599999999999998</v>
      </c>
      <c r="I133" s="516">
        <f>V58</f>
        <v>22.599999999999998</v>
      </c>
    </row>
    <row r="134" spans="2:9" x14ac:dyDescent="0.3">
      <c r="B134" s="432" t="s">
        <v>490</v>
      </c>
      <c r="C134" s="845"/>
      <c r="D134" s="846" t="s">
        <v>599</v>
      </c>
      <c r="E134" s="179"/>
      <c r="F134" s="847">
        <f>SUM(F128:F133)</f>
        <v>661.036384</v>
      </c>
      <c r="G134" s="847">
        <f>SUM(G128:G133)</f>
        <v>663.63638400000002</v>
      </c>
      <c r="H134" s="847">
        <f>SUM(H128:H133)</f>
        <v>524.51078399999994</v>
      </c>
      <c r="I134" s="847">
        <f>SUM(I128:I133)</f>
        <v>432.65308400000004</v>
      </c>
    </row>
    <row r="135" spans="2:9" ht="15.5" x14ac:dyDescent="0.35">
      <c r="B135" s="517"/>
      <c r="C135" s="517"/>
      <c r="D135" s="517"/>
      <c r="E135" s="517"/>
      <c r="F135" s="859"/>
      <c r="G135" s="859"/>
      <c r="H135" s="859"/>
      <c r="I135" s="859"/>
    </row>
    <row r="136" spans="2:9" x14ac:dyDescent="0.3">
      <c r="B136" s="518" t="s">
        <v>495</v>
      </c>
      <c r="C136" s="519"/>
      <c r="D136" s="38" t="s">
        <v>217</v>
      </c>
      <c r="E136" s="38"/>
      <c r="F136" s="807">
        <f>H36+H54+H58+H72+H85</f>
        <v>8.85</v>
      </c>
      <c r="G136" s="807">
        <f>M36+M54+M58+M72+M85</f>
        <v>8.85</v>
      </c>
      <c r="H136" s="807">
        <f>R36+R54+R58+R62+R72+R85</f>
        <v>10.299999999999999</v>
      </c>
      <c r="I136" s="807">
        <f>W36+W54+W58+W62+W72+W85</f>
        <v>10.299999999999999</v>
      </c>
    </row>
    <row r="139" spans="2:9" x14ac:dyDescent="0.3">
      <c r="B139" s="427"/>
      <c r="C139" s="426"/>
      <c r="D139" s="426"/>
      <c r="E139" s="426"/>
      <c r="F139" s="514" t="s">
        <v>94</v>
      </c>
      <c r="G139" s="514" t="s">
        <v>95</v>
      </c>
      <c r="H139" s="514" t="s">
        <v>96</v>
      </c>
      <c r="I139" s="514" t="s">
        <v>451</v>
      </c>
    </row>
    <row r="140" spans="2:9" ht="20" x14ac:dyDescent="0.3">
      <c r="B140" s="76" t="s">
        <v>88</v>
      </c>
      <c r="C140" s="81" t="s">
        <v>488</v>
      </c>
      <c r="D140" s="83" t="s">
        <v>599</v>
      </c>
      <c r="E140" s="79"/>
      <c r="F140" s="806">
        <v>0</v>
      </c>
      <c r="G140" s="806">
        <v>0</v>
      </c>
      <c r="H140" s="806">
        <f>Q105</f>
        <v>181.92999999999998</v>
      </c>
      <c r="I140" s="806">
        <f>V105</f>
        <v>181.92999999999998</v>
      </c>
    </row>
    <row r="141" spans="2:9" x14ac:dyDescent="0.3">
      <c r="B141" s="9"/>
      <c r="C141" s="32" t="s">
        <v>33</v>
      </c>
      <c r="D141" s="79" t="s">
        <v>599</v>
      </c>
      <c r="E141" s="79"/>
      <c r="F141" s="806">
        <f>G101</f>
        <v>19.974783999999993</v>
      </c>
      <c r="G141" s="806">
        <f>L101</f>
        <v>19.974783999999993</v>
      </c>
      <c r="H141" s="806">
        <f>Q101</f>
        <v>19.974783999999993</v>
      </c>
      <c r="I141" s="806">
        <f>V101</f>
        <v>19.974783999999993</v>
      </c>
    </row>
    <row r="142" spans="2:9" x14ac:dyDescent="0.3">
      <c r="B142" s="10"/>
      <c r="C142" s="33" t="s">
        <v>35</v>
      </c>
      <c r="D142" s="79" t="s">
        <v>599</v>
      </c>
      <c r="E142" s="79"/>
      <c r="F142" s="806">
        <f>G115</f>
        <v>45.561599999999999</v>
      </c>
      <c r="G142" s="806">
        <f>L115</f>
        <v>45.561599999999999</v>
      </c>
      <c r="H142" s="806">
        <v>0</v>
      </c>
      <c r="I142" s="806">
        <f>V52</f>
        <v>0</v>
      </c>
    </row>
    <row r="143" spans="2:9" x14ac:dyDescent="0.3">
      <c r="B143" s="10"/>
      <c r="C143" s="33" t="s">
        <v>182</v>
      </c>
      <c r="D143" s="79" t="s">
        <v>599</v>
      </c>
      <c r="E143" s="79"/>
      <c r="F143" s="806">
        <f>G122</f>
        <v>508.49999999999994</v>
      </c>
      <c r="G143" s="806">
        <f>L122</f>
        <v>270.5</v>
      </c>
      <c r="H143" s="806">
        <f>P122</f>
        <v>112.99999999999999</v>
      </c>
      <c r="I143" s="806">
        <f>V122</f>
        <v>197.74999999999997</v>
      </c>
    </row>
    <row r="144" spans="2:9" x14ac:dyDescent="0.3">
      <c r="B144" s="432" t="s">
        <v>496</v>
      </c>
      <c r="C144" s="845"/>
      <c r="D144" s="846" t="s">
        <v>599</v>
      </c>
      <c r="E144" s="179"/>
      <c r="F144" s="847">
        <f>SUM(F140:F143)</f>
        <v>574.036384</v>
      </c>
      <c r="G144" s="847">
        <f>SUM(G140:G143)</f>
        <v>336.036384</v>
      </c>
      <c r="H144" s="847">
        <f>SUM(H140:H143)</f>
        <v>314.90478399999995</v>
      </c>
      <c r="I144" s="847">
        <f>SUM(I140:I143)</f>
        <v>399.65478399999995</v>
      </c>
    </row>
    <row r="145" spans="2:9" ht="15.5" x14ac:dyDescent="0.35">
      <c r="B145" s="517"/>
      <c r="C145" s="517"/>
      <c r="D145" s="517"/>
      <c r="E145" s="517"/>
      <c r="F145" s="517"/>
      <c r="G145" s="517"/>
      <c r="H145" s="517"/>
      <c r="I145" s="517"/>
    </row>
    <row r="146" spans="2:9" x14ac:dyDescent="0.3">
      <c r="B146" s="518" t="s">
        <v>497</v>
      </c>
      <c r="C146" s="519"/>
      <c r="D146" s="38" t="s">
        <v>217</v>
      </c>
      <c r="E146" s="38"/>
      <c r="F146" s="807">
        <f>H101+H115+H122</f>
        <v>3.5</v>
      </c>
      <c r="G146" s="807">
        <f>M101+M115+M122</f>
        <v>3.5</v>
      </c>
      <c r="H146" s="807">
        <f>R101+R105+R115+R122</f>
        <v>3.5</v>
      </c>
      <c r="I146" s="807">
        <f>W101+W105+W115+W122</f>
        <v>3.5</v>
      </c>
    </row>
  </sheetData>
  <mergeCells count="32">
    <mergeCell ref="P8:Q8"/>
    <mergeCell ref="R8:S8"/>
    <mergeCell ref="U8:V8"/>
    <mergeCell ref="W8:X8"/>
    <mergeCell ref="F9:G9"/>
    <mergeCell ref="H9:I9"/>
    <mergeCell ref="K9:L9"/>
    <mergeCell ref="M9:N9"/>
    <mergeCell ref="F8:G8"/>
    <mergeCell ref="H8:I8"/>
    <mergeCell ref="K8:L8"/>
    <mergeCell ref="M8:N8"/>
    <mergeCell ref="R9:S9"/>
    <mergeCell ref="U9:V9"/>
    <mergeCell ref="W9:X9"/>
    <mergeCell ref="F10:G10"/>
    <mergeCell ref="H10:I10"/>
    <mergeCell ref="K10:L10"/>
    <mergeCell ref="M10:N10"/>
    <mergeCell ref="P9:Q9"/>
    <mergeCell ref="R11:S11"/>
    <mergeCell ref="U11:V11"/>
    <mergeCell ref="W11:X11"/>
    <mergeCell ref="P10:Q10"/>
    <mergeCell ref="R10:S10"/>
    <mergeCell ref="U10:V10"/>
    <mergeCell ref="W10:X10"/>
    <mergeCell ref="F11:G11"/>
    <mergeCell ref="H11:I11"/>
    <mergeCell ref="K11:L11"/>
    <mergeCell ref="M11:N11"/>
    <mergeCell ref="P11:Q1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5"/>
  <sheetViews>
    <sheetView topLeftCell="A14" workbookViewId="0">
      <selection activeCell="C16" sqref="C16"/>
    </sheetView>
  </sheetViews>
  <sheetFormatPr defaultColWidth="9" defaultRowHeight="14" x14ac:dyDescent="0.3"/>
  <cols>
    <col min="1" max="1" width="14.5" customWidth="1"/>
    <col min="2" max="2" width="31.83203125" customWidth="1"/>
    <col min="3" max="3" width="24.33203125" customWidth="1"/>
  </cols>
  <sheetData>
    <row r="1" spans="1:32" ht="14.5" thickBot="1" x14ac:dyDescent="0.35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</row>
    <row r="2" spans="1:32" ht="14.5" thickBot="1" x14ac:dyDescent="0.35">
      <c r="B2" s="421" t="s">
        <v>609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</row>
    <row r="3" spans="1:32" x14ac:dyDescent="0.3">
      <c r="B3" s="422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</row>
    <row r="4" spans="1:32" x14ac:dyDescent="0.3">
      <c r="B4" s="422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</row>
    <row r="5" spans="1:32" x14ac:dyDescent="0.3"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  <c r="AD5" s="366"/>
      <c r="AE5" s="366"/>
      <c r="AF5" s="366"/>
    </row>
    <row r="6" spans="1:32" x14ac:dyDescent="0.3">
      <c r="B6" s="366"/>
      <c r="C6" s="366"/>
      <c r="D6" s="366"/>
      <c r="E6" s="589" t="s">
        <v>94</v>
      </c>
      <c r="F6" s="38"/>
      <c r="G6" s="38"/>
      <c r="H6" s="38"/>
      <c r="I6" s="38"/>
      <c r="J6" s="38"/>
      <c r="K6" s="38"/>
      <c r="L6" s="590" t="s">
        <v>95</v>
      </c>
      <c r="M6" s="18"/>
      <c r="N6" s="18"/>
      <c r="O6" s="18"/>
      <c r="P6" s="18"/>
      <c r="Q6" s="18"/>
      <c r="R6" s="18"/>
      <c r="S6" s="591" t="s">
        <v>96</v>
      </c>
      <c r="T6" s="38"/>
      <c r="U6" s="38"/>
      <c r="V6" s="38"/>
      <c r="W6" s="38"/>
      <c r="X6" s="38"/>
      <c r="Y6" s="38"/>
      <c r="Z6" s="592" t="s">
        <v>97</v>
      </c>
      <c r="AA6" s="18"/>
      <c r="AB6" s="18"/>
      <c r="AC6" s="18"/>
      <c r="AD6" s="18"/>
      <c r="AE6" s="18"/>
      <c r="AF6" s="157"/>
    </row>
    <row r="7" spans="1:32" x14ac:dyDescent="0.3">
      <c r="A7" s="21"/>
      <c r="B7" s="426"/>
      <c r="C7" s="426"/>
      <c r="D7" s="366"/>
      <c r="E7" s="593"/>
      <c r="F7" s="1063" t="s">
        <v>73</v>
      </c>
      <c r="G7" s="1063"/>
      <c r="H7" s="1063"/>
      <c r="I7" s="1064"/>
      <c r="J7" s="426"/>
      <c r="K7" s="594"/>
      <c r="L7" s="593"/>
      <c r="M7" s="1074" t="s">
        <v>73</v>
      </c>
      <c r="N7" s="1074"/>
      <c r="O7" s="1074"/>
      <c r="P7" s="1075"/>
      <c r="Q7" s="595"/>
      <c r="R7" s="596"/>
      <c r="S7" s="593"/>
      <c r="T7" s="1063" t="s">
        <v>73</v>
      </c>
      <c r="U7" s="1063"/>
      <c r="V7" s="1063"/>
      <c r="W7" s="1064"/>
      <c r="X7" s="596"/>
      <c r="Y7" s="596"/>
      <c r="Z7" s="593"/>
      <c r="AA7" s="1062" t="s">
        <v>73</v>
      </c>
      <c r="AB7" s="1063"/>
      <c r="AC7" s="1063"/>
      <c r="AD7" s="1064"/>
      <c r="AE7" s="595"/>
      <c r="AF7" s="597"/>
    </row>
    <row r="8" spans="1:32" ht="25.5" customHeight="1" x14ac:dyDescent="0.3">
      <c r="B8" s="435"/>
      <c r="C8" s="435"/>
      <c r="D8" s="426"/>
      <c r="E8" s="491"/>
      <c r="F8" s="1067" t="s">
        <v>74</v>
      </c>
      <c r="G8" s="1072" t="s">
        <v>263</v>
      </c>
      <c r="H8" s="1067" t="s">
        <v>264</v>
      </c>
      <c r="I8" s="1067" t="s">
        <v>75</v>
      </c>
      <c r="J8" s="1068" t="s">
        <v>265</v>
      </c>
      <c r="K8" s="1070" t="s">
        <v>76</v>
      </c>
      <c r="L8" s="598"/>
      <c r="M8" s="1065" t="s">
        <v>74</v>
      </c>
      <c r="N8" s="1072" t="s">
        <v>263</v>
      </c>
      <c r="O8" s="1072" t="s">
        <v>264</v>
      </c>
      <c r="P8" s="1065" t="s">
        <v>75</v>
      </c>
      <c r="Q8" s="1068" t="s">
        <v>265</v>
      </c>
      <c r="R8" s="1070" t="s">
        <v>76</v>
      </c>
      <c r="S8" s="599"/>
      <c r="T8" s="1072" t="s">
        <v>74</v>
      </c>
      <c r="U8" s="1072" t="s">
        <v>263</v>
      </c>
      <c r="V8" s="1072" t="s">
        <v>264</v>
      </c>
      <c r="W8" s="1072" t="s">
        <v>75</v>
      </c>
      <c r="X8" s="1068" t="s">
        <v>265</v>
      </c>
      <c r="Y8" s="1070" t="s">
        <v>76</v>
      </c>
      <c r="Z8" s="599"/>
      <c r="AA8" s="1079" t="s">
        <v>74</v>
      </c>
      <c r="AB8" s="1072" t="s">
        <v>263</v>
      </c>
      <c r="AC8" s="1079" t="s">
        <v>264</v>
      </c>
      <c r="AD8" s="1079" t="s">
        <v>75</v>
      </c>
      <c r="AE8" s="1068" t="s">
        <v>265</v>
      </c>
      <c r="AF8" s="1076" t="s">
        <v>76</v>
      </c>
    </row>
    <row r="9" spans="1:32" ht="25.5" customHeight="1" x14ac:dyDescent="0.3">
      <c r="B9" s="426"/>
      <c r="C9" s="426"/>
      <c r="D9" s="426"/>
      <c r="E9" s="491"/>
      <c r="F9" s="1067"/>
      <c r="G9" s="1073"/>
      <c r="H9" s="1067"/>
      <c r="I9" s="1067"/>
      <c r="J9" s="1069"/>
      <c r="K9" s="1071"/>
      <c r="L9" s="598"/>
      <c r="M9" s="1066"/>
      <c r="N9" s="1073"/>
      <c r="O9" s="1073"/>
      <c r="P9" s="1066"/>
      <c r="Q9" s="1069"/>
      <c r="R9" s="1071"/>
      <c r="S9" s="600"/>
      <c r="T9" s="1073"/>
      <c r="U9" s="1073"/>
      <c r="V9" s="1073"/>
      <c r="W9" s="1073"/>
      <c r="X9" s="1069"/>
      <c r="Y9" s="1078"/>
      <c r="Z9" s="600"/>
      <c r="AA9" s="1079"/>
      <c r="AB9" s="1073"/>
      <c r="AC9" s="1079"/>
      <c r="AD9" s="1079"/>
      <c r="AE9" s="1069"/>
      <c r="AF9" s="1077"/>
    </row>
    <row r="10" spans="1:32" x14ac:dyDescent="0.3">
      <c r="B10" s="91" t="s">
        <v>1</v>
      </c>
      <c r="C10" s="93" t="s">
        <v>77</v>
      </c>
      <c r="D10" s="159" t="s">
        <v>91</v>
      </c>
      <c r="E10" s="601"/>
      <c r="F10" s="155">
        <f>'Energy Inputs'!D17</f>
        <v>4</v>
      </c>
      <c r="G10" s="155">
        <f>'Energy Inputs'!D16</f>
        <v>16</v>
      </c>
      <c r="H10" s="155">
        <f>'Energy Inputs'!D18</f>
        <v>3</v>
      </c>
      <c r="I10" s="92">
        <f>IF(F10="",0,INT(1+((G10-F10)/H10)))</f>
        <v>5</v>
      </c>
      <c r="J10" s="971">
        <f>SUM('Energy NPV'!D13:D28)</f>
        <v>150</v>
      </c>
      <c r="K10" s="176">
        <f>J10/'Energy Inputs'!D16</f>
        <v>9.375</v>
      </c>
      <c r="L10" s="601"/>
      <c r="M10" s="155">
        <f>'Energy Inputs'!E17</f>
        <v>1</v>
      </c>
      <c r="N10" s="155">
        <f>'Energy Inputs'!E16</f>
        <v>16</v>
      </c>
      <c r="O10" s="155">
        <f>'Energy Inputs'!E18</f>
        <v>1</v>
      </c>
      <c r="P10" s="92">
        <f>IF(M10="",0,INT(1+((N10-M10)/O10)))</f>
        <v>16</v>
      </c>
      <c r="Q10" s="971">
        <f>SUM('Energy NPV'!D39:D54)</f>
        <v>178.64499999999992</v>
      </c>
      <c r="R10" s="176">
        <f>Q10/'Energy Inputs'!E16</f>
        <v>11.165312499999995</v>
      </c>
      <c r="S10" s="602"/>
      <c r="T10" s="155">
        <f>'Energy Inputs'!F17</f>
        <v>1</v>
      </c>
      <c r="U10" s="155">
        <f>'Energy Inputs'!F16</f>
        <v>16</v>
      </c>
      <c r="V10" s="155">
        <f>'Energy Inputs'!F18</f>
        <v>1</v>
      </c>
      <c r="W10" s="92">
        <f>IF(T10="",0,INT(1+((U10-T10)/V10)))</f>
        <v>16</v>
      </c>
      <c r="X10" s="971">
        <f>SUM('Energy NPV'!D65:D80)</f>
        <v>172.26433333333333</v>
      </c>
      <c r="Y10" s="176">
        <f>X10/'Energy Inputs'!F16</f>
        <v>10.766520833333333</v>
      </c>
      <c r="Z10" s="603"/>
      <c r="AA10" s="155">
        <f>'Energy Inputs'!G17</f>
        <v>2</v>
      </c>
      <c r="AB10" s="155">
        <f>'Energy Inputs'!G16</f>
        <v>16</v>
      </c>
      <c r="AC10" s="155">
        <f>'Energy Inputs'!G18</f>
        <v>1</v>
      </c>
      <c r="AD10" s="92">
        <f>IF(AA10="",0,INT(1+((AB10-AA10)/AC10)))</f>
        <v>15</v>
      </c>
      <c r="AE10" s="972">
        <f>SUM('Energy NPV'!D91:D106)</f>
        <v>235.96666666666673</v>
      </c>
      <c r="AF10" s="156">
        <f>AE10/'Energy Inputs'!G16</f>
        <v>14.74791666666667</v>
      </c>
    </row>
    <row r="11" spans="1:32" x14ac:dyDescent="0.3">
      <c r="B11" s="96"/>
      <c r="C11" s="27"/>
      <c r="D11" s="27"/>
      <c r="E11" s="604"/>
      <c r="F11" s="605"/>
      <c r="G11" s="605"/>
      <c r="H11" s="605"/>
      <c r="I11" s="605"/>
      <c r="J11" s="424"/>
      <c r="K11" s="606"/>
      <c r="L11" s="604"/>
      <c r="M11" s="605"/>
      <c r="N11" s="605"/>
      <c r="O11" s="605"/>
      <c r="P11" s="605"/>
      <c r="Q11" s="424"/>
      <c r="R11" s="607"/>
      <c r="S11" s="608"/>
      <c r="T11" s="605"/>
      <c r="U11" s="605"/>
      <c r="V11" s="605"/>
      <c r="W11" s="605"/>
      <c r="X11" s="424"/>
      <c r="Y11" s="607"/>
      <c r="Z11" s="579"/>
      <c r="AA11" s="605"/>
      <c r="AB11" s="605"/>
      <c r="AC11" s="605"/>
      <c r="AD11" s="605"/>
      <c r="AE11" s="424"/>
      <c r="AF11" s="607"/>
    </row>
    <row r="12" spans="1:32" x14ac:dyDescent="0.3">
      <c r="B12" s="97" t="s">
        <v>8</v>
      </c>
      <c r="C12" s="81" t="s">
        <v>78</v>
      </c>
      <c r="D12" s="160" t="s">
        <v>601</v>
      </c>
      <c r="E12" s="609">
        <f>'Energy Inputs'!$D$58</f>
        <v>72</v>
      </c>
      <c r="F12" s="610"/>
      <c r="G12" s="610"/>
      <c r="H12" s="610"/>
      <c r="I12" s="610"/>
      <c r="J12" s="610"/>
      <c r="K12" s="595"/>
      <c r="L12" s="611">
        <f>'Energy Inputs'!$E$58</f>
        <v>72</v>
      </c>
      <c r="M12" s="612"/>
      <c r="N12" s="612"/>
      <c r="O12" s="612"/>
      <c r="P12" s="612"/>
      <c r="Q12" s="610"/>
      <c r="R12" s="613"/>
      <c r="S12" s="611">
        <f>'Energy Inputs'!$F$58</f>
        <v>72</v>
      </c>
      <c r="T12" s="610"/>
      <c r="U12" s="595"/>
      <c r="V12" s="594"/>
      <c r="W12" s="610"/>
      <c r="X12" s="610"/>
      <c r="Y12" s="613"/>
      <c r="Z12" s="611">
        <f>'Energy Inputs'!$G$58</f>
        <v>72</v>
      </c>
      <c r="AA12" s="610"/>
      <c r="AB12" s="595"/>
      <c r="AC12" s="594"/>
      <c r="AD12" s="610"/>
      <c r="AE12" s="610"/>
      <c r="AF12" s="613"/>
    </row>
    <row r="13" spans="1:32" ht="15" customHeight="1" x14ac:dyDescent="0.3">
      <c r="B13" s="94"/>
      <c r="C13" s="28" t="s">
        <v>79</v>
      </c>
      <c r="D13" s="157" t="s">
        <v>601</v>
      </c>
      <c r="E13" s="614"/>
      <c r="F13" s="366"/>
      <c r="G13" s="366"/>
      <c r="H13" s="366"/>
      <c r="I13" s="366"/>
      <c r="J13" s="615"/>
      <c r="K13" s="616">
        <f>K14/K10</f>
        <v>72</v>
      </c>
      <c r="L13" s="617"/>
      <c r="M13" s="410"/>
      <c r="N13" s="410"/>
      <c r="O13" s="410"/>
      <c r="P13" s="410"/>
      <c r="Q13" s="615"/>
      <c r="R13" s="618">
        <f>R14/R10</f>
        <v>72</v>
      </c>
      <c r="S13" s="617"/>
      <c r="T13" s="466"/>
      <c r="U13" s="466"/>
      <c r="V13" s="410"/>
      <c r="W13" s="466"/>
      <c r="X13" s="615"/>
      <c r="Y13" s="618">
        <f>Y14/Y10</f>
        <v>72</v>
      </c>
      <c r="Z13" s="617"/>
      <c r="AA13" s="466"/>
      <c r="AB13" s="466"/>
      <c r="AC13" s="410"/>
      <c r="AD13" s="466"/>
      <c r="AE13" s="615"/>
      <c r="AF13" s="616">
        <f>AF14/AF10</f>
        <v>72</v>
      </c>
    </row>
    <row r="14" spans="1:32" x14ac:dyDescent="0.3">
      <c r="B14" s="94"/>
      <c r="C14" s="29"/>
      <c r="D14" s="30" t="s">
        <v>599</v>
      </c>
      <c r="E14" s="614"/>
      <c r="F14" s="366"/>
      <c r="G14" s="366"/>
      <c r="H14" s="366"/>
      <c r="I14" s="366"/>
      <c r="J14" s="619">
        <f>J10*E12</f>
        <v>10800</v>
      </c>
      <c r="K14" s="620">
        <f>K10*E12</f>
        <v>675</v>
      </c>
      <c r="L14" s="614"/>
      <c r="M14" s="366"/>
      <c r="N14" s="366"/>
      <c r="O14" s="366"/>
      <c r="P14" s="366"/>
      <c r="Q14" s="621">
        <f>Q10*L12</f>
        <v>12862.439999999995</v>
      </c>
      <c r="R14" s="620">
        <f>R10*L12</f>
        <v>803.90249999999969</v>
      </c>
      <c r="S14" s="614"/>
      <c r="T14" s="366"/>
      <c r="U14" s="366"/>
      <c r="V14" s="366"/>
      <c r="W14" s="366"/>
      <c r="X14" s="621">
        <f>X10*S12</f>
        <v>12403.031999999999</v>
      </c>
      <c r="Y14" s="620">
        <f>Y10*S12</f>
        <v>775.18949999999995</v>
      </c>
      <c r="Z14" s="614"/>
      <c r="AA14" s="366"/>
      <c r="AB14" s="366"/>
      <c r="AC14" s="366"/>
      <c r="AD14" s="366"/>
      <c r="AE14" s="619">
        <f>AE10*Z12</f>
        <v>16989.600000000006</v>
      </c>
      <c r="AF14" s="620">
        <f>AF10*Z12</f>
        <v>1061.8500000000004</v>
      </c>
    </row>
    <row r="15" spans="1:32" x14ac:dyDescent="0.3">
      <c r="B15" s="16"/>
      <c r="C15" s="81" t="s">
        <v>80</v>
      </c>
      <c r="D15" s="157" t="s">
        <v>599</v>
      </c>
      <c r="E15" s="622"/>
      <c r="F15" s="164"/>
      <c r="G15" s="164"/>
      <c r="H15" s="164"/>
      <c r="I15" s="162"/>
      <c r="J15" s="535"/>
      <c r="K15" s="662"/>
      <c r="L15" s="622"/>
      <c r="M15" s="164"/>
      <c r="N15" s="164"/>
      <c r="O15" s="164"/>
      <c r="P15" s="162"/>
      <c r="Q15" s="535"/>
      <c r="R15" s="662"/>
      <c r="S15" s="622"/>
      <c r="T15" s="164"/>
      <c r="U15" s="162"/>
      <c r="V15" s="162"/>
      <c r="W15" s="162"/>
      <c r="X15" s="535"/>
      <c r="Y15" s="662"/>
      <c r="Z15" s="622"/>
      <c r="AA15" s="164"/>
      <c r="AB15" s="162"/>
      <c r="AC15" s="162"/>
      <c r="AD15" s="162"/>
      <c r="AE15" s="535"/>
      <c r="AF15" s="662"/>
    </row>
    <row r="16" spans="1:32" x14ac:dyDescent="0.3">
      <c r="B16" s="77"/>
      <c r="C16" s="82" t="s">
        <v>666</v>
      </c>
      <c r="D16" s="34" t="s">
        <v>599</v>
      </c>
      <c r="E16" s="624">
        <f>'Energy Inputs'!$D$10</f>
        <v>175.95</v>
      </c>
      <c r="F16" s="153">
        <v>1</v>
      </c>
      <c r="G16" s="153">
        <v>16</v>
      </c>
      <c r="H16" s="153">
        <v>1</v>
      </c>
      <c r="I16" s="153">
        <f>IF(F16="",0,INT(1+((G16-F16)/H16)))</f>
        <v>16</v>
      </c>
      <c r="J16" s="537">
        <f>I16*E16</f>
        <v>2815.2</v>
      </c>
      <c r="K16" s="625">
        <f>J16/'Energy Inputs'!$D$16</f>
        <v>175.95</v>
      </c>
      <c r="L16" s="624">
        <f>'Energy Inputs'!$D$10</f>
        <v>175.95</v>
      </c>
      <c r="M16" s="153">
        <v>1</v>
      </c>
      <c r="N16" s="153">
        <v>16</v>
      </c>
      <c r="O16" s="153">
        <v>1</v>
      </c>
      <c r="P16" s="153">
        <f>IF(M16="",0,INT(1+((N16-M16)/O16)))</f>
        <v>16</v>
      </c>
      <c r="Q16" s="537">
        <f>P16*L16</f>
        <v>2815.2</v>
      </c>
      <c r="R16" s="625">
        <f>Q16/'Energy Inputs'!$E$16</f>
        <v>175.95</v>
      </c>
      <c r="S16" s="624">
        <f>'Energy Inputs'!$D$10</f>
        <v>175.95</v>
      </c>
      <c r="T16" s="153">
        <v>1</v>
      </c>
      <c r="U16" s="545">
        <v>16</v>
      </c>
      <c r="V16" s="545">
        <v>1</v>
      </c>
      <c r="W16" s="153">
        <f>IF(T16="",0,INT(1+((U16-T16)/V16)))</f>
        <v>16</v>
      </c>
      <c r="X16" s="537">
        <f>W16*S16</f>
        <v>2815.2</v>
      </c>
      <c r="Y16" s="625">
        <f>X16/'Energy Inputs'!$F$16</f>
        <v>175.95</v>
      </c>
      <c r="Z16" s="624">
        <f>'Energy Inputs'!$D$10</f>
        <v>175.95</v>
      </c>
      <c r="AA16" s="153">
        <v>1</v>
      </c>
      <c r="AB16" s="545">
        <v>16</v>
      </c>
      <c r="AC16" s="545">
        <v>1</v>
      </c>
      <c r="AD16" s="153">
        <f>IF(AA16="",0,INT(1+((AB16-AA16)/AC16)))</f>
        <v>16</v>
      </c>
      <c r="AE16" s="537">
        <f>AD16*Z16</f>
        <v>2815.2</v>
      </c>
      <c r="AF16" s="625">
        <f>AE16/'Energy Inputs'!$G$16</f>
        <v>175.95</v>
      </c>
    </row>
    <row r="17" spans="2:32" x14ac:dyDescent="0.3">
      <c r="B17" s="96" t="s">
        <v>81</v>
      </c>
      <c r="C17" s="161"/>
      <c r="D17" s="30" t="s">
        <v>601</v>
      </c>
      <c r="E17" s="626"/>
      <c r="F17" s="367"/>
      <c r="G17" s="367"/>
      <c r="H17" s="367"/>
      <c r="I17" s="367"/>
      <c r="J17" s="627"/>
      <c r="K17" s="628">
        <f>K18/K10</f>
        <v>90.768000000000001</v>
      </c>
      <c r="L17" s="626"/>
      <c r="M17" s="367"/>
      <c r="N17" s="367"/>
      <c r="O17" s="367"/>
      <c r="P17" s="367"/>
      <c r="Q17" s="627"/>
      <c r="R17" s="628">
        <f>R18/R10</f>
        <v>87.758627445492465</v>
      </c>
      <c r="S17" s="626"/>
      <c r="T17" s="367"/>
      <c r="U17" s="367"/>
      <c r="V17" s="367"/>
      <c r="W17" s="367"/>
      <c r="X17" s="627"/>
      <c r="Y17" s="628">
        <f>Y18/Y10</f>
        <v>88.342326618201099</v>
      </c>
      <c r="Z17" s="626"/>
      <c r="AA17" s="367"/>
      <c r="AB17" s="367"/>
      <c r="AC17" s="367"/>
      <c r="AD17" s="367"/>
      <c r="AE17" s="627"/>
      <c r="AF17" s="628">
        <f>AF18/AF10</f>
        <v>83.930498658002548</v>
      </c>
    </row>
    <row r="18" spans="2:32" x14ac:dyDescent="0.3">
      <c r="B18" s="629"/>
      <c r="C18" s="375"/>
      <c r="D18" s="182" t="s">
        <v>599</v>
      </c>
      <c r="E18" s="367"/>
      <c r="F18" s="367"/>
      <c r="G18" s="367"/>
      <c r="H18" s="367"/>
      <c r="I18" s="367"/>
      <c r="J18" s="630">
        <f>J14+J16</f>
        <v>13615.2</v>
      </c>
      <c r="K18" s="631">
        <f>K14+K15+K16</f>
        <v>850.95</v>
      </c>
      <c r="L18" s="367"/>
      <c r="M18" s="367"/>
      <c r="N18" s="367"/>
      <c r="O18" s="367"/>
      <c r="P18" s="367"/>
      <c r="Q18" s="630">
        <f>Q14+Q16</f>
        <v>15677.639999999996</v>
      </c>
      <c r="R18" s="631">
        <f>R14+R15+R16</f>
        <v>979.85249999999974</v>
      </c>
      <c r="S18" s="367"/>
      <c r="T18" s="367"/>
      <c r="U18" s="367"/>
      <c r="V18" s="367"/>
      <c r="W18" s="367"/>
      <c r="X18" s="630">
        <f>X14+X15+X16</f>
        <v>15218.232</v>
      </c>
      <c r="Y18" s="631">
        <f>Y14+Y15+Y16</f>
        <v>951.1395</v>
      </c>
      <c r="Z18" s="367"/>
      <c r="AA18" s="367"/>
      <c r="AB18" s="367"/>
      <c r="AC18" s="367"/>
      <c r="AD18" s="367"/>
      <c r="AE18" s="630">
        <f>AE14+AE15+AE16</f>
        <v>19804.800000000007</v>
      </c>
      <c r="AF18" s="631">
        <f>AF14+AF15+AF16</f>
        <v>1237.8000000000004</v>
      </c>
    </row>
    <row r="19" spans="2:32" x14ac:dyDescent="0.3">
      <c r="B19" s="632"/>
      <c r="C19" s="426"/>
      <c r="D19" s="426"/>
      <c r="E19" s="633"/>
      <c r="F19" s="596"/>
      <c r="G19" s="596"/>
      <c r="H19" s="596"/>
      <c r="I19" s="596"/>
      <c r="J19" s="596"/>
      <c r="K19" s="597"/>
      <c r="L19" s="596"/>
      <c r="M19" s="596"/>
      <c r="N19" s="596"/>
      <c r="O19" s="596"/>
      <c r="P19" s="596"/>
      <c r="Q19" s="596"/>
      <c r="R19" s="597"/>
      <c r="S19" s="596"/>
      <c r="T19" s="596"/>
      <c r="U19" s="596"/>
      <c r="V19" s="596"/>
      <c r="W19" s="596"/>
      <c r="X19" s="596"/>
      <c r="Y19" s="597"/>
      <c r="Z19" s="596"/>
      <c r="AA19" s="596"/>
      <c r="AB19" s="596"/>
      <c r="AC19" s="596"/>
      <c r="AD19" s="596"/>
      <c r="AE19" s="596"/>
      <c r="AF19" s="597"/>
    </row>
    <row r="20" spans="2:32" x14ac:dyDescent="0.3">
      <c r="B20" s="163" t="s">
        <v>82</v>
      </c>
      <c r="C20" s="81" t="s">
        <v>83</v>
      </c>
      <c r="D20" s="157" t="s">
        <v>599</v>
      </c>
      <c r="E20" s="634">
        <f>'Energy Inputs'!D65</f>
        <v>1500</v>
      </c>
      <c r="F20" s="164">
        <v>1</v>
      </c>
      <c r="G20" s="164">
        <v>1</v>
      </c>
      <c r="H20" s="164">
        <v>16</v>
      </c>
      <c r="I20" s="164">
        <f>IF(F20="",0,INT(1+((G20-F20)/H20)))</f>
        <v>1</v>
      </c>
      <c r="J20" s="535">
        <f>I20*E20</f>
        <v>1500</v>
      </c>
      <c r="K20" s="635">
        <f>J20/'Energy Inputs'!$D$16</f>
        <v>93.75</v>
      </c>
      <c r="L20" s="634">
        <f>'Energy Inputs'!E65</f>
        <v>1344.6999999999998</v>
      </c>
      <c r="M20" s="164">
        <v>1</v>
      </c>
      <c r="N20" s="164">
        <v>1</v>
      </c>
      <c r="O20" s="164">
        <v>16</v>
      </c>
      <c r="P20" s="164">
        <f>IF(M20="",0,INT(1+((N20-M20)/O20)))</f>
        <v>1</v>
      </c>
      <c r="Q20" s="535">
        <f>P20*L20</f>
        <v>1344.6999999999998</v>
      </c>
      <c r="R20" s="623">
        <f>Q20/'Energy Inputs'!$E$16</f>
        <v>84.043749999999989</v>
      </c>
      <c r="S20" s="636">
        <f>'Energy Inputs'!F65</f>
        <v>4900</v>
      </c>
      <c r="T20" s="164">
        <v>1</v>
      </c>
      <c r="U20" s="164">
        <v>1</v>
      </c>
      <c r="V20" s="164">
        <v>16</v>
      </c>
      <c r="W20" s="164">
        <f>IF(T20="",0,INT(1+((U20-T20)/V20)))</f>
        <v>1</v>
      </c>
      <c r="X20" s="535">
        <f>W20*S20</f>
        <v>4900</v>
      </c>
      <c r="Y20" s="623">
        <f>X20/'Energy Inputs'!$F$16</f>
        <v>306.25</v>
      </c>
      <c r="Z20" s="636">
        <f>'Energy Inputs'!G65</f>
        <v>1475</v>
      </c>
      <c r="AA20" s="164">
        <v>1</v>
      </c>
      <c r="AB20" s="164">
        <v>1</v>
      </c>
      <c r="AC20" s="164">
        <v>16</v>
      </c>
      <c r="AD20" s="164">
        <f>IF(AA20="",0,INT(1+((AB20-AA20)/AC20)))</f>
        <v>1</v>
      </c>
      <c r="AE20" s="535">
        <f>AD20*Z20</f>
        <v>1475</v>
      </c>
      <c r="AF20" s="623">
        <f>AE20/'Energy Inputs'!$G$16</f>
        <v>92.1875</v>
      </c>
    </row>
    <row r="21" spans="2:32" x14ac:dyDescent="0.3">
      <c r="B21" s="16"/>
      <c r="C21" s="28" t="s">
        <v>84</v>
      </c>
      <c r="D21" s="157" t="s">
        <v>601</v>
      </c>
      <c r="E21" s="626"/>
      <c r="F21" s="640"/>
      <c r="G21" s="640"/>
      <c r="H21" s="410"/>
      <c r="I21" s="640"/>
      <c r="J21" s="615"/>
      <c r="K21" s="616">
        <f>K22/K10</f>
        <v>10</v>
      </c>
      <c r="L21" s="626"/>
      <c r="M21" s="640"/>
      <c r="N21" s="640"/>
      <c r="O21" s="410"/>
      <c r="P21" s="640"/>
      <c r="Q21" s="615"/>
      <c r="R21" s="616">
        <f>R22/R10</f>
        <v>7.527218785860228</v>
      </c>
      <c r="S21" s="626"/>
      <c r="T21" s="640"/>
      <c r="U21" s="640"/>
      <c r="V21" s="410"/>
      <c r="W21" s="640"/>
      <c r="X21" s="615"/>
      <c r="Y21" s="616">
        <f>Y22/Y10</f>
        <v>28.444657725627088</v>
      </c>
      <c r="Z21" s="626"/>
      <c r="AA21" s="640"/>
      <c r="AB21" s="640"/>
      <c r="AC21" s="410"/>
      <c r="AD21" s="640"/>
      <c r="AE21" s="615"/>
      <c r="AF21" s="616">
        <f>AF22/AF10</f>
        <v>6.2508828930639906</v>
      </c>
    </row>
    <row r="22" spans="2:32" x14ac:dyDescent="0.3">
      <c r="B22" s="641"/>
      <c r="C22" s="31"/>
      <c r="D22" s="34" t="s">
        <v>599</v>
      </c>
      <c r="E22" s="642"/>
      <c r="F22" s="643"/>
      <c r="G22" s="643"/>
      <c r="H22" s="643"/>
      <c r="I22" s="643"/>
      <c r="J22" s="619">
        <f>J20</f>
        <v>1500</v>
      </c>
      <c r="K22" s="644">
        <f>J22/'Energy Inputs'!$D$16</f>
        <v>93.75</v>
      </c>
      <c r="L22" s="642"/>
      <c r="M22" s="643"/>
      <c r="N22" s="643"/>
      <c r="O22" s="643"/>
      <c r="P22" s="643"/>
      <c r="Q22" s="619">
        <f>Q20</f>
        <v>1344.6999999999998</v>
      </c>
      <c r="R22" s="644">
        <f>Q22/'Energy Inputs'!$E$16</f>
        <v>84.043749999999989</v>
      </c>
      <c r="S22" s="642"/>
      <c r="T22" s="643"/>
      <c r="U22" s="643"/>
      <c r="V22" s="643"/>
      <c r="W22" s="643"/>
      <c r="X22" s="619">
        <f>X20</f>
        <v>4900</v>
      </c>
      <c r="Y22" s="644">
        <f>X22/'Energy Inputs'!$F$16</f>
        <v>306.25</v>
      </c>
      <c r="Z22" s="642"/>
      <c r="AA22" s="643"/>
      <c r="AB22" s="643"/>
      <c r="AC22" s="643"/>
      <c r="AD22" s="643"/>
      <c r="AE22" s="619">
        <f>AE20</f>
        <v>1475</v>
      </c>
      <c r="AF22" s="644">
        <f>AE22/'Energy Inputs'!$G$16</f>
        <v>92.1875</v>
      </c>
    </row>
    <row r="23" spans="2:32" x14ac:dyDescent="0.3">
      <c r="B23" s="641"/>
      <c r="C23" s="33" t="s">
        <v>254</v>
      </c>
      <c r="D23" s="30" t="s">
        <v>599</v>
      </c>
      <c r="E23" s="636">
        <f>'Energy Inputs'!$D$80</f>
        <v>225.99999999999997</v>
      </c>
      <c r="F23" s="166">
        <v>1</v>
      </c>
      <c r="G23" s="166">
        <v>1</v>
      </c>
      <c r="H23" s="166">
        <v>16</v>
      </c>
      <c r="I23" s="164">
        <f t="shared" ref="I23:I29" si="0">IF(F23="",0,INT(1+((G23-F23)/H23)))</f>
        <v>1</v>
      </c>
      <c r="J23" s="464">
        <f>I23*E23</f>
        <v>225.99999999999997</v>
      </c>
      <c r="K23" s="645">
        <f>J23/'Energy Inputs'!$D$16</f>
        <v>14.124999999999998</v>
      </c>
      <c r="L23" s="636">
        <f>'Energy Inputs'!$E$80</f>
        <v>203.39999999999998</v>
      </c>
      <c r="M23" s="166">
        <v>1</v>
      </c>
      <c r="N23" s="166">
        <v>1</v>
      </c>
      <c r="O23" s="166">
        <v>16</v>
      </c>
      <c r="P23" s="164">
        <f>IF(M23="",0,INT(1+((N23-M23)/O23)))</f>
        <v>1</v>
      </c>
      <c r="Q23" s="464">
        <f t="shared" ref="Q23:Q29" si="1">P23*L23</f>
        <v>203.39999999999998</v>
      </c>
      <c r="R23" s="645">
        <f>Q23/'Energy Inputs'!$E$16</f>
        <v>12.712499999999999</v>
      </c>
      <c r="S23" s="636">
        <f>'Energy Inputs'!$F80</f>
        <v>203.39999999999998</v>
      </c>
      <c r="T23" s="166">
        <v>1</v>
      </c>
      <c r="U23" s="166">
        <v>1</v>
      </c>
      <c r="V23" s="166">
        <v>16</v>
      </c>
      <c r="W23" s="164">
        <f>IF(T23="",0,INT(1+((U23-T23)/V23)))</f>
        <v>1</v>
      </c>
      <c r="X23" s="464">
        <f>W23*S23</f>
        <v>203.39999999999998</v>
      </c>
      <c r="Y23" s="645">
        <f>X23/'Energy Inputs'!$F$16</f>
        <v>12.712499999999999</v>
      </c>
      <c r="Z23" s="636">
        <f>'Energy Inputs'!$G80</f>
        <v>203.39999999999998</v>
      </c>
      <c r="AA23" s="166">
        <v>1</v>
      </c>
      <c r="AB23" s="166">
        <v>1</v>
      </c>
      <c r="AC23" s="166">
        <v>16</v>
      </c>
      <c r="AD23" s="164">
        <f>IF(AA23="",0,INT(1+((AB23-AA23)/AC23)))</f>
        <v>1</v>
      </c>
      <c r="AE23" s="464">
        <f>AD23*Z23</f>
        <v>203.39999999999998</v>
      </c>
      <c r="AF23" s="645">
        <f>AE23/'Energy Inputs'!$G$16</f>
        <v>12.712499999999999</v>
      </c>
    </row>
    <row r="24" spans="2:32" x14ac:dyDescent="0.3">
      <c r="B24" s="641"/>
      <c r="C24" s="33" t="s">
        <v>477</v>
      </c>
      <c r="D24" s="30" t="s">
        <v>599</v>
      </c>
      <c r="E24" s="639">
        <f>'Energy fixed costs'!G85</f>
        <v>19.974783999999993</v>
      </c>
      <c r="F24" s="166">
        <v>1</v>
      </c>
      <c r="G24" s="166">
        <v>1</v>
      </c>
      <c r="H24" s="166">
        <v>16</v>
      </c>
      <c r="I24" s="166">
        <f t="shared" si="0"/>
        <v>1</v>
      </c>
      <c r="J24" s="464">
        <f t="shared" ref="J24:J29" si="2">I24*E24</f>
        <v>19.974783999999993</v>
      </c>
      <c r="K24" s="645">
        <f>J24/'Energy Inputs'!$D$16</f>
        <v>1.2484239999999995</v>
      </c>
      <c r="L24" s="639">
        <f>'Energy fixed costs'!L85</f>
        <v>19.974783999999993</v>
      </c>
      <c r="M24" s="166">
        <v>1</v>
      </c>
      <c r="N24" s="166">
        <v>1</v>
      </c>
      <c r="O24" s="166">
        <v>16</v>
      </c>
      <c r="P24" s="166">
        <f t="shared" ref="P24:P29" si="3">IF(M24="",0,INT(1+((N24-M24)/O24)))</f>
        <v>1</v>
      </c>
      <c r="Q24" s="464">
        <f t="shared" si="1"/>
        <v>19.974783999999993</v>
      </c>
      <c r="R24" s="645">
        <f>Q24/'Energy Inputs'!$E$16</f>
        <v>1.2484239999999995</v>
      </c>
      <c r="S24" s="639">
        <f>'Energy fixed costs'!Q85</f>
        <v>19.974783999999993</v>
      </c>
      <c r="T24" s="166">
        <v>1</v>
      </c>
      <c r="U24" s="166">
        <v>1</v>
      </c>
      <c r="V24" s="166">
        <v>16</v>
      </c>
      <c r="W24" s="166">
        <f t="shared" ref="W24:W29" si="4">IF(T24="",0,INT(1+((U24-T24)/V24)))</f>
        <v>1</v>
      </c>
      <c r="X24" s="464">
        <f t="shared" ref="X24:X29" si="5">W24*S24</f>
        <v>19.974783999999993</v>
      </c>
      <c r="Y24" s="645">
        <f>X24/'Energy Inputs'!$F$16</f>
        <v>1.2484239999999995</v>
      </c>
      <c r="Z24" s="639">
        <f>'Energy fixed costs'!V85</f>
        <v>19.974783999999993</v>
      </c>
      <c r="AA24" s="166">
        <v>1</v>
      </c>
      <c r="AB24" s="166">
        <v>1</v>
      </c>
      <c r="AC24" s="166">
        <v>16</v>
      </c>
      <c r="AD24" s="166">
        <f t="shared" ref="AD24:AD29" si="6">IF(AA24="",0,INT(1+((AB24-AA24)/AC24)))</f>
        <v>1</v>
      </c>
      <c r="AE24" s="464">
        <f t="shared" ref="AE24:AE29" si="7">AD24*Z24</f>
        <v>19.974783999999993</v>
      </c>
      <c r="AF24" s="645">
        <f>AE24/'Energy Inputs'!$G$16</f>
        <v>1.2484239999999995</v>
      </c>
    </row>
    <row r="25" spans="2:32" x14ac:dyDescent="0.3">
      <c r="B25" s="641"/>
      <c r="C25" s="33" t="s">
        <v>35</v>
      </c>
      <c r="D25" s="30" t="s">
        <v>599</v>
      </c>
      <c r="E25" s="639">
        <f>'Energy Inputs'!$D$83</f>
        <v>225.99999999999997</v>
      </c>
      <c r="F25" s="166">
        <v>1</v>
      </c>
      <c r="G25" s="166">
        <v>1</v>
      </c>
      <c r="H25" s="166">
        <v>16</v>
      </c>
      <c r="I25" s="166">
        <f t="shared" si="0"/>
        <v>1</v>
      </c>
      <c r="J25" s="464">
        <f t="shared" si="2"/>
        <v>225.99999999999997</v>
      </c>
      <c r="K25" s="645">
        <f>J25/'Energy Inputs'!$D$16</f>
        <v>14.124999999999998</v>
      </c>
      <c r="L25" s="639">
        <f>'Energy Inputs'!$E$83</f>
        <v>135.6</v>
      </c>
      <c r="M25" s="166">
        <v>1</v>
      </c>
      <c r="N25" s="166">
        <v>1</v>
      </c>
      <c r="O25" s="166">
        <v>16</v>
      </c>
      <c r="P25" s="166">
        <f t="shared" si="3"/>
        <v>1</v>
      </c>
      <c r="Q25" s="464">
        <f t="shared" si="1"/>
        <v>135.6</v>
      </c>
      <c r="R25" s="645">
        <f>Q25/'Energy Inputs'!$E$16</f>
        <v>8.4749999999999996</v>
      </c>
      <c r="S25" s="639">
        <f>'Energy Inputs'!$F83</f>
        <v>135.6</v>
      </c>
      <c r="T25" s="166">
        <v>1</v>
      </c>
      <c r="U25" s="166">
        <v>1</v>
      </c>
      <c r="V25" s="166">
        <v>16</v>
      </c>
      <c r="W25" s="166">
        <f t="shared" si="4"/>
        <v>1</v>
      </c>
      <c r="X25" s="464">
        <f t="shared" si="5"/>
        <v>135.6</v>
      </c>
      <c r="Y25" s="645">
        <f>X25/'Energy Inputs'!$F$16</f>
        <v>8.4749999999999996</v>
      </c>
      <c r="Z25" s="639">
        <f>'Energy Inputs'!$G83</f>
        <v>135.6</v>
      </c>
      <c r="AA25" s="166">
        <v>1</v>
      </c>
      <c r="AB25" s="166">
        <v>1</v>
      </c>
      <c r="AC25" s="166">
        <v>16</v>
      </c>
      <c r="AD25" s="166">
        <f t="shared" si="6"/>
        <v>1</v>
      </c>
      <c r="AE25" s="464">
        <f t="shared" si="7"/>
        <v>135.6</v>
      </c>
      <c r="AF25" s="645">
        <f>AE25/'Energy Inputs'!$G$16</f>
        <v>8.4749999999999996</v>
      </c>
    </row>
    <row r="26" spans="2:32" x14ac:dyDescent="0.3">
      <c r="B26" s="16"/>
      <c r="C26" s="32" t="s">
        <v>85</v>
      </c>
      <c r="D26" s="30" t="s">
        <v>599</v>
      </c>
      <c r="E26" s="639">
        <f>'Energy Inputs'!$D$85</f>
        <v>338.99999999999994</v>
      </c>
      <c r="F26" s="166">
        <v>1</v>
      </c>
      <c r="G26" s="166">
        <v>1</v>
      </c>
      <c r="H26" s="166">
        <v>16</v>
      </c>
      <c r="I26" s="166">
        <f t="shared" si="0"/>
        <v>1</v>
      </c>
      <c r="J26" s="464">
        <f>I26*E26</f>
        <v>338.99999999999994</v>
      </c>
      <c r="K26" s="645">
        <f>J26/'Energy Inputs'!$D$16</f>
        <v>21.187499999999996</v>
      </c>
      <c r="L26" s="639">
        <f>'Energy Inputs'!$E$85</f>
        <v>395.49999999999994</v>
      </c>
      <c r="M26" s="166">
        <v>1</v>
      </c>
      <c r="N26" s="166">
        <v>1</v>
      </c>
      <c r="O26" s="166">
        <v>16</v>
      </c>
      <c r="P26" s="166">
        <f>IF(M26="",0,INT(1+((N26-M26)/O26)))</f>
        <v>1</v>
      </c>
      <c r="Q26" s="464">
        <f t="shared" si="1"/>
        <v>395.49999999999994</v>
      </c>
      <c r="R26" s="645">
        <f>Q26/'Energy Inputs'!$E$16</f>
        <v>24.718749999999996</v>
      </c>
      <c r="S26" s="639">
        <f>'Energy Inputs'!$F85</f>
        <v>142.70769999999999</v>
      </c>
      <c r="T26" s="166">
        <v>1</v>
      </c>
      <c r="U26" s="166">
        <v>1</v>
      </c>
      <c r="V26" s="166">
        <v>16</v>
      </c>
      <c r="W26" s="166">
        <f>IF(T26="",0,INT(1+((U26-T26)/V26)))</f>
        <v>1</v>
      </c>
      <c r="X26" s="464">
        <f>W26*S26</f>
        <v>142.70769999999999</v>
      </c>
      <c r="Y26" s="645">
        <f>X26/'Energy Inputs'!$F$16</f>
        <v>8.9192312499999993</v>
      </c>
      <c r="Z26" s="639">
        <f>'Energy Inputs'!$G85</f>
        <v>50.849999999999994</v>
      </c>
      <c r="AA26" s="166">
        <v>1</v>
      </c>
      <c r="AB26" s="166">
        <v>1</v>
      </c>
      <c r="AC26" s="166">
        <v>16</v>
      </c>
      <c r="AD26" s="166">
        <f>IF(AA26="",0,INT(1+((AB26-AA26)/AC26)))</f>
        <v>1</v>
      </c>
      <c r="AE26" s="464">
        <f>AD26*Z26</f>
        <v>50.849999999999994</v>
      </c>
      <c r="AF26" s="645">
        <f>AE26/'Energy Inputs'!$G$16</f>
        <v>3.1781249999999996</v>
      </c>
    </row>
    <row r="27" spans="2:32" x14ac:dyDescent="0.3">
      <c r="B27" s="16"/>
      <c r="C27" s="32" t="s">
        <v>473</v>
      </c>
      <c r="D27" s="30" t="s">
        <v>599</v>
      </c>
      <c r="E27" s="663"/>
      <c r="F27" s="166"/>
      <c r="G27" s="166"/>
      <c r="H27" s="166"/>
      <c r="I27" s="166"/>
      <c r="J27" s="464"/>
      <c r="K27" s="660"/>
      <c r="L27" s="663"/>
      <c r="M27" s="166"/>
      <c r="N27" s="166"/>
      <c r="O27" s="166"/>
      <c r="P27" s="166"/>
      <c r="Q27" s="464"/>
      <c r="R27" s="660"/>
      <c r="S27" s="663"/>
      <c r="T27" s="166"/>
      <c r="U27" s="166"/>
      <c r="V27" s="166"/>
      <c r="W27" s="166"/>
      <c r="X27" s="464"/>
      <c r="Y27" s="660"/>
      <c r="Z27" s="663"/>
      <c r="AA27" s="166"/>
      <c r="AB27" s="166"/>
      <c r="AC27" s="166"/>
      <c r="AD27" s="166"/>
      <c r="AE27" s="464"/>
      <c r="AF27" s="660"/>
    </row>
    <row r="28" spans="2:32" x14ac:dyDescent="0.3">
      <c r="B28" s="16"/>
      <c r="C28" s="32" t="s">
        <v>470</v>
      </c>
      <c r="D28" s="30" t="s">
        <v>599</v>
      </c>
      <c r="E28" s="663"/>
      <c r="F28" s="166"/>
      <c r="G28" s="166"/>
      <c r="H28" s="166"/>
      <c r="I28" s="166"/>
      <c r="J28" s="464"/>
      <c r="K28" s="660"/>
      <c r="L28" s="663"/>
      <c r="M28" s="166"/>
      <c r="N28" s="166"/>
      <c r="O28" s="166"/>
      <c r="P28" s="166"/>
      <c r="Q28" s="464"/>
      <c r="R28" s="660"/>
      <c r="S28" s="639">
        <f>'Energy Inputs'!$F86</f>
        <v>136.44749999999999</v>
      </c>
      <c r="T28" s="166">
        <v>1</v>
      </c>
      <c r="U28" s="166">
        <v>1</v>
      </c>
      <c r="V28" s="166">
        <v>16</v>
      </c>
      <c r="W28" s="166">
        <f>IF(T28="",0,INT(1+((U28-T28)/V28)))</f>
        <v>1</v>
      </c>
      <c r="X28" s="464">
        <f>W28*S28</f>
        <v>136.44749999999999</v>
      </c>
      <c r="Y28" s="645">
        <f>X28/'Energy Inputs'!$F$16</f>
        <v>8.5279687499999994</v>
      </c>
      <c r="Z28" s="639">
        <f>'Energy Inputs'!$G86</f>
        <v>136.44749999999999</v>
      </c>
      <c r="AA28" s="166">
        <v>1</v>
      </c>
      <c r="AB28" s="166">
        <v>1</v>
      </c>
      <c r="AC28" s="166">
        <v>16</v>
      </c>
      <c r="AD28" s="166">
        <f>IF(AA28="",0,INT(1+((AB28-AA28)/AC28)))</f>
        <v>1</v>
      </c>
      <c r="AE28" s="464">
        <f>AD28*Z28</f>
        <v>136.44749999999999</v>
      </c>
      <c r="AF28" s="645">
        <f>AE28/'Energy Inputs'!$G$16</f>
        <v>8.5279687499999994</v>
      </c>
    </row>
    <row r="29" spans="2:32" ht="15.75" customHeight="1" x14ac:dyDescent="0.3">
      <c r="B29" s="16"/>
      <c r="C29" s="32" t="s">
        <v>86</v>
      </c>
      <c r="D29" s="23" t="s">
        <v>599</v>
      </c>
      <c r="E29" s="646">
        <f>'Energy Inputs'!D87</f>
        <v>56.499999999999993</v>
      </c>
      <c r="F29" s="166">
        <v>1</v>
      </c>
      <c r="G29" s="166">
        <v>1</v>
      </c>
      <c r="H29" s="166">
        <v>16</v>
      </c>
      <c r="I29" s="153">
        <f t="shared" si="0"/>
        <v>1</v>
      </c>
      <c r="J29" s="464">
        <f t="shared" si="2"/>
        <v>56.499999999999993</v>
      </c>
      <c r="K29" s="645">
        <f>J29/'Energy Inputs'!$D$16</f>
        <v>3.5312499999999996</v>
      </c>
      <c r="L29" s="646">
        <f>'Energy Inputs'!$E$87</f>
        <v>22.599999999999998</v>
      </c>
      <c r="M29" s="166">
        <v>1</v>
      </c>
      <c r="N29" s="166">
        <v>1</v>
      </c>
      <c r="O29" s="166">
        <v>16</v>
      </c>
      <c r="P29" s="166">
        <f t="shared" si="3"/>
        <v>1</v>
      </c>
      <c r="Q29" s="464">
        <f t="shared" si="1"/>
        <v>22.599999999999998</v>
      </c>
      <c r="R29" s="645">
        <f>Q29/'Energy Inputs'!$E$16</f>
        <v>1.4124999999999999</v>
      </c>
      <c r="S29" s="646">
        <f>'Energy Inputs'!$F87</f>
        <v>22.599999999999998</v>
      </c>
      <c r="T29" s="166">
        <v>1</v>
      </c>
      <c r="U29" s="166">
        <v>1</v>
      </c>
      <c r="V29" s="166">
        <v>16</v>
      </c>
      <c r="W29" s="166">
        <f t="shared" si="4"/>
        <v>1</v>
      </c>
      <c r="X29" s="464">
        <f t="shared" si="5"/>
        <v>22.599999999999998</v>
      </c>
      <c r="Y29" s="645">
        <f>X29/'Energy Inputs'!$F$16</f>
        <v>1.4124999999999999</v>
      </c>
      <c r="Z29" s="646">
        <f>'Energy Inputs'!$G87</f>
        <v>22.599999999999998</v>
      </c>
      <c r="AA29" s="166">
        <v>1</v>
      </c>
      <c r="AB29" s="166">
        <v>1</v>
      </c>
      <c r="AC29" s="166">
        <v>16</v>
      </c>
      <c r="AD29" s="166">
        <f t="shared" si="6"/>
        <v>1</v>
      </c>
      <c r="AE29" s="464">
        <f t="shared" si="7"/>
        <v>22.599999999999998</v>
      </c>
      <c r="AF29" s="645">
        <f>AE29/'Energy Inputs'!$G$16</f>
        <v>1.4124999999999999</v>
      </c>
    </row>
    <row r="30" spans="2:32" ht="15.75" customHeight="1" x14ac:dyDescent="0.3">
      <c r="B30" s="16"/>
      <c r="C30" s="81" t="s">
        <v>15</v>
      </c>
      <c r="D30" s="18" t="s">
        <v>603</v>
      </c>
      <c r="E30" s="780">
        <f>'Arable Inputs'!$D$34</f>
        <v>0.60399999999999998</v>
      </c>
      <c r="F30" s="781"/>
      <c r="G30" s="781"/>
      <c r="H30" s="781"/>
      <c r="I30" s="781"/>
      <c r="J30" s="781"/>
      <c r="K30" s="782"/>
      <c r="L30" s="780">
        <f>'Arable Inputs'!$D$34</f>
        <v>0.60399999999999998</v>
      </c>
      <c r="M30" s="781"/>
      <c r="N30" s="781"/>
      <c r="O30" s="781"/>
      <c r="P30" s="781"/>
      <c r="Q30" s="781"/>
      <c r="R30" s="782"/>
      <c r="S30" s="780">
        <f>'Arable Inputs'!$D$34</f>
        <v>0.60399999999999998</v>
      </c>
      <c r="T30" s="781"/>
      <c r="U30" s="781"/>
      <c r="V30" s="781"/>
      <c r="W30" s="781"/>
      <c r="X30" s="781"/>
      <c r="Y30" s="782"/>
      <c r="Z30" s="780">
        <f>'Arable Inputs'!$D$34</f>
        <v>0.60399999999999998</v>
      </c>
      <c r="AA30" s="781"/>
      <c r="AB30" s="781"/>
      <c r="AC30" s="781"/>
      <c r="AD30" s="781"/>
      <c r="AE30" s="781"/>
      <c r="AF30" s="782"/>
    </row>
    <row r="31" spans="2:32" ht="15.75" customHeight="1" x14ac:dyDescent="0.3">
      <c r="B31" s="16"/>
      <c r="C31" s="33" t="s">
        <v>16</v>
      </c>
      <c r="D31" s="30" t="s">
        <v>93</v>
      </c>
      <c r="E31" s="639">
        <f>'Energy Inputs'!D71</f>
        <v>90</v>
      </c>
      <c r="F31" s="10"/>
      <c r="G31" s="10"/>
      <c r="H31" s="10"/>
      <c r="I31" s="166"/>
      <c r="J31" s="533"/>
      <c r="K31" s="660"/>
      <c r="L31" s="639">
        <f>'Energy Inputs'!E71</f>
        <v>84</v>
      </c>
      <c r="M31" s="10"/>
      <c r="N31" s="10"/>
      <c r="O31" s="10"/>
      <c r="P31" s="166"/>
      <c r="Q31" s="533"/>
      <c r="R31" s="660"/>
      <c r="S31" s="639">
        <f>'Energy Inputs'!F71</f>
        <v>100</v>
      </c>
      <c r="T31" s="10"/>
      <c r="U31" s="10"/>
      <c r="V31" s="10"/>
      <c r="W31" s="166"/>
      <c r="X31" s="533"/>
      <c r="Y31" s="660"/>
      <c r="Z31" s="639">
        <f>'Energy Inputs'!G71</f>
        <v>120</v>
      </c>
      <c r="AA31" s="10"/>
      <c r="AB31" s="10"/>
      <c r="AC31" s="10"/>
      <c r="AD31" s="166"/>
      <c r="AE31" s="533"/>
      <c r="AF31" s="660"/>
    </row>
    <row r="32" spans="2:32" ht="15.75" customHeight="1" x14ac:dyDescent="0.3">
      <c r="B32" s="16"/>
      <c r="C32" s="180" t="s">
        <v>268</v>
      </c>
      <c r="D32" s="30" t="s">
        <v>599</v>
      </c>
      <c r="E32" s="663"/>
      <c r="F32" s="10">
        <v>1</v>
      </c>
      <c r="G32" s="10">
        <v>1</v>
      </c>
      <c r="H32" s="10">
        <v>16</v>
      </c>
      <c r="I32" s="166">
        <f>IF(F32="",0,INT(1+((G32-F32)/H32)))</f>
        <v>1</v>
      </c>
      <c r="J32" s="533">
        <f>E30*E31*I32</f>
        <v>54.36</v>
      </c>
      <c r="K32" s="660">
        <f>J32/15</f>
        <v>3.6240000000000001</v>
      </c>
      <c r="L32" s="663"/>
      <c r="M32" s="10">
        <v>1</v>
      </c>
      <c r="N32" s="10">
        <v>1</v>
      </c>
      <c r="O32" s="10">
        <v>16</v>
      </c>
      <c r="P32" s="166">
        <f>IF(M32="",0,INT(1+((N32-M32)/O32)))</f>
        <v>1</v>
      </c>
      <c r="Q32" s="533">
        <f>L30*L31*P32</f>
        <v>50.735999999999997</v>
      </c>
      <c r="R32" s="660">
        <f>Q32/15</f>
        <v>3.3823999999999996</v>
      </c>
      <c r="S32" s="663"/>
      <c r="T32" s="10">
        <v>1</v>
      </c>
      <c r="U32" s="10">
        <v>1</v>
      </c>
      <c r="V32" s="10">
        <v>16</v>
      </c>
      <c r="W32" s="166">
        <f>IF(T32="",0,INT(1+((U32-T32)/V32)))</f>
        <v>1</v>
      </c>
      <c r="X32" s="533">
        <f>S30*S31*W32</f>
        <v>60.4</v>
      </c>
      <c r="Y32" s="660">
        <f>X32/15</f>
        <v>4.0266666666666664</v>
      </c>
      <c r="Z32" s="663"/>
      <c r="AA32" s="10">
        <v>1</v>
      </c>
      <c r="AB32" s="10">
        <v>1</v>
      </c>
      <c r="AC32" s="10">
        <v>16</v>
      </c>
      <c r="AD32" s="166">
        <f>IF(AA32="",0,INT(1+((AB32-AA32)/AC32)))</f>
        <v>1</v>
      </c>
      <c r="AE32" s="533">
        <f>Z30*Z31*AD32</f>
        <v>72.48</v>
      </c>
      <c r="AF32" s="660">
        <f>AE32/15</f>
        <v>4.8319999999999999</v>
      </c>
    </row>
    <row r="33" spans="2:32" ht="15.75" customHeight="1" x14ac:dyDescent="0.3">
      <c r="B33" s="16"/>
      <c r="C33" s="32" t="s">
        <v>17</v>
      </c>
      <c r="D33" s="30" t="s">
        <v>603</v>
      </c>
      <c r="E33" s="665">
        <f>'Arable Inputs'!$D$35</f>
        <v>0.97</v>
      </c>
      <c r="F33" s="105"/>
      <c r="G33" s="105"/>
      <c r="H33" s="105"/>
      <c r="I33" s="105"/>
      <c r="J33" s="105"/>
      <c r="K33" s="783"/>
      <c r="L33" s="665">
        <f>'Arable Inputs'!$D$35</f>
        <v>0.97</v>
      </c>
      <c r="M33" s="105"/>
      <c r="N33" s="105"/>
      <c r="O33" s="105"/>
      <c r="P33" s="105"/>
      <c r="Q33" s="105"/>
      <c r="R33" s="783"/>
      <c r="S33" s="665">
        <f>'Arable Inputs'!$D$35</f>
        <v>0.97</v>
      </c>
      <c r="T33" s="105"/>
      <c r="U33" s="105"/>
      <c r="V33" s="105"/>
      <c r="W33" s="105"/>
      <c r="X33" s="105"/>
      <c r="Y33" s="783"/>
      <c r="Z33" s="665">
        <f>'Arable Inputs'!$D$35</f>
        <v>0.97</v>
      </c>
      <c r="AA33" s="105"/>
      <c r="AB33" s="105"/>
      <c r="AC33" s="105"/>
      <c r="AD33" s="105"/>
      <c r="AE33" s="105"/>
      <c r="AF33" s="783"/>
    </row>
    <row r="34" spans="2:32" ht="15.75" customHeight="1" x14ac:dyDescent="0.3">
      <c r="B34" s="16"/>
      <c r="C34" s="33" t="s">
        <v>18</v>
      </c>
      <c r="D34" s="30" t="s">
        <v>93</v>
      </c>
      <c r="E34" s="639">
        <f>'Energy Inputs'!D72</f>
        <v>55</v>
      </c>
      <c r="F34" s="10"/>
      <c r="G34" s="10"/>
      <c r="H34" s="10"/>
      <c r="I34" s="166"/>
      <c r="J34" s="533"/>
      <c r="K34" s="660"/>
      <c r="L34" s="639">
        <f>'Energy Inputs'!E72</f>
        <v>14</v>
      </c>
      <c r="M34" s="10"/>
      <c r="N34" s="10"/>
      <c r="O34" s="10"/>
      <c r="P34" s="166"/>
      <c r="Q34" s="533"/>
      <c r="R34" s="660"/>
      <c r="S34" s="639">
        <f>'Energy Inputs'!F72</f>
        <v>92</v>
      </c>
      <c r="T34" s="10"/>
      <c r="U34" s="10"/>
      <c r="V34" s="10"/>
      <c r="W34" s="166"/>
      <c r="X34" s="533"/>
      <c r="Y34" s="660"/>
      <c r="Z34" s="639">
        <f>'Energy Inputs'!G72</f>
        <v>92</v>
      </c>
      <c r="AA34" s="10"/>
      <c r="AB34" s="10"/>
      <c r="AC34" s="10"/>
      <c r="AD34" s="166"/>
      <c r="AE34" s="533"/>
      <c r="AF34" s="660"/>
    </row>
    <row r="35" spans="2:32" ht="15.75" customHeight="1" x14ac:dyDescent="0.3">
      <c r="B35" s="16"/>
      <c r="C35" s="180" t="s">
        <v>269</v>
      </c>
      <c r="D35" s="30" t="s">
        <v>599</v>
      </c>
      <c r="E35" s="663"/>
      <c r="F35" s="10">
        <v>1</v>
      </c>
      <c r="G35" s="10">
        <v>1</v>
      </c>
      <c r="H35" s="10">
        <v>16</v>
      </c>
      <c r="I35" s="166">
        <f>IF(F35="",0,INT(1+((G35-F35)/H35)))</f>
        <v>1</v>
      </c>
      <c r="J35" s="533">
        <f>E33*E34*I35</f>
        <v>53.35</v>
      </c>
      <c r="K35" s="660">
        <f>J35/15</f>
        <v>3.5566666666666666</v>
      </c>
      <c r="L35" s="663"/>
      <c r="M35" s="10">
        <v>1</v>
      </c>
      <c r="N35" s="10">
        <v>1</v>
      </c>
      <c r="O35" s="10">
        <v>16</v>
      </c>
      <c r="P35" s="166">
        <f>IF(M35="",0,INT(1+((N35-M35)/O35)))</f>
        <v>1</v>
      </c>
      <c r="Q35" s="533">
        <f>L33*L34*P35</f>
        <v>13.58</v>
      </c>
      <c r="R35" s="660">
        <f>Q35/15</f>
        <v>0.90533333333333332</v>
      </c>
      <c r="S35" s="663"/>
      <c r="T35" s="10">
        <v>1</v>
      </c>
      <c r="U35" s="10">
        <v>1</v>
      </c>
      <c r="V35" s="10">
        <v>16</v>
      </c>
      <c r="W35" s="166">
        <f>IF(T35="",0,INT(1+((U35-T35)/V35)))</f>
        <v>1</v>
      </c>
      <c r="X35" s="533">
        <f>S33*S34*W35</f>
        <v>89.24</v>
      </c>
      <c r="Y35" s="660">
        <f>X35/15</f>
        <v>5.9493333333333327</v>
      </c>
      <c r="Z35" s="663"/>
      <c r="AA35" s="10">
        <v>1</v>
      </c>
      <c r="AB35" s="10">
        <v>1</v>
      </c>
      <c r="AC35" s="10">
        <v>16</v>
      </c>
      <c r="AD35" s="166">
        <f>IF(AA35="",0,INT(1+((AB35-AA35)/AC35)))</f>
        <v>1</v>
      </c>
      <c r="AE35" s="533">
        <f>Z33*Z34*AD35</f>
        <v>89.24</v>
      </c>
      <c r="AF35" s="660">
        <f>AE35/15</f>
        <v>5.9493333333333327</v>
      </c>
    </row>
    <row r="36" spans="2:32" ht="15.75" customHeight="1" x14ac:dyDescent="0.3">
      <c r="B36" s="16"/>
      <c r="C36" s="32" t="s">
        <v>19</v>
      </c>
      <c r="D36" s="30" t="s">
        <v>603</v>
      </c>
      <c r="E36" s="665">
        <f>'Arable Inputs'!$D$36</f>
        <v>0.32100000000000001</v>
      </c>
      <c r="F36" s="105"/>
      <c r="G36" s="105"/>
      <c r="H36" s="105"/>
      <c r="I36" s="105"/>
      <c r="J36" s="105"/>
      <c r="K36" s="783"/>
      <c r="L36" s="665">
        <f>'Arable Inputs'!$D$36</f>
        <v>0.32100000000000001</v>
      </c>
      <c r="M36" s="105"/>
      <c r="N36" s="105"/>
      <c r="O36" s="105"/>
      <c r="P36" s="105"/>
      <c r="Q36" s="105"/>
      <c r="R36" s="783"/>
      <c r="S36" s="665">
        <f>'Arable Inputs'!$D$36</f>
        <v>0.32100000000000001</v>
      </c>
      <c r="T36" s="105"/>
      <c r="U36" s="105"/>
      <c r="V36" s="105"/>
      <c r="W36" s="105"/>
      <c r="X36" s="105"/>
      <c r="Y36" s="783"/>
      <c r="Z36" s="665">
        <f>'Arable Inputs'!$D$36</f>
        <v>0.32100000000000001</v>
      </c>
      <c r="AA36" s="105"/>
      <c r="AB36" s="105"/>
      <c r="AC36" s="105"/>
      <c r="AD36" s="105"/>
      <c r="AE36" s="105"/>
      <c r="AF36" s="783"/>
    </row>
    <row r="37" spans="2:32" ht="15.75" customHeight="1" x14ac:dyDescent="0.3">
      <c r="B37" s="16"/>
      <c r="C37" s="33" t="s">
        <v>20</v>
      </c>
      <c r="D37" s="30" t="s">
        <v>93</v>
      </c>
      <c r="E37" s="639">
        <f>'Energy Inputs'!D73</f>
        <v>72</v>
      </c>
      <c r="F37" s="10"/>
      <c r="G37" s="10"/>
      <c r="H37" s="10"/>
      <c r="I37" s="166"/>
      <c r="J37" s="533"/>
      <c r="K37" s="660"/>
      <c r="L37" s="639">
        <f>'Energy Inputs'!E73</f>
        <v>120</v>
      </c>
      <c r="M37" s="10"/>
      <c r="N37" s="10"/>
      <c r="O37" s="10"/>
      <c r="P37" s="166"/>
      <c r="Q37" s="533"/>
      <c r="R37" s="660"/>
      <c r="S37" s="639">
        <f>'Energy Inputs'!F73</f>
        <v>84</v>
      </c>
      <c r="T37" s="10"/>
      <c r="U37" s="10"/>
      <c r="V37" s="10"/>
      <c r="W37" s="166"/>
      <c r="X37" s="533"/>
      <c r="Y37" s="660"/>
      <c r="Z37" s="639">
        <f>'Energy Inputs'!G73</f>
        <v>90</v>
      </c>
      <c r="AA37" s="10"/>
      <c r="AB37" s="10"/>
      <c r="AC37" s="10"/>
      <c r="AD37" s="166"/>
      <c r="AE37" s="533"/>
      <c r="AF37" s="660"/>
    </row>
    <row r="38" spans="2:32" ht="15.75" customHeight="1" x14ac:dyDescent="0.3">
      <c r="B38" s="16"/>
      <c r="C38" s="181" t="s">
        <v>270</v>
      </c>
      <c r="D38" s="23" t="s">
        <v>599</v>
      </c>
      <c r="E38" s="784"/>
      <c r="F38" s="10">
        <v>1</v>
      </c>
      <c r="G38" s="10">
        <v>1</v>
      </c>
      <c r="H38" s="10">
        <v>16</v>
      </c>
      <c r="I38" s="166">
        <f>IF(F38="",0,INT(1+((G38-F38)/H38)))</f>
        <v>1</v>
      </c>
      <c r="J38" s="533">
        <f>E36*E37*I38</f>
        <v>23.112000000000002</v>
      </c>
      <c r="K38" s="660">
        <f>J38/15</f>
        <v>1.5408000000000002</v>
      </c>
      <c r="L38" s="784"/>
      <c r="M38" s="10">
        <v>1</v>
      </c>
      <c r="N38" s="10">
        <v>1</v>
      </c>
      <c r="O38" s="10">
        <v>16</v>
      </c>
      <c r="P38" s="166">
        <f>IF(M38="",0,INT(1+((N38-M38)/O38)))</f>
        <v>1</v>
      </c>
      <c r="Q38" s="533">
        <f>L36*L37*P38</f>
        <v>38.520000000000003</v>
      </c>
      <c r="R38" s="660">
        <f>Q38/15</f>
        <v>2.5680000000000001</v>
      </c>
      <c r="S38" s="784"/>
      <c r="T38" s="10">
        <v>1</v>
      </c>
      <c r="U38" s="10">
        <v>1</v>
      </c>
      <c r="V38" s="10">
        <v>16</v>
      </c>
      <c r="W38" s="166">
        <f>IF(T38="",0,INT(1+((U38-T38)/V38)))</f>
        <v>1</v>
      </c>
      <c r="X38" s="533">
        <f>S36*S37*W38</f>
        <v>26.964000000000002</v>
      </c>
      <c r="Y38" s="660">
        <f>X38/15</f>
        <v>1.7976000000000001</v>
      </c>
      <c r="Z38" s="784"/>
      <c r="AA38" s="10">
        <v>1</v>
      </c>
      <c r="AB38" s="10">
        <v>1</v>
      </c>
      <c r="AC38" s="10">
        <v>16</v>
      </c>
      <c r="AD38" s="166">
        <f>IF(AA38="",0,INT(1+((AB38-AA38)/AC38)))</f>
        <v>1</v>
      </c>
      <c r="AE38" s="533">
        <f>Z36*Z37*AD38</f>
        <v>28.89</v>
      </c>
      <c r="AF38" s="660">
        <f>AE38/15</f>
        <v>1.9259999999999999</v>
      </c>
    </row>
    <row r="39" spans="2:32" ht="15.75" customHeight="1" x14ac:dyDescent="0.3">
      <c r="B39" s="16"/>
      <c r="C39" s="28" t="s">
        <v>531</v>
      </c>
      <c r="D39" s="157" t="s">
        <v>601</v>
      </c>
      <c r="E39" s="626"/>
      <c r="F39" s="640"/>
      <c r="G39" s="640"/>
      <c r="H39" s="410"/>
      <c r="I39" s="640"/>
      <c r="J39" s="885"/>
      <c r="K39" s="616">
        <f>K40/K10</f>
        <v>0.87214666666666674</v>
      </c>
      <c r="L39" s="626"/>
      <c r="M39" s="640"/>
      <c r="N39" s="640"/>
      <c r="O39" s="410"/>
      <c r="P39" s="640"/>
      <c r="Q39" s="885"/>
      <c r="R39" s="616">
        <f>R40/R10</f>
        <v>0.57564443449298919</v>
      </c>
      <c r="S39" s="626"/>
      <c r="T39" s="640"/>
      <c r="U39" s="640"/>
      <c r="V39" s="410"/>
      <c r="W39" s="640"/>
      <c r="X39" s="615"/>
      <c r="Y39" s="616">
        <f>Y40/Y10</f>
        <v>1.0251919046891114</v>
      </c>
      <c r="Z39" s="626"/>
      <c r="AA39" s="640"/>
      <c r="AB39" s="640"/>
      <c r="AC39" s="410"/>
      <c r="AD39" s="640"/>
      <c r="AE39" s="615"/>
      <c r="AF39" s="616">
        <f>AF40/AF10</f>
        <v>0.8077835852521541</v>
      </c>
    </row>
    <row r="40" spans="2:32" ht="15.75" customHeight="1" x14ac:dyDescent="0.3">
      <c r="B40" s="16"/>
      <c r="C40" s="31"/>
      <c r="D40" s="34" t="s">
        <v>599</v>
      </c>
      <c r="E40" s="642"/>
      <c r="F40" s="643"/>
      <c r="G40" s="643"/>
      <c r="H40" s="643"/>
      <c r="I40" s="643"/>
      <c r="J40" s="886">
        <f>SUM(J30:J38)</f>
        <v>130.822</v>
      </c>
      <c r="K40" s="644">
        <f>J40/'Energy Inputs'!$D$16</f>
        <v>8.1763750000000002</v>
      </c>
      <c r="L40" s="642"/>
      <c r="M40" s="643"/>
      <c r="N40" s="643"/>
      <c r="O40" s="643"/>
      <c r="P40" s="643"/>
      <c r="Q40" s="886">
        <f>SUM(Q30:Q38)</f>
        <v>102.83600000000001</v>
      </c>
      <c r="R40" s="644">
        <f>Q40/'Energy Inputs'!$E$16</f>
        <v>6.4272500000000008</v>
      </c>
      <c r="S40" s="642"/>
      <c r="T40" s="643"/>
      <c r="U40" s="643"/>
      <c r="V40" s="643"/>
      <c r="W40" s="643"/>
      <c r="X40" s="619">
        <f>X32+X35+X38</f>
        <v>176.60399999999998</v>
      </c>
      <c r="Y40" s="644">
        <f>X40/'Energy Inputs'!$F$16</f>
        <v>11.037749999999999</v>
      </c>
      <c r="Z40" s="642"/>
      <c r="AA40" s="887"/>
      <c r="AB40" s="643"/>
      <c r="AC40" s="643"/>
      <c r="AD40" s="643"/>
      <c r="AE40" s="619">
        <f>AE32+AE35+AE38</f>
        <v>190.61</v>
      </c>
      <c r="AF40" s="644">
        <f>AE40/'Energy Inputs'!$G$16</f>
        <v>11.913125000000001</v>
      </c>
    </row>
    <row r="41" spans="2:32" ht="15" customHeight="1" x14ac:dyDescent="0.3">
      <c r="B41" s="175" t="s">
        <v>87</v>
      </c>
      <c r="C41" s="35"/>
      <c r="D41" s="18" t="s">
        <v>601</v>
      </c>
      <c r="E41" s="647"/>
      <c r="F41" s="648"/>
      <c r="G41" s="648"/>
      <c r="H41" s="648"/>
      <c r="I41" s="648"/>
      <c r="J41" s="833"/>
      <c r="K41" s="650">
        <f>K42/K10</f>
        <v>16.713455004444445</v>
      </c>
      <c r="L41" s="651"/>
      <c r="M41" s="648"/>
      <c r="N41" s="648"/>
      <c r="O41" s="648"/>
      <c r="P41" s="648"/>
      <c r="Q41" s="833"/>
      <c r="R41" s="650">
        <f>R42/R10</f>
        <v>12.491066177801418</v>
      </c>
      <c r="S41" s="651"/>
      <c r="T41" s="648"/>
      <c r="U41" s="648"/>
      <c r="V41" s="648"/>
      <c r="W41" s="648"/>
      <c r="X41" s="833"/>
      <c r="Y41" s="650">
        <f>Y42/Y10</f>
        <v>33.373754582589164</v>
      </c>
      <c r="Z41" s="651"/>
      <c r="AA41" s="648"/>
      <c r="AB41" s="648"/>
      <c r="AC41" s="648"/>
      <c r="AD41" s="648"/>
      <c r="AE41" s="833"/>
      <c r="AF41" s="650">
        <f>AF42/AF10</f>
        <v>9.5233350077694574</v>
      </c>
    </row>
    <row r="42" spans="2:32" x14ac:dyDescent="0.3">
      <c r="B42" s="82"/>
      <c r="C42" s="36"/>
      <c r="D42" s="179" t="s">
        <v>599</v>
      </c>
      <c r="E42" s="652"/>
      <c r="F42" s="653"/>
      <c r="G42" s="653"/>
      <c r="H42" s="653"/>
      <c r="I42" s="653"/>
      <c r="J42" s="654">
        <f>J22+SUM(J23:J38)</f>
        <v>2498.2967840000001</v>
      </c>
      <c r="K42" s="655">
        <f>K22+SUM(K23:K38)</f>
        <v>156.68864066666666</v>
      </c>
      <c r="L42" s="656"/>
      <c r="M42" s="653"/>
      <c r="N42" s="653"/>
      <c r="O42" s="653"/>
      <c r="P42" s="653"/>
      <c r="Q42" s="654">
        <f>Q22+SUM(Q23:Q38)</f>
        <v>2224.610784</v>
      </c>
      <c r="R42" s="655">
        <f>R22+SUM(R23:R38)</f>
        <v>139.46665733333333</v>
      </c>
      <c r="S42" s="656"/>
      <c r="T42" s="653"/>
      <c r="U42" s="653"/>
      <c r="V42" s="653"/>
      <c r="W42" s="653"/>
      <c r="X42" s="654">
        <f>X22+SUM(X23:X38)</f>
        <v>5737.3339839999999</v>
      </c>
      <c r="Y42" s="655">
        <f>Y22+SUM(Y23:Y38)</f>
        <v>359.31922400000002</v>
      </c>
      <c r="Z42" s="656"/>
      <c r="AA42" s="653"/>
      <c r="AB42" s="653"/>
      <c r="AC42" s="653"/>
      <c r="AD42" s="653"/>
      <c r="AE42" s="654">
        <f>AE22+SUM(AE23:AE38)</f>
        <v>2234.4822840000002</v>
      </c>
      <c r="AF42" s="655">
        <f>AF22+SUM(AF23:AF38)</f>
        <v>140.44935108333334</v>
      </c>
    </row>
    <row r="43" spans="2:32" x14ac:dyDescent="0.3">
      <c r="B43" s="95" t="s">
        <v>88</v>
      </c>
      <c r="C43" s="81" t="s">
        <v>254</v>
      </c>
      <c r="D43" s="30" t="s">
        <v>599</v>
      </c>
      <c r="E43" s="659"/>
      <c r="F43" s="164"/>
      <c r="G43" s="164"/>
      <c r="H43" s="164"/>
      <c r="I43" s="164"/>
      <c r="J43" s="539"/>
      <c r="K43" s="657"/>
      <c r="L43" s="658"/>
      <c r="M43" s="164"/>
      <c r="N43" s="164"/>
      <c r="O43" s="164"/>
      <c r="P43" s="164"/>
      <c r="Q43" s="539"/>
      <c r="R43" s="657"/>
      <c r="S43" s="658"/>
      <c r="T43" s="164"/>
      <c r="U43" s="164"/>
      <c r="V43" s="164"/>
      <c r="W43" s="164"/>
      <c r="X43" s="539"/>
      <c r="Y43" s="657"/>
      <c r="Z43" s="658"/>
      <c r="AA43" s="164"/>
      <c r="AB43" s="164"/>
      <c r="AC43" s="164"/>
      <c r="AD43" s="164"/>
      <c r="AE43" s="539"/>
      <c r="AF43" s="657"/>
    </row>
    <row r="44" spans="2:32" x14ac:dyDescent="0.3">
      <c r="B44" s="95"/>
      <c r="C44" s="33" t="s">
        <v>255</v>
      </c>
      <c r="D44" s="30" t="s">
        <v>599</v>
      </c>
      <c r="E44" s="659"/>
      <c r="F44" s="10"/>
      <c r="G44" s="10"/>
      <c r="H44" s="10"/>
      <c r="I44" s="166"/>
      <c r="J44" s="533"/>
      <c r="K44" s="660"/>
      <c r="L44" s="659"/>
      <c r="M44" s="10"/>
      <c r="N44" s="10"/>
      <c r="O44" s="10"/>
      <c r="P44" s="166"/>
      <c r="Q44" s="533"/>
      <c r="R44" s="660"/>
      <c r="S44" s="634">
        <f>'Energy Inputs'!$F$92</f>
        <v>181.92999999999998</v>
      </c>
      <c r="T44" s="10">
        <v>2</v>
      </c>
      <c r="U44" s="10">
        <v>3</v>
      </c>
      <c r="V44" s="10">
        <v>1</v>
      </c>
      <c r="W44" s="166">
        <f>IF(T44="",0,INT(1+((U44-T44)/V44)))</f>
        <v>2</v>
      </c>
      <c r="X44" s="533">
        <f>W44*S44</f>
        <v>363.85999999999996</v>
      </c>
      <c r="Y44" s="660">
        <f>X44/15</f>
        <v>24.257333333333332</v>
      </c>
      <c r="Z44" s="634">
        <f>'Energy Inputs'!$G$92</f>
        <v>181.92999999999998</v>
      </c>
      <c r="AA44" s="10">
        <v>2</v>
      </c>
      <c r="AB44" s="10">
        <v>3</v>
      </c>
      <c r="AC44" s="10">
        <v>1</v>
      </c>
      <c r="AD44" s="166">
        <f>IF(AA44="",0,INT(1+((AB44-AA44)/AC44)))</f>
        <v>2</v>
      </c>
      <c r="AE44" s="533">
        <f>AD44*Z44</f>
        <v>363.85999999999996</v>
      </c>
      <c r="AF44" s="645">
        <f>AE44/'Energy Inputs'!$G$16</f>
        <v>22.741249999999997</v>
      </c>
    </row>
    <row r="45" spans="2:32" x14ac:dyDescent="0.3">
      <c r="B45" s="95"/>
      <c r="C45" s="33" t="s">
        <v>35</v>
      </c>
      <c r="D45" s="30" t="s">
        <v>599</v>
      </c>
      <c r="E45" s="634">
        <f>'Energy Inputs'!D94</f>
        <v>45.561599999999999</v>
      </c>
      <c r="F45" s="10">
        <v>2</v>
      </c>
      <c r="G45" s="10">
        <v>10</v>
      </c>
      <c r="H45" s="10">
        <v>1</v>
      </c>
      <c r="I45" s="166">
        <f>IF(F45="",0,INT(1+((G45-F45)/H45)))</f>
        <v>9</v>
      </c>
      <c r="J45" s="533">
        <f>I45*E45</f>
        <v>410.05439999999999</v>
      </c>
      <c r="K45" s="660">
        <f>J45/15</f>
        <v>27.336959999999998</v>
      </c>
      <c r="L45" s="634">
        <f>'Energy Inputs'!$E$94</f>
        <v>45.561599999999999</v>
      </c>
      <c r="M45" s="10">
        <v>2</v>
      </c>
      <c r="N45" s="10">
        <v>3</v>
      </c>
      <c r="O45" s="10">
        <v>1</v>
      </c>
      <c r="P45" s="166">
        <f>IF(M45="",0,INT(1+((N45-M45)/O45)))</f>
        <v>2</v>
      </c>
      <c r="Q45" s="533">
        <f>P45*L45</f>
        <v>91.123199999999997</v>
      </c>
      <c r="R45" s="660">
        <f>Q45/15</f>
        <v>6.0748799999999994</v>
      </c>
      <c r="S45" s="659"/>
      <c r="T45" s="10"/>
      <c r="U45" s="10"/>
      <c r="V45" s="10"/>
      <c r="W45" s="166"/>
      <c r="X45" s="533"/>
      <c r="Y45" s="660"/>
      <c r="Z45" s="659"/>
      <c r="AA45" s="10"/>
      <c r="AB45" s="10"/>
      <c r="AC45" s="10"/>
      <c r="AD45" s="166"/>
      <c r="AE45" s="533"/>
      <c r="AF45" s="660"/>
    </row>
    <row r="46" spans="2:32" x14ac:dyDescent="0.3">
      <c r="B46" s="95"/>
      <c r="C46" s="33" t="s">
        <v>548</v>
      </c>
      <c r="D46" s="30" t="s">
        <v>599</v>
      </c>
      <c r="E46" s="965">
        <f>'Energy Inputs'!D93</f>
        <v>112.99999999999999</v>
      </c>
      <c r="F46" s="10">
        <v>2</v>
      </c>
      <c r="G46" s="10">
        <v>3</v>
      </c>
      <c r="H46" s="10">
        <v>1</v>
      </c>
      <c r="I46" s="166">
        <f>IF(F46="",0,INT(1+((G46-F46)/H46)))</f>
        <v>2</v>
      </c>
      <c r="J46" s="533">
        <f>I46*E46</f>
        <v>225.99999999999997</v>
      </c>
      <c r="K46" s="660">
        <f>J46/15</f>
        <v>15.066666666666665</v>
      </c>
      <c r="L46" s="965">
        <f>'Energy Inputs'!E93</f>
        <v>67.8</v>
      </c>
      <c r="M46" s="10">
        <v>2</v>
      </c>
      <c r="N46" s="10">
        <v>3</v>
      </c>
      <c r="O46" s="10">
        <v>1</v>
      </c>
      <c r="P46" s="166">
        <f>IF(M46="",0,INT(1+((N46-M46)/O46)))</f>
        <v>2</v>
      </c>
      <c r="Q46" s="533">
        <f>P46*L46</f>
        <v>135.6</v>
      </c>
      <c r="R46" s="660">
        <f>Q46/15</f>
        <v>9.0399999999999991</v>
      </c>
      <c r="S46" s="659"/>
      <c r="T46" s="10"/>
      <c r="U46" s="10"/>
      <c r="V46" s="10"/>
      <c r="W46" s="166"/>
      <c r="X46" s="533"/>
      <c r="Y46" s="660"/>
      <c r="Z46" s="659"/>
      <c r="AA46" s="10"/>
      <c r="AB46" s="10"/>
      <c r="AC46" s="10"/>
      <c r="AD46" s="166"/>
      <c r="AE46" s="533"/>
      <c r="AF46" s="660"/>
    </row>
    <row r="47" spans="2:32" x14ac:dyDescent="0.3">
      <c r="B47" s="16"/>
      <c r="C47" s="33" t="s">
        <v>147</v>
      </c>
      <c r="D47" s="30" t="s">
        <v>599</v>
      </c>
      <c r="E47" s="634">
        <f>'Energy Inputs'!D91</f>
        <v>19.974783999999993</v>
      </c>
      <c r="F47" s="10">
        <v>4</v>
      </c>
      <c r="G47" s="10">
        <v>16</v>
      </c>
      <c r="H47" s="10">
        <v>3</v>
      </c>
      <c r="I47" s="166">
        <f>IF(F47="",0,INT(1+((G47-F47)/H47)))</f>
        <v>5</v>
      </c>
      <c r="J47" s="533">
        <f>I47*E47</f>
        <v>99.87391999999997</v>
      </c>
      <c r="K47" s="660">
        <f>J47/15</f>
        <v>6.6582613333333311</v>
      </c>
      <c r="L47" s="634">
        <f>'Energy Inputs'!E91</f>
        <v>19.974783999999993</v>
      </c>
      <c r="M47" s="10">
        <v>2</v>
      </c>
      <c r="N47" s="10">
        <v>16</v>
      </c>
      <c r="O47" s="10">
        <v>1</v>
      </c>
      <c r="P47" s="166">
        <f>IF(M47="",0,INT(1+((N47-M47)/O47)))</f>
        <v>15</v>
      </c>
      <c r="Q47" s="533">
        <f>P47*L47</f>
        <v>299.62175999999988</v>
      </c>
      <c r="R47" s="660">
        <f>Q47/15</f>
        <v>19.974783999999993</v>
      </c>
      <c r="S47" s="634">
        <f>'Energy Inputs'!F91</f>
        <v>19.974783999999993</v>
      </c>
      <c r="T47" s="10">
        <v>2</v>
      </c>
      <c r="U47" s="10">
        <v>16</v>
      </c>
      <c r="V47" s="10">
        <v>1</v>
      </c>
      <c r="W47" s="166">
        <f>IF(T47="",0,INT(1+((U47-T47)/V47)))</f>
        <v>15</v>
      </c>
      <c r="X47" s="533">
        <f>W47*S47</f>
        <v>299.62175999999988</v>
      </c>
      <c r="Y47" s="660">
        <f>X47/15</f>
        <v>19.974783999999993</v>
      </c>
      <c r="Z47" s="634">
        <f>'Energy Inputs'!G91</f>
        <v>19.974783999999993</v>
      </c>
      <c r="AA47" s="10">
        <v>2</v>
      </c>
      <c r="AB47" s="10">
        <v>16</v>
      </c>
      <c r="AC47" s="10">
        <v>1</v>
      </c>
      <c r="AD47" s="166">
        <f>IF(AA47="",0,INT(1+((AB47-AA47)/AC47)))</f>
        <v>15</v>
      </c>
      <c r="AE47" s="533">
        <f>AD47*Z47</f>
        <v>299.62175999999988</v>
      </c>
      <c r="AF47" s="660">
        <f>AE47/15</f>
        <v>19.974783999999993</v>
      </c>
    </row>
    <row r="48" spans="2:32" x14ac:dyDescent="0.3">
      <c r="B48" s="16"/>
      <c r="C48" s="81" t="s">
        <v>15</v>
      </c>
      <c r="D48" s="18" t="s">
        <v>603</v>
      </c>
      <c r="E48" s="780">
        <f>'Arable Inputs'!$D$34</f>
        <v>0.60399999999999998</v>
      </c>
      <c r="F48" s="661"/>
      <c r="G48" s="661"/>
      <c r="H48" s="661"/>
      <c r="I48" s="661"/>
      <c r="J48" s="535"/>
      <c r="K48" s="662"/>
      <c r="L48" s="780">
        <f>'Arable Inputs'!$D$34</f>
        <v>0.60399999999999998</v>
      </c>
      <c r="M48" s="661"/>
      <c r="N48" s="661"/>
      <c r="O48" s="661"/>
      <c r="P48" s="661"/>
      <c r="Q48" s="535"/>
      <c r="R48" s="662"/>
      <c r="S48" s="780">
        <f>'Arable Inputs'!$D$34</f>
        <v>0.60399999999999998</v>
      </c>
      <c r="T48" s="781"/>
      <c r="U48" s="781"/>
      <c r="V48" s="781"/>
      <c r="W48" s="781"/>
      <c r="X48" s="781"/>
      <c r="Y48" s="782"/>
      <c r="Z48" s="780">
        <f>'Arable Inputs'!$D$34</f>
        <v>0.60399999999999998</v>
      </c>
      <c r="AA48" s="781"/>
      <c r="AB48" s="781"/>
      <c r="AC48" s="781"/>
      <c r="AD48" s="781"/>
      <c r="AE48" s="781"/>
      <c r="AF48" s="782"/>
    </row>
    <row r="49" spans="2:32" x14ac:dyDescent="0.3">
      <c r="B49" s="16"/>
      <c r="C49" s="33" t="s">
        <v>16</v>
      </c>
      <c r="D49" s="30" t="s">
        <v>93</v>
      </c>
      <c r="E49" s="639">
        <f>'Energy Inputs'!D71</f>
        <v>90</v>
      </c>
      <c r="F49" s="637"/>
      <c r="G49" s="637"/>
      <c r="H49" s="637"/>
      <c r="I49" s="637"/>
      <c r="J49" s="637"/>
      <c r="K49" s="638"/>
      <c r="L49" s="639">
        <f>'Energy Inputs'!E71</f>
        <v>84</v>
      </c>
      <c r="M49" s="637"/>
      <c r="N49" s="637"/>
      <c r="O49" s="637"/>
      <c r="P49" s="637"/>
      <c r="Q49" s="637"/>
      <c r="R49" s="638"/>
      <c r="S49" s="639">
        <f>'Energy Inputs'!F71</f>
        <v>100</v>
      </c>
      <c r="T49" s="10"/>
      <c r="U49" s="10"/>
      <c r="V49" s="10"/>
      <c r="W49" s="166"/>
      <c r="X49" s="533"/>
      <c r="Y49" s="660"/>
      <c r="Z49" s="639">
        <f>'Energy Inputs'!G71</f>
        <v>120</v>
      </c>
      <c r="AA49" s="10"/>
      <c r="AB49" s="10"/>
      <c r="AC49" s="10"/>
      <c r="AD49" s="166"/>
      <c r="AE49" s="533"/>
      <c r="AF49" s="660"/>
    </row>
    <row r="50" spans="2:32" x14ac:dyDescent="0.3">
      <c r="B50" s="16"/>
      <c r="C50" s="180" t="s">
        <v>268</v>
      </c>
      <c r="D50" s="30" t="s">
        <v>599</v>
      </c>
      <c r="E50" s="980">
        <f>E48*E49</f>
        <v>54.36</v>
      </c>
      <c r="F50" s="10">
        <v>4</v>
      </c>
      <c r="G50" s="10">
        <v>16</v>
      </c>
      <c r="H50" s="10">
        <v>3</v>
      </c>
      <c r="I50" s="166">
        <f>IF(F50="",0,INT(1+((G50-F50)/H50)))</f>
        <v>5</v>
      </c>
      <c r="J50" s="533">
        <f>E48*E49*I50</f>
        <v>271.8</v>
      </c>
      <c r="K50" s="660">
        <f>J50/15</f>
        <v>18.12</v>
      </c>
      <c r="L50" s="980">
        <f>L48*L49</f>
        <v>50.735999999999997</v>
      </c>
      <c r="M50" s="10">
        <v>2</v>
      </c>
      <c r="N50" s="10">
        <v>16</v>
      </c>
      <c r="O50" s="10">
        <v>1</v>
      </c>
      <c r="P50" s="166">
        <f>IF(M50="",0,INT(1+((N50-M50)/O50)))</f>
        <v>15</v>
      </c>
      <c r="Q50" s="533">
        <f>L48*L49*P50</f>
        <v>761.04</v>
      </c>
      <c r="R50" s="660">
        <f>Q50/15</f>
        <v>50.735999999999997</v>
      </c>
      <c r="S50" s="980">
        <f>S48*S49</f>
        <v>60.4</v>
      </c>
      <c r="T50" s="10">
        <v>2</v>
      </c>
      <c r="U50" s="10">
        <v>16</v>
      </c>
      <c r="V50" s="10">
        <v>1</v>
      </c>
      <c r="W50" s="166">
        <f>IF(T50="",0,INT(1+((U50-T50)/V50)))</f>
        <v>15</v>
      </c>
      <c r="X50" s="533">
        <f>S48*S49*W50</f>
        <v>906</v>
      </c>
      <c r="Y50" s="660">
        <f>X50/15</f>
        <v>60.4</v>
      </c>
      <c r="Z50" s="980">
        <f>Z48*Z49</f>
        <v>72.48</v>
      </c>
      <c r="AA50" s="10">
        <v>2</v>
      </c>
      <c r="AB50" s="10">
        <v>16</v>
      </c>
      <c r="AC50" s="10">
        <v>1</v>
      </c>
      <c r="AD50" s="166">
        <f>IF(AA50="",0,INT(1+((AB50-AA50)/AC50)))</f>
        <v>15</v>
      </c>
      <c r="AE50" s="533">
        <f>Z48*Z49*AD50</f>
        <v>1087.2</v>
      </c>
      <c r="AF50" s="660">
        <f>AE50/15</f>
        <v>72.48</v>
      </c>
    </row>
    <row r="51" spans="2:32" x14ac:dyDescent="0.3">
      <c r="B51" s="16"/>
      <c r="C51" s="32" t="s">
        <v>17</v>
      </c>
      <c r="D51" s="30" t="s">
        <v>603</v>
      </c>
      <c r="E51" s="665">
        <f>'Arable Inputs'!$D$35</f>
        <v>0.97</v>
      </c>
      <c r="F51" s="664"/>
      <c r="G51" s="664"/>
      <c r="H51" s="664"/>
      <c r="I51" s="664"/>
      <c r="J51" s="533"/>
      <c r="K51" s="660"/>
      <c r="L51" s="665">
        <f>'Arable Inputs'!$D$35</f>
        <v>0.97</v>
      </c>
      <c r="M51" s="664"/>
      <c r="N51" s="664"/>
      <c r="O51" s="664"/>
      <c r="P51" s="664"/>
      <c r="Q51" s="533"/>
      <c r="R51" s="660"/>
      <c r="S51" s="665">
        <f>'Arable Inputs'!$D$35</f>
        <v>0.97</v>
      </c>
      <c r="T51" s="664"/>
      <c r="U51" s="664"/>
      <c r="V51" s="664"/>
      <c r="W51" s="664"/>
      <c r="X51" s="533"/>
      <c r="Y51" s="660"/>
      <c r="Z51" s="665">
        <f>'Arable Inputs'!$D$35</f>
        <v>0.97</v>
      </c>
      <c r="AA51" s="664"/>
      <c r="AB51" s="664"/>
      <c r="AC51" s="664"/>
      <c r="AD51" s="664"/>
      <c r="AE51" s="533"/>
      <c r="AF51" s="660"/>
    </row>
    <row r="52" spans="2:32" x14ac:dyDescent="0.3">
      <c r="B52" s="16"/>
      <c r="C52" s="33" t="s">
        <v>18</v>
      </c>
      <c r="D52" s="30" t="s">
        <v>93</v>
      </c>
      <c r="E52" s="639">
        <f>'Energy Inputs'!D72</f>
        <v>55</v>
      </c>
      <c r="F52" s="637"/>
      <c r="G52" s="637"/>
      <c r="H52" s="637"/>
      <c r="I52" s="637"/>
      <c r="J52" s="637"/>
      <c r="K52" s="638"/>
      <c r="L52" s="639">
        <f>'Energy Inputs'!E72</f>
        <v>14</v>
      </c>
      <c r="M52" s="637"/>
      <c r="N52" s="637"/>
      <c r="O52" s="637"/>
      <c r="P52" s="637"/>
      <c r="Q52" s="637"/>
      <c r="R52" s="638"/>
      <c r="S52" s="639">
        <f>'Energy Inputs'!F72</f>
        <v>92</v>
      </c>
      <c r="T52" s="637"/>
      <c r="U52" s="637"/>
      <c r="V52" s="637"/>
      <c r="W52" s="637"/>
      <c r="X52" s="637"/>
      <c r="Y52" s="638"/>
      <c r="Z52" s="639">
        <f>'Energy Inputs'!G72</f>
        <v>92</v>
      </c>
      <c r="AA52" s="637"/>
      <c r="AB52" s="637"/>
      <c r="AC52" s="637"/>
      <c r="AD52" s="637"/>
      <c r="AE52" s="637"/>
      <c r="AF52" s="638"/>
    </row>
    <row r="53" spans="2:32" x14ac:dyDescent="0.3">
      <c r="B53" s="16"/>
      <c r="C53" s="180" t="s">
        <v>269</v>
      </c>
      <c r="D53" s="30" t="s">
        <v>599</v>
      </c>
      <c r="E53" s="980">
        <f>E51*E52</f>
        <v>53.35</v>
      </c>
      <c r="F53" s="10">
        <v>4</v>
      </c>
      <c r="G53" s="10">
        <v>16</v>
      </c>
      <c r="H53" s="10">
        <v>3</v>
      </c>
      <c r="I53" s="166">
        <f>IF(F53="",0,INT(1+((G53-F53)/H53)))</f>
        <v>5</v>
      </c>
      <c r="J53" s="533">
        <f>E51*E52*I53</f>
        <v>266.75</v>
      </c>
      <c r="K53" s="660">
        <f>J53/15</f>
        <v>17.783333333333335</v>
      </c>
      <c r="L53" s="980">
        <f>L51*L52</f>
        <v>13.58</v>
      </c>
      <c r="M53" s="10">
        <v>2</v>
      </c>
      <c r="N53" s="10">
        <v>16</v>
      </c>
      <c r="O53" s="10">
        <v>1</v>
      </c>
      <c r="P53" s="166">
        <f>IF(M53="",0,INT(1+((N53-M53)/O53)))</f>
        <v>15</v>
      </c>
      <c r="Q53" s="533">
        <f>L51*L52*P53</f>
        <v>203.7</v>
      </c>
      <c r="R53" s="660">
        <f>Q53/15</f>
        <v>13.58</v>
      </c>
      <c r="S53" s="980">
        <f>S51*S52</f>
        <v>89.24</v>
      </c>
      <c r="T53" s="10">
        <v>2</v>
      </c>
      <c r="U53" s="10">
        <v>16</v>
      </c>
      <c r="V53" s="10">
        <v>1</v>
      </c>
      <c r="W53" s="166">
        <f>IF(T53="",0,INT(1+((U53-T53)/V53)))</f>
        <v>15</v>
      </c>
      <c r="X53" s="533">
        <f>S51*S52*W53</f>
        <v>1338.6</v>
      </c>
      <c r="Y53" s="660">
        <f>X53/15</f>
        <v>89.24</v>
      </c>
      <c r="Z53" s="980">
        <f>Z51*Z52</f>
        <v>89.24</v>
      </c>
      <c r="AA53" s="10">
        <v>2</v>
      </c>
      <c r="AB53" s="10">
        <v>16</v>
      </c>
      <c r="AC53" s="10">
        <v>1</v>
      </c>
      <c r="AD53" s="166">
        <f>IF(AA53="",0,INT(1+((AB53-AA53)/AC53)))</f>
        <v>15</v>
      </c>
      <c r="AE53" s="533">
        <f>Z51*Z52*AD53</f>
        <v>1338.6</v>
      </c>
      <c r="AF53" s="660">
        <f>AE53/15</f>
        <v>89.24</v>
      </c>
    </row>
    <row r="54" spans="2:32" x14ac:dyDescent="0.3">
      <c r="B54" s="16"/>
      <c r="C54" s="32" t="s">
        <v>19</v>
      </c>
      <c r="D54" s="30" t="s">
        <v>603</v>
      </c>
      <c r="E54" s="665">
        <f>'Arable Inputs'!$D$36</f>
        <v>0.32100000000000001</v>
      </c>
      <c r="F54" s="664"/>
      <c r="G54" s="664"/>
      <c r="H54" s="664"/>
      <c r="I54" s="664"/>
      <c r="J54" s="533"/>
      <c r="K54" s="660"/>
      <c r="L54" s="665">
        <f>'Arable Inputs'!$D$36</f>
        <v>0.32100000000000001</v>
      </c>
      <c r="M54" s="664"/>
      <c r="N54" s="664"/>
      <c r="O54" s="664"/>
      <c r="P54" s="664"/>
      <c r="Q54" s="533"/>
      <c r="R54" s="660"/>
      <c r="S54" s="665">
        <f>'Arable Inputs'!$D$36</f>
        <v>0.32100000000000001</v>
      </c>
      <c r="T54" s="664"/>
      <c r="U54" s="664"/>
      <c r="V54" s="664"/>
      <c r="W54" s="664"/>
      <c r="X54" s="533"/>
      <c r="Y54" s="660"/>
      <c r="Z54" s="665">
        <f>'Arable Inputs'!$D$36</f>
        <v>0.32100000000000001</v>
      </c>
      <c r="AA54" s="664"/>
      <c r="AB54" s="664"/>
      <c r="AC54" s="664"/>
      <c r="AD54" s="664"/>
      <c r="AE54" s="533"/>
      <c r="AF54" s="660"/>
    </row>
    <row r="55" spans="2:32" x14ac:dyDescent="0.3">
      <c r="B55" s="16"/>
      <c r="C55" s="33" t="s">
        <v>20</v>
      </c>
      <c r="D55" s="30" t="s">
        <v>93</v>
      </c>
      <c r="E55" s="639">
        <f>'Energy Inputs'!D73</f>
        <v>72</v>
      </c>
      <c r="F55" s="637"/>
      <c r="G55" s="637"/>
      <c r="H55" s="637"/>
      <c r="I55" s="637"/>
      <c r="J55" s="637"/>
      <c r="K55" s="638"/>
      <c r="L55" s="639">
        <f>'Energy Inputs'!E73</f>
        <v>120</v>
      </c>
      <c r="M55" s="637"/>
      <c r="N55" s="637"/>
      <c r="O55" s="637"/>
      <c r="P55" s="637"/>
      <c r="Q55" s="637"/>
      <c r="R55" s="638"/>
      <c r="S55" s="639">
        <f>'Energy Inputs'!F73</f>
        <v>84</v>
      </c>
      <c r="T55" s="637"/>
      <c r="U55" s="637"/>
      <c r="V55" s="637"/>
      <c r="W55" s="637"/>
      <c r="X55" s="637"/>
      <c r="Y55" s="638"/>
      <c r="Z55" s="639">
        <f>'Energy Inputs'!G73</f>
        <v>90</v>
      </c>
      <c r="AA55" s="637"/>
      <c r="AB55" s="637"/>
      <c r="AC55" s="637"/>
      <c r="AD55" s="637"/>
      <c r="AE55" s="637"/>
      <c r="AF55" s="638"/>
    </row>
    <row r="56" spans="2:32" x14ac:dyDescent="0.3">
      <c r="B56" s="16"/>
      <c r="C56" s="181" t="s">
        <v>270</v>
      </c>
      <c r="D56" s="23" t="s">
        <v>599</v>
      </c>
      <c r="E56" s="980">
        <f>E54*E55</f>
        <v>23.112000000000002</v>
      </c>
      <c r="F56" s="22">
        <v>4</v>
      </c>
      <c r="G56" s="22">
        <v>16</v>
      </c>
      <c r="H56" s="22">
        <v>3</v>
      </c>
      <c r="I56" s="153">
        <f>IF(F56="",0,INT(1+((G56-F56)/H56)))</f>
        <v>5</v>
      </c>
      <c r="J56" s="537">
        <f>E54*E55*I56</f>
        <v>115.56</v>
      </c>
      <c r="K56" s="667">
        <f>J56/15</f>
        <v>7.7039999999999997</v>
      </c>
      <c r="L56" s="980">
        <f>L54*L55</f>
        <v>38.520000000000003</v>
      </c>
      <c r="M56" s="22">
        <v>2</v>
      </c>
      <c r="N56" s="22">
        <v>16</v>
      </c>
      <c r="O56" s="22">
        <v>1</v>
      </c>
      <c r="P56" s="153">
        <f>IF(M56="",0,INT(1+((N56-M56)/O56)))</f>
        <v>15</v>
      </c>
      <c r="Q56" s="537">
        <f>L54*L55*P56</f>
        <v>577.80000000000007</v>
      </c>
      <c r="R56" s="667">
        <f>Q56/15</f>
        <v>38.520000000000003</v>
      </c>
      <c r="S56" s="980">
        <f>S54*S55</f>
        <v>26.964000000000002</v>
      </c>
      <c r="T56" s="22">
        <v>2</v>
      </c>
      <c r="U56" s="22">
        <v>16</v>
      </c>
      <c r="V56" s="22">
        <v>1</v>
      </c>
      <c r="W56" s="153">
        <f>IF(T56="",0,INT(1+((U56-T56)/V56)))</f>
        <v>15</v>
      </c>
      <c r="X56" s="537">
        <f>S54*S55*W56</f>
        <v>404.46000000000004</v>
      </c>
      <c r="Y56" s="667">
        <f>X56/15</f>
        <v>26.964000000000002</v>
      </c>
      <c r="Z56" s="980">
        <f>Z54*Z55</f>
        <v>28.89</v>
      </c>
      <c r="AA56" s="22">
        <v>2</v>
      </c>
      <c r="AB56" s="22">
        <v>16</v>
      </c>
      <c r="AC56" s="22">
        <v>1</v>
      </c>
      <c r="AD56" s="153">
        <f>IF(AA56="",0,INT(1+((AB56-AA56)/AC56)))</f>
        <v>15</v>
      </c>
      <c r="AE56" s="537">
        <f>Z54*Z55*AD56</f>
        <v>433.35</v>
      </c>
      <c r="AF56" s="667">
        <f>AE56/15</f>
        <v>28.89</v>
      </c>
    </row>
    <row r="57" spans="2:32" x14ac:dyDescent="0.3">
      <c r="B57" s="16"/>
      <c r="C57" s="28" t="s">
        <v>532</v>
      </c>
      <c r="D57" s="157" t="s">
        <v>601</v>
      </c>
      <c r="E57" s="626"/>
      <c r="F57" s="640"/>
      <c r="G57" s="640"/>
      <c r="H57" s="410"/>
      <c r="I57" s="640"/>
      <c r="J57" s="615"/>
      <c r="K57" s="616">
        <f>K58/K10</f>
        <v>4.3607333333333322</v>
      </c>
      <c r="L57" s="626"/>
      <c r="M57" s="640"/>
      <c r="N57" s="640"/>
      <c r="O57" s="410"/>
      <c r="P57" s="640"/>
      <c r="Q57" s="615"/>
      <c r="R57" s="616">
        <f>R58/R10</f>
        <v>8.6346665173948374</v>
      </c>
      <c r="S57" s="626"/>
      <c r="T57" s="640"/>
      <c r="U57" s="640"/>
      <c r="V57" s="410"/>
      <c r="W57" s="640"/>
      <c r="X57" s="615"/>
      <c r="Y57" s="616">
        <f>Y58/Y10</f>
        <v>15.377878570336673</v>
      </c>
      <c r="Z57" s="626"/>
      <c r="AA57" s="640"/>
      <c r="AB57" s="640"/>
      <c r="AC57" s="410"/>
      <c r="AD57" s="640"/>
      <c r="AE57" s="615"/>
      <c r="AF57" s="616">
        <f>AF58/AF10</f>
        <v>12.116753778782311</v>
      </c>
    </row>
    <row r="58" spans="2:32" x14ac:dyDescent="0.3">
      <c r="B58" s="16"/>
      <c r="C58" s="31"/>
      <c r="D58" s="34" t="s">
        <v>599</v>
      </c>
      <c r="E58" s="642"/>
      <c r="F58" s="643"/>
      <c r="G58" s="643"/>
      <c r="H58" s="643"/>
      <c r="I58" s="643"/>
      <c r="J58" s="619">
        <f>J50+J53+J56</f>
        <v>654.1099999999999</v>
      </c>
      <c r="K58" s="644">
        <f>J58/'Energy Inputs'!$F$16</f>
        <v>40.881874999999994</v>
      </c>
      <c r="L58" s="642"/>
      <c r="M58" s="643"/>
      <c r="N58" s="643"/>
      <c r="O58" s="643"/>
      <c r="P58" s="643"/>
      <c r="Q58" s="619">
        <f>Q50+Q53+Q56</f>
        <v>1542.54</v>
      </c>
      <c r="R58" s="644">
        <f>Q58/'Energy Inputs'!$F$16</f>
        <v>96.408749999999998</v>
      </c>
      <c r="S58" s="642"/>
      <c r="T58" s="643"/>
      <c r="U58" s="643"/>
      <c r="V58" s="643"/>
      <c r="W58" s="643"/>
      <c r="X58" s="619">
        <f>X50+X53+X56</f>
        <v>2649.06</v>
      </c>
      <c r="Y58" s="644">
        <f>X58/'Energy Inputs'!$F$16</f>
        <v>165.56625</v>
      </c>
      <c r="Z58" s="642"/>
      <c r="AA58" s="643"/>
      <c r="AB58" s="643"/>
      <c r="AC58" s="643"/>
      <c r="AD58" s="643"/>
      <c r="AE58" s="619">
        <f>AE50+AE53+AE56</f>
        <v>2859.15</v>
      </c>
      <c r="AF58" s="644">
        <f>AE58/'Energy Inputs'!$G$16</f>
        <v>178.69687500000001</v>
      </c>
    </row>
    <row r="59" spans="2:32" x14ac:dyDescent="0.3">
      <c r="B59" s="16"/>
      <c r="C59" s="33" t="s">
        <v>182</v>
      </c>
      <c r="D59" s="30" t="s">
        <v>599</v>
      </c>
      <c r="E59" s="634">
        <f>'Energy Inputs'!$D$95</f>
        <v>508.49999999999994</v>
      </c>
      <c r="F59" s="166">
        <v>4</v>
      </c>
      <c r="G59" s="166">
        <v>16</v>
      </c>
      <c r="H59" s="166">
        <v>3</v>
      </c>
      <c r="I59" s="166">
        <f>IF(F59="",0,INT(1+((G59-F59)/H59)))</f>
        <v>5</v>
      </c>
      <c r="J59" s="533">
        <f>I59*E59</f>
        <v>2542.4999999999995</v>
      </c>
      <c r="K59" s="660">
        <f>J59/15</f>
        <v>169.49999999999997</v>
      </c>
      <c r="L59" s="659"/>
      <c r="M59" s="166"/>
      <c r="N59" s="166"/>
      <c r="O59" s="166"/>
      <c r="P59" s="166"/>
      <c r="Q59" s="533"/>
      <c r="R59" s="660"/>
      <c r="S59" s="634">
        <f>'Energy Inputs'!$F$95</f>
        <v>112.99999999999999</v>
      </c>
      <c r="T59" s="166">
        <v>1</v>
      </c>
      <c r="U59" s="166">
        <v>15</v>
      </c>
      <c r="V59" s="166">
        <v>1</v>
      </c>
      <c r="W59" s="166">
        <f>IF(T59="",0,INT(1+((U59-T59)/V59)))</f>
        <v>15</v>
      </c>
      <c r="X59" s="533">
        <f>W59*S59</f>
        <v>1694.9999999999998</v>
      </c>
      <c r="Y59" s="660">
        <f>X59/15</f>
        <v>112.99999999999999</v>
      </c>
      <c r="Z59" s="659"/>
      <c r="AA59" s="166"/>
      <c r="AB59" s="166"/>
      <c r="AC59" s="166"/>
      <c r="AD59" s="166"/>
      <c r="AE59" s="533"/>
      <c r="AF59" s="660"/>
    </row>
    <row r="60" spans="2:32" x14ac:dyDescent="0.3">
      <c r="B60" s="16"/>
      <c r="C60" s="33" t="s">
        <v>478</v>
      </c>
      <c r="D60" s="30" t="s">
        <v>599</v>
      </c>
      <c r="E60" s="659"/>
      <c r="F60" s="166"/>
      <c r="G60" s="166"/>
      <c r="H60" s="166"/>
      <c r="I60" s="166"/>
      <c r="J60" s="533"/>
      <c r="K60" s="660"/>
      <c r="L60" s="634">
        <f>'Energy Inputs'!$E$96</f>
        <v>270.5</v>
      </c>
      <c r="M60" s="166">
        <v>2</v>
      </c>
      <c r="N60" s="166">
        <v>16</v>
      </c>
      <c r="O60" s="166">
        <v>1</v>
      </c>
      <c r="P60" s="166">
        <f>IF(M60="",0,INT(1+((N60-M60)/O60)))</f>
        <v>15</v>
      </c>
      <c r="Q60" s="533">
        <f>P60*L60</f>
        <v>4057.5</v>
      </c>
      <c r="R60" s="660">
        <f>Q60/15</f>
        <v>270.5</v>
      </c>
      <c r="S60" s="659"/>
      <c r="T60" s="166"/>
      <c r="U60" s="166"/>
      <c r="V60" s="166"/>
      <c r="W60" s="166"/>
      <c r="X60" s="533"/>
      <c r="Y60" s="660"/>
      <c r="Z60" s="659"/>
      <c r="AA60" s="166"/>
      <c r="AB60" s="166"/>
      <c r="AC60" s="166"/>
      <c r="AD60" s="166"/>
      <c r="AE60" s="533"/>
      <c r="AF60" s="660"/>
    </row>
    <row r="61" spans="2:32" x14ac:dyDescent="0.3">
      <c r="B61" s="16"/>
      <c r="C61" s="32" t="s">
        <v>479</v>
      </c>
      <c r="D61" s="30" t="s">
        <v>599</v>
      </c>
      <c r="E61" s="659"/>
      <c r="F61" s="166"/>
      <c r="G61" s="166"/>
      <c r="H61" s="166"/>
      <c r="I61" s="166"/>
      <c r="J61" s="533"/>
      <c r="K61" s="660"/>
      <c r="L61" s="659"/>
      <c r="M61" s="166"/>
      <c r="N61" s="166"/>
      <c r="O61" s="166"/>
      <c r="P61" s="166"/>
      <c r="Q61" s="533"/>
      <c r="R61" s="660"/>
      <c r="S61" s="659"/>
      <c r="T61" s="166"/>
      <c r="U61" s="166"/>
      <c r="V61" s="166"/>
      <c r="W61" s="166"/>
      <c r="X61" s="533"/>
      <c r="Y61" s="660"/>
      <c r="Z61" s="634">
        <f>'Energy Inputs'!$G$97</f>
        <v>197.74999999999997</v>
      </c>
      <c r="AA61" s="166">
        <v>2</v>
      </c>
      <c r="AB61" s="166">
        <v>16</v>
      </c>
      <c r="AC61" s="166">
        <v>1</v>
      </c>
      <c r="AD61" s="166">
        <f>IF(AA61="",0,INT(1+((AB61-AA61)/AC61)))</f>
        <v>15</v>
      </c>
      <c r="AE61" s="533">
        <f>AD61*Z61</f>
        <v>2966.2499999999995</v>
      </c>
      <c r="AF61" s="660">
        <f>AE61/15</f>
        <v>197.74999999999997</v>
      </c>
    </row>
    <row r="62" spans="2:32" x14ac:dyDescent="0.3">
      <c r="B62" s="7"/>
      <c r="C62" s="125" t="s">
        <v>480</v>
      </c>
      <c r="D62" s="23" t="s">
        <v>601</v>
      </c>
      <c r="E62" s="659"/>
      <c r="F62" s="166"/>
      <c r="G62" s="166"/>
      <c r="H62" s="166"/>
      <c r="I62" s="166"/>
      <c r="J62" s="533"/>
      <c r="K62" s="660"/>
      <c r="L62" s="666"/>
      <c r="M62" s="153"/>
      <c r="N62" s="153"/>
      <c r="O62" s="153"/>
      <c r="P62" s="153"/>
      <c r="Q62" s="537"/>
      <c r="R62" s="667"/>
      <c r="S62" s="666"/>
      <c r="T62" s="153"/>
      <c r="U62" s="153"/>
      <c r="V62" s="153"/>
      <c r="W62" s="153"/>
      <c r="X62" s="537"/>
      <c r="Y62" s="667"/>
      <c r="Z62" s="666"/>
      <c r="AA62" s="153"/>
      <c r="AB62" s="153"/>
      <c r="AC62" s="153"/>
      <c r="AD62" s="153"/>
      <c r="AE62" s="537"/>
      <c r="AF62" s="667"/>
    </row>
    <row r="63" spans="2:32" x14ac:dyDescent="0.3">
      <c r="B63" s="175" t="s">
        <v>89</v>
      </c>
      <c r="C63" s="35"/>
      <c r="D63" s="18" t="s">
        <v>601</v>
      </c>
      <c r="E63" s="647"/>
      <c r="F63" s="648"/>
      <c r="G63" s="648"/>
      <c r="H63" s="648"/>
      <c r="I63" s="648"/>
      <c r="J63" s="649"/>
      <c r="K63" s="650">
        <f>K64/K10</f>
        <v>27.964716942222214</v>
      </c>
      <c r="L63" s="651"/>
      <c r="M63" s="648"/>
      <c r="N63" s="648"/>
      <c r="O63" s="648"/>
      <c r="P63" s="648"/>
      <c r="Q63" s="649"/>
      <c r="R63" s="650">
        <f>R64/R10</f>
        <v>36.579868588541537</v>
      </c>
      <c r="S63" s="651"/>
      <c r="T63" s="648"/>
      <c r="U63" s="648"/>
      <c r="V63" s="648"/>
      <c r="W63" s="648"/>
      <c r="X63" s="649"/>
      <c r="Y63" s="650">
        <f>Y64/Y10</f>
        <v>31.006870511016984</v>
      </c>
      <c r="Z63" s="651"/>
      <c r="AA63" s="648"/>
      <c r="AB63" s="648"/>
      <c r="AC63" s="648"/>
      <c r="AD63" s="648"/>
      <c r="AE63" s="649"/>
      <c r="AF63" s="650">
        <f>AF64/AF10</f>
        <v>29.229622308235616</v>
      </c>
    </row>
    <row r="64" spans="2:32" x14ac:dyDescent="0.3">
      <c r="B64" s="82"/>
      <c r="C64" s="36"/>
      <c r="D64" s="179" t="s">
        <v>599</v>
      </c>
      <c r="E64" s="652"/>
      <c r="F64" s="653"/>
      <c r="G64" s="653"/>
      <c r="H64" s="653"/>
      <c r="I64" s="653"/>
      <c r="J64" s="654">
        <f>SUM(J43:J47)+J58+SUM(J59:J62)</f>
        <v>3932.5383199999997</v>
      </c>
      <c r="K64" s="655">
        <f>SUM(K43:K56)+SUM(K59:K62)</f>
        <v>262.16922133333327</v>
      </c>
      <c r="L64" s="656"/>
      <c r="M64" s="653"/>
      <c r="N64" s="653"/>
      <c r="O64" s="653"/>
      <c r="P64" s="653"/>
      <c r="Q64" s="654">
        <f>SUM(Q43:Q47)+Q58+SUM(Q59:Q62)</f>
        <v>6126.3849599999994</v>
      </c>
      <c r="R64" s="655">
        <f>SUM(R43:R56)+SUM(R59:R62)</f>
        <v>408.42566399999998</v>
      </c>
      <c r="S64" s="656"/>
      <c r="T64" s="653"/>
      <c r="U64" s="653"/>
      <c r="V64" s="653"/>
      <c r="W64" s="653"/>
      <c r="X64" s="654">
        <f>SUM(X43:X47)+X58+SUM(X59:X62)</f>
        <v>5007.5417600000001</v>
      </c>
      <c r="Y64" s="655">
        <f>SUM(Y43:Y56)+SUM(Y59:Y62)</f>
        <v>333.83611733333333</v>
      </c>
      <c r="Z64" s="656"/>
      <c r="AA64" s="653"/>
      <c r="AB64" s="653"/>
      <c r="AC64" s="653"/>
      <c r="AD64" s="653"/>
      <c r="AE64" s="654">
        <f>SUM(AE43:AE47)+AE58+SUM(AE59:AE62)</f>
        <v>6488.8817600000002</v>
      </c>
      <c r="AF64" s="655">
        <f>SUM(AF43:AF56)+SUM(AF59:AF62)</f>
        <v>431.07603399999994</v>
      </c>
    </row>
    <row r="65" spans="2:32" x14ac:dyDescent="0.3">
      <c r="B65" s="95" t="s">
        <v>266</v>
      </c>
      <c r="C65" s="177" t="s">
        <v>257</v>
      </c>
      <c r="D65" s="20" t="s">
        <v>599</v>
      </c>
      <c r="E65" s="646">
        <f>'Energy Inputs'!$D$98</f>
        <v>192.1</v>
      </c>
      <c r="F65" s="153">
        <v>16</v>
      </c>
      <c r="G65" s="153">
        <v>16</v>
      </c>
      <c r="H65" s="153">
        <v>1</v>
      </c>
      <c r="I65" s="153">
        <f>IF(F65="",0,INT(1+((G65-F65)/H65)))</f>
        <v>1</v>
      </c>
      <c r="J65" s="537">
        <f>I65*E65</f>
        <v>192.1</v>
      </c>
      <c r="K65" s="625">
        <f>J65/'Energy Inputs'!$D$16</f>
        <v>12.00625</v>
      </c>
      <c r="L65" s="646">
        <f>'Energy Inputs'!$E$98</f>
        <v>192.1</v>
      </c>
      <c r="M65" s="153">
        <v>16</v>
      </c>
      <c r="N65" s="153">
        <v>16</v>
      </c>
      <c r="O65" s="153">
        <v>1</v>
      </c>
      <c r="P65" s="153">
        <f>IF(M65="",0,INT(1+((N65-M65)/O65)))</f>
        <v>1</v>
      </c>
      <c r="Q65" s="537">
        <f>P65*L65</f>
        <v>192.1</v>
      </c>
      <c r="R65" s="625">
        <f>Q65/'Energy Inputs'!$E$16</f>
        <v>12.00625</v>
      </c>
      <c r="S65" s="646">
        <f>'Energy Inputs'!$F$98</f>
        <v>192.1</v>
      </c>
      <c r="T65" s="153">
        <v>16</v>
      </c>
      <c r="U65" s="153">
        <v>16</v>
      </c>
      <c r="V65" s="153">
        <v>1</v>
      </c>
      <c r="W65" s="153">
        <f>IF(T65="",0,INT(1+((U65-T65)/V65)))</f>
        <v>1</v>
      </c>
      <c r="X65" s="537">
        <f>W65*S65</f>
        <v>192.1</v>
      </c>
      <c r="Y65" s="625">
        <f>X65/'Energy Inputs'!$F$16</f>
        <v>12.00625</v>
      </c>
      <c r="Z65" s="646">
        <f>'Energy Inputs'!$G$98</f>
        <v>192.1</v>
      </c>
      <c r="AA65" s="153">
        <v>16</v>
      </c>
      <c r="AB65" s="153">
        <v>16</v>
      </c>
      <c r="AC65" s="153">
        <v>1</v>
      </c>
      <c r="AD65" s="153">
        <f>IF(AA65="",0,INT(1+((AB65-AA65)/AC65)))</f>
        <v>1</v>
      </c>
      <c r="AE65" s="537">
        <f>AD65*Z65</f>
        <v>192.1</v>
      </c>
      <c r="AF65" s="625">
        <f>AE65/'Energy Inputs'!$G$16</f>
        <v>12.00625</v>
      </c>
    </row>
    <row r="66" spans="2:32" x14ac:dyDescent="0.3">
      <c r="B66" s="175" t="s">
        <v>267</v>
      </c>
      <c r="C66" s="35"/>
      <c r="D66" s="18" t="s">
        <v>601</v>
      </c>
      <c r="E66" s="663"/>
      <c r="F66" s="166"/>
      <c r="G66" s="166"/>
      <c r="H66" s="166"/>
      <c r="I66" s="166"/>
      <c r="J66" s="533"/>
      <c r="K66" s="660">
        <f>K67/K10</f>
        <v>1.2806666666666666</v>
      </c>
      <c r="L66" s="663"/>
      <c r="M66" s="166"/>
      <c r="N66" s="166"/>
      <c r="O66" s="166"/>
      <c r="P66" s="166"/>
      <c r="Q66" s="533"/>
      <c r="R66" s="660">
        <f>R67/R10</f>
        <v>1.075316969408604</v>
      </c>
      <c r="S66" s="663"/>
      <c r="T66" s="166"/>
      <c r="U66" s="166"/>
      <c r="V66" s="166"/>
      <c r="W66" s="166"/>
      <c r="X66" s="533"/>
      <c r="Y66" s="660">
        <f>Y67/Y10</f>
        <v>1.1151466834883599</v>
      </c>
      <c r="Z66" s="663"/>
      <c r="AA66" s="166"/>
      <c r="AB66" s="166"/>
      <c r="AC66" s="166"/>
      <c r="AD66" s="166"/>
      <c r="AE66" s="533"/>
      <c r="AF66" s="660">
        <f>AF67/AF10</f>
        <v>0.81409803644582546</v>
      </c>
    </row>
    <row r="67" spans="2:32" x14ac:dyDescent="0.3">
      <c r="B67" s="32"/>
      <c r="C67" s="177"/>
      <c r="D67" s="20" t="s">
        <v>599</v>
      </c>
      <c r="E67" s="668"/>
      <c r="F67" s="166"/>
      <c r="G67" s="166"/>
      <c r="H67" s="166"/>
      <c r="I67" s="166"/>
      <c r="J67" s="669">
        <f>J65</f>
        <v>192.1</v>
      </c>
      <c r="K67" s="670">
        <f>K65</f>
        <v>12.00625</v>
      </c>
      <c r="L67" s="668"/>
      <c r="M67" s="166"/>
      <c r="N67" s="166"/>
      <c r="O67" s="166"/>
      <c r="P67" s="166"/>
      <c r="Q67" s="669">
        <f>Q65</f>
        <v>192.1</v>
      </c>
      <c r="R67" s="670">
        <f>R65</f>
        <v>12.00625</v>
      </c>
      <c r="S67" s="668"/>
      <c r="T67" s="166"/>
      <c r="U67" s="166"/>
      <c r="V67" s="166"/>
      <c r="W67" s="166"/>
      <c r="X67" s="669">
        <f>X65</f>
        <v>192.1</v>
      </c>
      <c r="Y67" s="670">
        <f>Y65</f>
        <v>12.00625</v>
      </c>
      <c r="Z67" s="668"/>
      <c r="AA67" s="166"/>
      <c r="AB67" s="166"/>
      <c r="AC67" s="166"/>
      <c r="AD67" s="166"/>
      <c r="AE67" s="669">
        <f>AE65</f>
        <v>192.1</v>
      </c>
      <c r="AF67" s="670">
        <f>AF65</f>
        <v>12.00625</v>
      </c>
    </row>
    <row r="68" spans="2:32" x14ac:dyDescent="0.3">
      <c r="B68" s="178" t="s">
        <v>90</v>
      </c>
      <c r="C68" s="311"/>
      <c r="D68" s="18" t="s">
        <v>601</v>
      </c>
      <c r="E68" s="671"/>
      <c r="F68" s="99"/>
      <c r="G68" s="99"/>
      <c r="H68" s="99"/>
      <c r="I68" s="99"/>
      <c r="J68" s="539"/>
      <c r="K68" s="662">
        <f>K69/K10</f>
        <v>45.958838613333334</v>
      </c>
      <c r="L68" s="671"/>
      <c r="M68" s="99"/>
      <c r="N68" s="99"/>
      <c r="O68" s="99"/>
      <c r="P68" s="99"/>
      <c r="Q68" s="539"/>
      <c r="R68" s="662">
        <f>R69/R10</f>
        <v>50.146251735751555</v>
      </c>
      <c r="S68" s="671"/>
      <c r="T68" s="99"/>
      <c r="U68" s="99"/>
      <c r="V68" s="99"/>
      <c r="W68" s="99"/>
      <c r="X68" s="539"/>
      <c r="Y68" s="662">
        <f>Y69/Y10</f>
        <v>65.495771777094504</v>
      </c>
      <c r="Z68" s="671"/>
      <c r="AA68" s="99"/>
      <c r="AB68" s="99"/>
      <c r="AC68" s="99"/>
      <c r="AD68" s="99"/>
      <c r="AE68" s="539"/>
      <c r="AF68" s="662">
        <f>AF69/AF10</f>
        <v>39.5670553524509</v>
      </c>
    </row>
    <row r="69" spans="2:32" x14ac:dyDescent="0.3">
      <c r="B69" s="629"/>
      <c r="C69" s="312"/>
      <c r="D69" s="179" t="s">
        <v>599</v>
      </c>
      <c r="E69" s="672"/>
      <c r="F69" s="100"/>
      <c r="G69" s="100"/>
      <c r="H69" s="100"/>
      <c r="I69" s="100"/>
      <c r="J69" s="541">
        <f>J42+J64+J67</f>
        <v>6622.9351040000001</v>
      </c>
      <c r="K69" s="673">
        <f>K42+K64+K67</f>
        <v>430.86411199999998</v>
      </c>
      <c r="L69" s="672"/>
      <c r="M69" s="100"/>
      <c r="N69" s="100"/>
      <c r="O69" s="100"/>
      <c r="P69" s="100"/>
      <c r="Q69" s="541">
        <f>Q42+Q64+Q67</f>
        <v>8543.0957440000002</v>
      </c>
      <c r="R69" s="673">
        <f>R42+R64+R67</f>
        <v>559.89857133333328</v>
      </c>
      <c r="S69" s="672"/>
      <c r="T69" s="100"/>
      <c r="U69" s="100"/>
      <c r="V69" s="100"/>
      <c r="W69" s="100"/>
      <c r="X69" s="541">
        <f>X42+X64+X67</f>
        <v>10936.975744000001</v>
      </c>
      <c r="Y69" s="673">
        <f>Y42+Y64+Y67</f>
        <v>705.16159133333338</v>
      </c>
      <c r="Z69" s="672"/>
      <c r="AA69" s="100"/>
      <c r="AB69" s="100"/>
      <c r="AC69" s="100"/>
      <c r="AD69" s="100"/>
      <c r="AE69" s="541">
        <f>AE42+AE64+AE67</f>
        <v>8915.4640440000003</v>
      </c>
      <c r="AF69" s="673">
        <f>AF42+AF64+AF67</f>
        <v>583.5316350833333</v>
      </c>
    </row>
    <row r="70" spans="2:32" x14ac:dyDescent="0.3">
      <c r="B70" s="178" t="s">
        <v>29</v>
      </c>
      <c r="C70" s="311"/>
      <c r="D70" s="18" t="s">
        <v>601</v>
      </c>
      <c r="E70" s="647"/>
      <c r="F70" s="674"/>
      <c r="G70" s="674"/>
      <c r="H70" s="674"/>
      <c r="I70" s="674"/>
      <c r="J70" s="649"/>
      <c r="K70" s="650">
        <f>K71/K10</f>
        <v>44.809161386666673</v>
      </c>
      <c r="L70" s="647"/>
      <c r="M70" s="674"/>
      <c r="N70" s="674"/>
      <c r="O70" s="674"/>
      <c r="P70" s="674"/>
      <c r="Q70" s="649"/>
      <c r="R70" s="650">
        <f>R71/R10</f>
        <v>37.612375709740917</v>
      </c>
      <c r="S70" s="647"/>
      <c r="T70" s="674"/>
      <c r="U70" s="674"/>
      <c r="V70" s="674"/>
      <c r="W70" s="674"/>
      <c r="X70" s="649"/>
      <c r="Y70" s="650">
        <f>Y71/Y10</f>
        <v>22.846554841106592</v>
      </c>
      <c r="Z70" s="647"/>
      <c r="AA70" s="674"/>
      <c r="AB70" s="674"/>
      <c r="AC70" s="674"/>
      <c r="AD70" s="674"/>
      <c r="AE70" s="649"/>
      <c r="AF70" s="650">
        <f>AF71/AF10</f>
        <v>44.363443305551648</v>
      </c>
    </row>
    <row r="71" spans="2:32" x14ac:dyDescent="0.3">
      <c r="B71" s="629"/>
      <c r="C71" s="313"/>
      <c r="D71" s="179" t="s">
        <v>599</v>
      </c>
      <c r="E71" s="652"/>
      <c r="F71" s="675"/>
      <c r="G71" s="675"/>
      <c r="H71" s="675"/>
      <c r="I71" s="675"/>
      <c r="J71" s="654">
        <f>J18-J69</f>
        <v>6992.2648960000006</v>
      </c>
      <c r="K71" s="655">
        <f>K18-K69</f>
        <v>420.08588800000007</v>
      </c>
      <c r="L71" s="652"/>
      <c r="M71" s="675"/>
      <c r="N71" s="675"/>
      <c r="O71" s="675"/>
      <c r="P71" s="675"/>
      <c r="Q71" s="654">
        <f>Q18-Q69</f>
        <v>7134.5442559999956</v>
      </c>
      <c r="R71" s="655">
        <f>R18-R69</f>
        <v>419.95392866666646</v>
      </c>
      <c r="S71" s="652"/>
      <c r="T71" s="675"/>
      <c r="U71" s="675"/>
      <c r="V71" s="675"/>
      <c r="W71" s="675"/>
      <c r="X71" s="654">
        <f>X18-X69</f>
        <v>4281.2562559999988</v>
      </c>
      <c r="Y71" s="655">
        <f>Y18-Y69</f>
        <v>245.97790866666662</v>
      </c>
      <c r="Z71" s="652"/>
      <c r="AA71" s="675"/>
      <c r="AB71" s="675"/>
      <c r="AC71" s="675"/>
      <c r="AD71" s="675"/>
      <c r="AE71" s="654">
        <f>AE18-AE69</f>
        <v>10889.335956000006</v>
      </c>
      <c r="AF71" s="655">
        <f>AF18-AF69</f>
        <v>654.26836491666711</v>
      </c>
    </row>
    <row r="72" spans="2:32" x14ac:dyDescent="0.3">
      <c r="B72" s="442"/>
      <c r="C72" s="442"/>
      <c r="D72" s="442"/>
      <c r="E72" s="442"/>
      <c r="F72" s="442"/>
      <c r="G72" s="442"/>
      <c r="H72" s="442"/>
      <c r="I72" s="442"/>
      <c r="J72" s="442"/>
      <c r="K72" s="442"/>
      <c r="L72" s="442"/>
      <c r="M72" s="442"/>
      <c r="N72" s="442"/>
      <c r="O72" s="442"/>
      <c r="P72" s="442"/>
      <c r="Q72" s="442"/>
      <c r="R72" s="442"/>
      <c r="S72" s="442"/>
      <c r="T72" s="442"/>
      <c r="U72" s="442"/>
      <c r="V72" s="442"/>
      <c r="W72" s="442"/>
      <c r="X72" s="442"/>
      <c r="Y72" s="442"/>
      <c r="Z72" s="442"/>
      <c r="AA72" s="442"/>
      <c r="AB72" s="442"/>
      <c r="AC72" s="442"/>
      <c r="AD72" s="442"/>
      <c r="AE72" s="442"/>
      <c r="AF72" s="442"/>
    </row>
    <row r="73" spans="2:32" x14ac:dyDescent="0.3">
      <c r="B73" s="442"/>
      <c r="C73" s="442"/>
      <c r="D73" s="442"/>
      <c r="E73" s="442"/>
      <c r="F73" s="442"/>
      <c r="G73" s="442"/>
      <c r="H73" s="442"/>
      <c r="I73" s="442"/>
      <c r="J73" s="442"/>
      <c r="K73" s="442"/>
      <c r="L73" s="442"/>
      <c r="M73" s="442"/>
      <c r="N73" s="442"/>
      <c r="O73" s="442"/>
      <c r="P73" s="442"/>
      <c r="Q73" s="442"/>
      <c r="R73" s="442"/>
      <c r="S73" s="442"/>
      <c r="T73" s="442"/>
      <c r="U73" s="442"/>
      <c r="V73" s="442"/>
      <c r="W73" s="442"/>
      <c r="X73" s="442"/>
      <c r="Y73" s="442"/>
      <c r="Z73" s="442"/>
      <c r="AA73" s="442"/>
      <c r="AB73" s="442"/>
      <c r="AC73" s="442"/>
      <c r="AD73" s="442"/>
      <c r="AE73" s="442"/>
      <c r="AF73" s="442"/>
    </row>
    <row r="74" spans="2:32" x14ac:dyDescent="0.3">
      <c r="B74" s="573"/>
      <c r="C74" s="676" t="s">
        <v>380</v>
      </c>
      <c r="D74" s="442"/>
      <c r="E74" s="442"/>
      <c r="F74" s="442"/>
      <c r="G74" s="442"/>
      <c r="H74" s="442"/>
      <c r="I74" s="442"/>
      <c r="J74" s="442"/>
      <c r="K74" s="442"/>
      <c r="L74" s="442"/>
      <c r="M74" s="442"/>
      <c r="N74" s="442"/>
      <c r="O74" s="442"/>
      <c r="P74" s="442"/>
      <c r="Q74" s="442"/>
      <c r="R74" s="442"/>
      <c r="S74" s="442"/>
      <c r="T74" s="442"/>
      <c r="U74" s="442"/>
      <c r="V74" s="442"/>
      <c r="W74" s="442"/>
      <c r="X74" s="442"/>
      <c r="Y74" s="442"/>
      <c r="Z74" s="442"/>
      <c r="AA74" s="442"/>
      <c r="AB74" s="442"/>
      <c r="AC74" s="442"/>
      <c r="AD74" s="442"/>
      <c r="AE74" s="442"/>
      <c r="AF74" s="442"/>
    </row>
    <row r="75" spans="2:32" x14ac:dyDescent="0.3">
      <c r="B75" s="572"/>
      <c r="C75" s="676" t="s">
        <v>379</v>
      </c>
      <c r="D75" s="442"/>
      <c r="E75" s="442"/>
      <c r="F75" s="442"/>
      <c r="G75" s="442"/>
      <c r="H75" s="442"/>
      <c r="I75" s="442"/>
      <c r="J75" s="442"/>
      <c r="K75" s="442"/>
      <c r="L75" s="442"/>
      <c r="M75" s="442"/>
      <c r="N75" s="442"/>
      <c r="O75" s="442"/>
      <c r="P75" s="442"/>
      <c r="Q75" s="442"/>
      <c r="R75" s="442"/>
      <c r="S75" s="442"/>
      <c r="T75" s="442"/>
      <c r="U75" s="442"/>
      <c r="V75" s="442"/>
      <c r="W75" s="442"/>
      <c r="X75" s="442"/>
      <c r="Y75" s="442"/>
      <c r="Z75" s="442"/>
      <c r="AA75" s="442"/>
      <c r="AB75" s="442"/>
      <c r="AC75" s="442"/>
      <c r="AD75" s="442"/>
      <c r="AE75" s="442"/>
      <c r="AF75" s="442"/>
    </row>
    <row r="76" spans="2:32" x14ac:dyDescent="0.3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</row>
    <row r="77" spans="2:32" x14ac:dyDescent="0.3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</row>
    <row r="78" spans="2:32" x14ac:dyDescent="0.3">
      <c r="B78" s="186"/>
      <c r="C78" s="24" t="s">
        <v>274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</row>
    <row r="79" spans="2:32" x14ac:dyDescent="0.3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</row>
    <row r="80" spans="2:32" x14ac:dyDescent="0.3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</row>
    <row r="81" spans="2:32" x14ac:dyDescent="0.3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</row>
    <row r="82" spans="2:32" x14ac:dyDescent="0.3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</row>
    <row r="83" spans="2:32" x14ac:dyDescent="0.3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</row>
    <row r="84" spans="2:32" x14ac:dyDescent="0.3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</row>
    <row r="85" spans="2:32" x14ac:dyDescent="0.3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</row>
    <row r="86" spans="2:32" x14ac:dyDescent="0.3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</row>
    <row r="87" spans="2:32" x14ac:dyDescent="0.3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</row>
    <row r="88" spans="2:32" x14ac:dyDescent="0.3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</row>
    <row r="89" spans="2:32" x14ac:dyDescent="0.3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</row>
    <row r="90" spans="2:32" x14ac:dyDescent="0.3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</row>
    <row r="91" spans="2:32" x14ac:dyDescent="0.3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</row>
    <row r="92" spans="2:32" x14ac:dyDescent="0.3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</row>
    <row r="93" spans="2:32" x14ac:dyDescent="0.3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</row>
    <row r="94" spans="2:32" x14ac:dyDescent="0.3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</row>
    <row r="95" spans="2:32" x14ac:dyDescent="0.3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</row>
  </sheetData>
  <mergeCells count="28">
    <mergeCell ref="V8:V9"/>
    <mergeCell ref="N8:N9"/>
    <mergeCell ref="U8:U9"/>
    <mergeCell ref="AE8:AE9"/>
    <mergeCell ref="AF8:AF9"/>
    <mergeCell ref="W8:W9"/>
    <mergeCell ref="X8:X9"/>
    <mergeCell ref="Y8:Y9"/>
    <mergeCell ref="AA8:AA9"/>
    <mergeCell ref="AC8:AC9"/>
    <mergeCell ref="AD8:AD9"/>
    <mergeCell ref="AB8:AB9"/>
    <mergeCell ref="AA7:AD7"/>
    <mergeCell ref="M8:M9"/>
    <mergeCell ref="F8:F9"/>
    <mergeCell ref="H8:H9"/>
    <mergeCell ref="I8:I9"/>
    <mergeCell ref="J8:J9"/>
    <mergeCell ref="K8:K9"/>
    <mergeCell ref="G8:G9"/>
    <mergeCell ref="F7:I7"/>
    <mergeCell ref="M7:P7"/>
    <mergeCell ref="T7:W7"/>
    <mergeCell ref="O8:O9"/>
    <mergeCell ref="P8:P9"/>
    <mergeCell ref="Q8:Q9"/>
    <mergeCell ref="R8:R9"/>
    <mergeCell ref="T8:T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51"/>
  <sheetViews>
    <sheetView topLeftCell="B3" workbookViewId="0">
      <selection activeCell="B14" sqref="B14"/>
    </sheetView>
  </sheetViews>
  <sheetFormatPr defaultColWidth="9" defaultRowHeight="14" x14ac:dyDescent="0.3"/>
  <cols>
    <col min="2" max="2" width="32.58203125" customWidth="1"/>
    <col min="3" max="3" width="19.25" customWidth="1"/>
    <col min="5" max="9" width="11" bestFit="1" customWidth="1"/>
    <col min="13" max="13" width="33.83203125" customWidth="1"/>
  </cols>
  <sheetData>
    <row r="2" spans="1:24" ht="14.5" thickBot="1" x14ac:dyDescent="0.35">
      <c r="A2" s="366"/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</row>
    <row r="3" spans="1:24" ht="14.5" thickBot="1" x14ac:dyDescent="0.35">
      <c r="A3" s="366"/>
      <c r="B3" s="421" t="s">
        <v>611</v>
      </c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</row>
    <row r="4" spans="1:24" x14ac:dyDescent="0.3">
      <c r="A4" s="366"/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512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</row>
    <row r="5" spans="1:24" x14ac:dyDescent="0.3">
      <c r="A5" s="366"/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</row>
    <row r="6" spans="1:24" x14ac:dyDescent="0.3">
      <c r="A6" s="366"/>
      <c r="B6" s="679" t="s">
        <v>344</v>
      </c>
      <c r="C6" s="680"/>
      <c r="D6" s="680"/>
      <c r="E6" s="680"/>
      <c r="F6" s="680"/>
      <c r="G6" s="680"/>
      <c r="H6" s="680"/>
      <c r="I6" s="681"/>
      <c r="J6" s="366"/>
      <c r="K6" s="366"/>
      <c r="L6" s="366"/>
      <c r="M6" s="679" t="s">
        <v>345</v>
      </c>
      <c r="N6" s="680"/>
      <c r="O6" s="680"/>
      <c r="P6" s="680"/>
      <c r="Q6" s="680"/>
      <c r="R6" s="680"/>
      <c r="S6" s="680"/>
      <c r="T6" s="680"/>
      <c r="U6" s="680"/>
      <c r="V6" s="680"/>
      <c r="W6" s="681"/>
      <c r="X6" s="366"/>
    </row>
    <row r="7" spans="1:24" ht="15" customHeight="1" x14ac:dyDescent="0.3">
      <c r="A7" s="366"/>
      <c r="B7" s="682"/>
      <c r="C7" s="683"/>
      <c r="D7" s="683"/>
      <c r="E7" s="684" t="str">
        <f>'Arable margins'!$E$12</f>
        <v>Wheat</v>
      </c>
      <c r="F7" s="684" t="str">
        <f>'Arable margins'!$F$12</f>
        <v>Oats</v>
      </c>
      <c r="G7" s="684" t="str">
        <f>'Arable margins'!$G$12</f>
        <v>OSR</v>
      </c>
      <c r="H7" s="684" t="str">
        <f>'Arable margins'!$H$12</f>
        <v>Sugar beet</v>
      </c>
      <c r="I7" s="684" t="str">
        <f>'Arable margins'!$I$12</f>
        <v>Forage maize</v>
      </c>
      <c r="J7" s="366"/>
      <c r="K7" s="366"/>
      <c r="L7" s="366"/>
      <c r="M7" s="685"/>
      <c r="N7" s="418"/>
      <c r="O7" s="418"/>
      <c r="P7" s="686" t="str">
        <f>'Energy margins'!E6</f>
        <v>SRC</v>
      </c>
      <c r="Q7" s="687"/>
      <c r="R7" s="686" t="str">
        <f>'Energy margins'!L6</f>
        <v>Miscanthus</v>
      </c>
      <c r="S7" s="687"/>
      <c r="T7" s="688" t="str">
        <f>'Energy margins'!S6</f>
        <v>Sida</v>
      </c>
      <c r="U7" s="687"/>
      <c r="V7" s="688" t="str">
        <f>'Energy margins'!Z6</f>
        <v>Silphie</v>
      </c>
      <c r="W7" s="687"/>
      <c r="X7" s="366"/>
    </row>
    <row r="8" spans="1:24" ht="15" customHeight="1" x14ac:dyDescent="0.3">
      <c r="A8" s="366"/>
      <c r="B8" s="323" t="s">
        <v>271</v>
      </c>
      <c r="C8" s="314" t="s">
        <v>2</v>
      </c>
      <c r="D8" s="320" t="s">
        <v>601</v>
      </c>
      <c r="E8" s="343">
        <f>'Arable margins'!$E$16</f>
        <v>193.7</v>
      </c>
      <c r="F8" s="343">
        <f>'Arable margins'!$F$16</f>
        <v>154.80000000000001</v>
      </c>
      <c r="G8" s="343">
        <f>'Arable margins'!$G$16</f>
        <v>345.1</v>
      </c>
      <c r="H8" s="343">
        <f>'Arable margins'!$H$16</f>
        <v>26</v>
      </c>
      <c r="I8" s="343">
        <f>'Arable margins'!$I$16</f>
        <v>182.8</v>
      </c>
      <c r="J8" s="366"/>
      <c r="K8" s="366"/>
      <c r="L8" s="366"/>
      <c r="M8" s="419"/>
      <c r="N8" s="418"/>
      <c r="O8" s="418"/>
      <c r="P8" s="1083" t="s">
        <v>265</v>
      </c>
      <c r="Q8" s="1080" t="s">
        <v>76</v>
      </c>
      <c r="R8" s="1083" t="s">
        <v>265</v>
      </c>
      <c r="S8" s="1080" t="s">
        <v>76</v>
      </c>
      <c r="T8" s="1083" t="s">
        <v>265</v>
      </c>
      <c r="U8" s="1080" t="s">
        <v>76</v>
      </c>
      <c r="V8" s="1083" t="s">
        <v>265</v>
      </c>
      <c r="W8" s="1080" t="s">
        <v>76</v>
      </c>
      <c r="X8" s="366"/>
    </row>
    <row r="9" spans="1:24" ht="15" customHeight="1" x14ac:dyDescent="0.3">
      <c r="A9" s="366"/>
      <c r="B9" s="324"/>
      <c r="C9" s="315" t="s">
        <v>3</v>
      </c>
      <c r="D9" s="321" t="s">
        <v>601</v>
      </c>
      <c r="E9" s="344">
        <f>'Arable margins'!$E$17</f>
        <v>73.449999999999989</v>
      </c>
      <c r="F9" s="344">
        <f>'Arable margins'!$F$17</f>
        <v>79.099999999999994</v>
      </c>
      <c r="G9" s="344">
        <f>'Arable margins'!$G$17</f>
        <v>42.374999999999993</v>
      </c>
      <c r="H9" s="319"/>
      <c r="I9" s="319"/>
      <c r="J9" s="366"/>
      <c r="K9" s="366"/>
      <c r="L9" s="366"/>
      <c r="M9" s="419"/>
      <c r="N9" s="418"/>
      <c r="O9" s="418"/>
      <c r="P9" s="1084"/>
      <c r="Q9" s="1081"/>
      <c r="R9" s="1084"/>
      <c r="S9" s="1081"/>
      <c r="T9" s="1084"/>
      <c r="U9" s="1081"/>
      <c r="V9" s="1084"/>
      <c r="W9" s="1081"/>
      <c r="X9" s="366"/>
    </row>
    <row r="10" spans="1:24" ht="15" customHeight="1" x14ac:dyDescent="0.3">
      <c r="A10" s="366"/>
      <c r="B10" s="324"/>
      <c r="C10" s="314" t="s">
        <v>2</v>
      </c>
      <c r="D10" s="322" t="s">
        <v>599</v>
      </c>
      <c r="E10" s="343">
        <f>'Arable margins'!$E$16*'Arable margins'!$E$13</f>
        <v>1443.0650000000001</v>
      </c>
      <c r="F10" s="343">
        <f>'Arable margins'!$F$16*'Arable margins'!$F$13</f>
        <v>636.22800000000007</v>
      </c>
      <c r="G10" s="343">
        <f>'Arable margins'!$G$16*'Arable margins'!$G$13</f>
        <v>1138.83</v>
      </c>
      <c r="H10" s="343">
        <f>'Arable margins'!$H$16*'Arable margins'!$H$13</f>
        <v>1640.6000000000001</v>
      </c>
      <c r="I10" s="343">
        <f>'Arable margins'!$I$16*'Arable margins'!$I$13</f>
        <v>1487.9920000000002</v>
      </c>
      <c r="J10" s="366"/>
      <c r="K10" s="366"/>
      <c r="L10" s="366"/>
      <c r="M10" s="689"/>
      <c r="N10" s="418"/>
      <c r="O10" s="418"/>
      <c r="P10" s="1085"/>
      <c r="Q10" s="1082"/>
      <c r="R10" s="1085"/>
      <c r="S10" s="1082"/>
      <c r="T10" s="1085"/>
      <c r="U10" s="1082"/>
      <c r="V10" s="1085"/>
      <c r="W10" s="1082"/>
      <c r="X10" s="366"/>
    </row>
    <row r="11" spans="1:24" ht="15" customHeight="1" x14ac:dyDescent="0.3">
      <c r="A11" s="366"/>
      <c r="B11" s="324"/>
      <c r="C11" s="315" t="s">
        <v>3</v>
      </c>
      <c r="D11" s="322" t="s">
        <v>599</v>
      </c>
      <c r="E11" s="344">
        <f>'Arable margins'!$E$17*'Arable margins'!$E$14</f>
        <v>286.45499999999993</v>
      </c>
      <c r="F11" s="344">
        <f>'Arable margins'!$F$17*'Arable margins'!$F$14</f>
        <v>276.84999999999997</v>
      </c>
      <c r="G11" s="344">
        <f>'Arable margins'!$G$17*'Arable margins'!$G$14</f>
        <v>110.17499999999998</v>
      </c>
      <c r="H11" s="319"/>
      <c r="I11" s="319"/>
      <c r="J11" s="366"/>
      <c r="K11" s="366"/>
      <c r="L11" s="366"/>
      <c r="M11" s="184" t="s">
        <v>271</v>
      </c>
      <c r="N11" s="187"/>
      <c r="O11" s="117" t="s">
        <v>601</v>
      </c>
      <c r="P11" s="690"/>
      <c r="Q11" s="691">
        <f>'Energy margins'!$E$12</f>
        <v>72</v>
      </c>
      <c r="R11" s="692"/>
      <c r="S11" s="691">
        <f>'Energy margins'!$L$12</f>
        <v>72</v>
      </c>
      <c r="T11" s="692"/>
      <c r="U11" s="691">
        <f>'Energy margins'!$S$12</f>
        <v>72</v>
      </c>
      <c r="V11" s="692"/>
      <c r="W11" s="691">
        <f>'Energy margins'!$Z$12</f>
        <v>72</v>
      </c>
      <c r="X11" s="366"/>
    </row>
    <row r="12" spans="1:24" ht="15" customHeight="1" x14ac:dyDescent="0.3">
      <c r="A12" s="366"/>
      <c r="B12" s="693"/>
      <c r="C12" s="331" t="s">
        <v>12</v>
      </c>
      <c r="D12" s="333" t="s">
        <v>599</v>
      </c>
      <c r="E12" s="694">
        <f>E10+E11</f>
        <v>1729.52</v>
      </c>
      <c r="F12" s="694">
        <f>F10+F11</f>
        <v>913.07799999999997</v>
      </c>
      <c r="G12" s="694">
        <f>G10+G11</f>
        <v>1249.0049999999999</v>
      </c>
      <c r="H12" s="694">
        <f>H10+H11</f>
        <v>1640.6000000000001</v>
      </c>
      <c r="I12" s="694">
        <f>I10+I11</f>
        <v>1487.9920000000002</v>
      </c>
      <c r="J12" s="366"/>
      <c r="K12" s="366"/>
      <c r="L12" s="366"/>
      <c r="M12" s="695"/>
      <c r="N12" s="190"/>
      <c r="O12" s="351" t="s">
        <v>599</v>
      </c>
      <c r="P12" s="696">
        <f>'Energy margins'!$J$14</f>
        <v>10800</v>
      </c>
      <c r="Q12" s="696">
        <f>'Energy margins'!$K$14</f>
        <v>675</v>
      </c>
      <c r="R12" s="696">
        <f>'Energy margins'!$Q$14</f>
        <v>12862.439999999995</v>
      </c>
      <c r="S12" s="696">
        <f>'Energy margins'!$R$14</f>
        <v>803.90249999999969</v>
      </c>
      <c r="T12" s="696">
        <f>'Energy margins'!$X$14</f>
        <v>12403.031999999999</v>
      </c>
      <c r="U12" s="696">
        <f>'Energy margins'!$Y$14</f>
        <v>775.18949999999995</v>
      </c>
      <c r="V12" s="696">
        <f>'Energy margins'!$AE$14</f>
        <v>16989.600000000006</v>
      </c>
      <c r="W12" s="696">
        <f>'Energy margins'!$AF$14</f>
        <v>1061.8500000000004</v>
      </c>
      <c r="X12" s="366"/>
    </row>
    <row r="13" spans="1:24" ht="15" customHeight="1" x14ac:dyDescent="0.3">
      <c r="A13" s="366"/>
      <c r="B13" s="325" t="str">
        <f>'Arable margins'!C18</f>
        <v>CAP</v>
      </c>
      <c r="C13" s="316"/>
      <c r="D13" s="333" t="s">
        <v>599</v>
      </c>
      <c r="E13" s="697">
        <f>'Arable margins'!$E$18</f>
        <v>175.95</v>
      </c>
      <c r="F13" s="697">
        <f>'Arable margins'!$F$18</f>
        <v>175.95</v>
      </c>
      <c r="G13" s="697">
        <f>'Arable margins'!$G$18</f>
        <v>175.95</v>
      </c>
      <c r="H13" s="697">
        <f>'Arable margins'!$H$18</f>
        <v>175.95</v>
      </c>
      <c r="I13" s="697">
        <f>'Arable margins'!$I$18</f>
        <v>175.95</v>
      </c>
      <c r="J13" s="366"/>
      <c r="K13" s="366"/>
      <c r="L13" s="366"/>
      <c r="M13" s="189" t="str">
        <f>'Energy margins'!C15</f>
        <v>Planting subsidy</v>
      </c>
      <c r="N13" s="698"/>
      <c r="O13" s="774" t="s">
        <v>599</v>
      </c>
      <c r="P13" s="699">
        <f>'Energy margins'!$J$15</f>
        <v>0</v>
      </c>
      <c r="Q13" s="699">
        <f>'Energy margins'!$K$15</f>
        <v>0</v>
      </c>
      <c r="R13" s="700">
        <f>'Energy margins'!$Q$15</f>
        <v>0</v>
      </c>
      <c r="S13" s="701">
        <f>'Energy margins'!$R$15</f>
        <v>0</v>
      </c>
      <c r="T13" s="701">
        <f>'Energy margins'!$X$15</f>
        <v>0</v>
      </c>
      <c r="U13" s="701">
        <f>'Energy margins'!$Y$15</f>
        <v>0</v>
      </c>
      <c r="V13" s="701">
        <f>'Energy margins'!$AE$15</f>
        <v>0</v>
      </c>
      <c r="W13" s="701">
        <f>'Energy margins'!$AF$15</f>
        <v>0</v>
      </c>
      <c r="X13" s="366"/>
    </row>
    <row r="14" spans="1:24" ht="15" customHeight="1" x14ac:dyDescent="0.3">
      <c r="A14" s="366"/>
      <c r="B14" s="323" t="s">
        <v>667</v>
      </c>
      <c r="C14" s="317" t="s">
        <v>2</v>
      </c>
      <c r="D14" s="320" t="s">
        <v>601</v>
      </c>
      <c r="E14" s="343">
        <f>'Arable margins'!$E$19</f>
        <v>217.31744966442955</v>
      </c>
      <c r="F14" s="343">
        <f>'Arable margins'!$F$19</f>
        <v>197.61021897810221</v>
      </c>
      <c r="G14" s="343">
        <f>'Arable margins'!$G$19</f>
        <v>398.41818181818184</v>
      </c>
      <c r="H14" s="343">
        <f>'Arable margins'!$H$19</f>
        <v>28.788431061806659</v>
      </c>
      <c r="I14" s="343">
        <f>'Arable margins'!$I$19</f>
        <v>204.41547911547914</v>
      </c>
      <c r="J14" s="366"/>
      <c r="K14" s="366"/>
      <c r="L14" s="366"/>
      <c r="M14" s="191" t="str">
        <f>'Energy margins'!C16</f>
        <v>CAP</v>
      </c>
      <c r="N14" s="698"/>
      <c r="O14" s="350" t="s">
        <v>599</v>
      </c>
      <c r="P14" s="702">
        <f>'Energy margins'!$J$16</f>
        <v>2815.2</v>
      </c>
      <c r="Q14" s="702">
        <f>'Energy margins'!$K$16</f>
        <v>175.95</v>
      </c>
      <c r="R14" s="703">
        <f>'Energy margins'!$Q$16</f>
        <v>2815.2</v>
      </c>
      <c r="S14" s="704">
        <f>'Energy margins'!$R$16</f>
        <v>175.95</v>
      </c>
      <c r="T14" s="704">
        <f>'Energy margins'!$X$16</f>
        <v>2815.2</v>
      </c>
      <c r="U14" s="704">
        <f>'Energy margins'!$Y$16</f>
        <v>175.95</v>
      </c>
      <c r="V14" s="704">
        <f>'Energy margins'!$AE$16</f>
        <v>2815.2</v>
      </c>
      <c r="W14" s="704">
        <f>'Energy margins'!$AF$16</f>
        <v>175.95</v>
      </c>
      <c r="X14" s="366"/>
    </row>
    <row r="15" spans="1:24" ht="15" customHeight="1" x14ac:dyDescent="0.3">
      <c r="A15" s="366"/>
      <c r="B15" s="324"/>
      <c r="C15" s="317" t="s">
        <v>3</v>
      </c>
      <c r="D15" s="321" t="s">
        <v>601</v>
      </c>
      <c r="E15" s="705">
        <f>'Arable margins'!$E$20</f>
        <v>73.449999999999989</v>
      </c>
      <c r="F15" s="705">
        <f>'Arable margins'!$F$20</f>
        <v>79.099999999999994</v>
      </c>
      <c r="G15" s="705">
        <f>'Arable margins'!G20</f>
        <v>42.374999999999993</v>
      </c>
      <c r="H15" s="706"/>
      <c r="I15" s="706"/>
      <c r="J15" s="366"/>
      <c r="K15" s="366"/>
      <c r="L15" s="366"/>
      <c r="M15" s="707"/>
      <c r="N15" s="708"/>
      <c r="O15" s="708"/>
      <c r="P15" s="708"/>
      <c r="Q15" s="708"/>
      <c r="R15" s="708"/>
      <c r="S15" s="708"/>
      <c r="T15" s="707"/>
      <c r="U15" s="708"/>
      <c r="V15" s="708"/>
      <c r="W15" s="709"/>
      <c r="X15" s="366"/>
    </row>
    <row r="16" spans="1:24" ht="15" customHeight="1" x14ac:dyDescent="0.3">
      <c r="A16" s="366"/>
      <c r="B16" s="324"/>
      <c r="C16" s="314" t="s">
        <v>2</v>
      </c>
      <c r="D16" s="322" t="s">
        <v>599</v>
      </c>
      <c r="E16" s="344">
        <f>'Arable margins'!$E$21</f>
        <v>1619.0150000000001</v>
      </c>
      <c r="F16" s="344">
        <f>'Arable margins'!$F$21</f>
        <v>812.17800000000011</v>
      </c>
      <c r="G16" s="344">
        <f>'Arable margins'!$G$21</f>
        <v>1314.78</v>
      </c>
      <c r="H16" s="344">
        <f>'Arable margins'!$H$21</f>
        <v>1816.5500000000002</v>
      </c>
      <c r="I16" s="344">
        <f>'Arable margins'!$I$21</f>
        <v>1663.9420000000002</v>
      </c>
      <c r="J16" s="366"/>
      <c r="K16" s="366"/>
      <c r="L16" s="366"/>
      <c r="M16" s="184" t="s">
        <v>667</v>
      </c>
      <c r="N16" s="187"/>
      <c r="O16" s="117" t="s">
        <v>601</v>
      </c>
      <c r="P16" s="692"/>
      <c r="Q16" s="691">
        <f>'Energy margins'!$K$17</f>
        <v>90.768000000000001</v>
      </c>
      <c r="R16" s="692"/>
      <c r="S16" s="691">
        <f>'Energy margins'!$R$17</f>
        <v>87.758627445492465</v>
      </c>
      <c r="T16" s="692"/>
      <c r="U16" s="691">
        <f>'Energy margins'!$Y$17</f>
        <v>88.342326618201099</v>
      </c>
      <c r="V16" s="692"/>
      <c r="W16" s="691">
        <f>'Energy margins'!$AF$17</f>
        <v>83.930498658002548</v>
      </c>
      <c r="X16" s="366"/>
    </row>
    <row r="17" spans="1:24" ht="15" customHeight="1" x14ac:dyDescent="0.3">
      <c r="A17" s="366"/>
      <c r="B17" s="324"/>
      <c r="C17" s="315" t="s">
        <v>3</v>
      </c>
      <c r="D17" s="322" t="s">
        <v>599</v>
      </c>
      <c r="E17" s="344">
        <f>'Arable margins'!$E$22</f>
        <v>286.45499999999993</v>
      </c>
      <c r="F17" s="344">
        <f>'Arable margins'!$F$22</f>
        <v>276.84999999999997</v>
      </c>
      <c r="G17" s="344">
        <f>'Arable margins'!$G$22</f>
        <v>110.17499999999998</v>
      </c>
      <c r="H17" s="319"/>
      <c r="I17" s="319"/>
      <c r="J17" s="366"/>
      <c r="K17" s="366"/>
      <c r="L17" s="366"/>
      <c r="M17" s="695"/>
      <c r="N17" s="188"/>
      <c r="O17" s="351" t="s">
        <v>599</v>
      </c>
      <c r="P17" s="710">
        <f>'Energy margins'!$J$18</f>
        <v>13615.2</v>
      </c>
      <c r="Q17" s="710">
        <f>'Energy margins'!$K$18</f>
        <v>850.95</v>
      </c>
      <c r="R17" s="710">
        <f>'Energy margins'!$Q$18</f>
        <v>15677.639999999996</v>
      </c>
      <c r="S17" s="710">
        <f>'Energy margins'!$R$18</f>
        <v>979.85249999999974</v>
      </c>
      <c r="T17" s="710">
        <f>'Energy margins'!$X$18</f>
        <v>15218.232</v>
      </c>
      <c r="U17" s="710">
        <f>'Energy margins'!$Y$18</f>
        <v>951.1395</v>
      </c>
      <c r="V17" s="710">
        <f>'Energy margins'!$AE$18</f>
        <v>19804.800000000007</v>
      </c>
      <c r="W17" s="710">
        <f>'Energy margins'!$AF$18</f>
        <v>1237.8000000000004</v>
      </c>
      <c r="X17" s="366"/>
    </row>
    <row r="18" spans="1:24" ht="15" customHeight="1" x14ac:dyDescent="0.3">
      <c r="A18" s="366"/>
      <c r="B18" s="693"/>
      <c r="C18" s="331" t="s">
        <v>12</v>
      </c>
      <c r="D18" s="333" t="s">
        <v>599</v>
      </c>
      <c r="E18" s="346">
        <f>'Arable margins'!$E$23</f>
        <v>1905.47</v>
      </c>
      <c r="F18" s="346">
        <f>'Arable margins'!$F$23</f>
        <v>1089.028</v>
      </c>
      <c r="G18" s="346">
        <f>'Arable margins'!$G$23</f>
        <v>1424.9549999999999</v>
      </c>
      <c r="H18" s="346">
        <f>'Arable margins'!$H$23</f>
        <v>1816.5500000000002</v>
      </c>
      <c r="I18" s="346">
        <f>'Arable margins'!$I$23</f>
        <v>1663.9420000000002</v>
      </c>
      <c r="J18" s="366"/>
      <c r="K18" s="366"/>
      <c r="L18" s="366"/>
      <c r="M18" s="711"/>
      <c r="N18" s="712"/>
      <c r="O18" s="712"/>
      <c r="P18" s="712"/>
      <c r="Q18" s="712"/>
      <c r="R18" s="712"/>
      <c r="S18" s="712"/>
      <c r="T18" s="712"/>
      <c r="U18" s="712"/>
      <c r="V18" s="712"/>
      <c r="W18" s="713"/>
      <c r="X18" s="366"/>
    </row>
    <row r="19" spans="1:24" ht="15" customHeight="1" x14ac:dyDescent="0.3">
      <c r="A19" s="366"/>
      <c r="B19" s="714"/>
      <c r="C19" s="715"/>
      <c r="D19" s="716"/>
      <c r="E19" s="716"/>
      <c r="F19" s="716"/>
      <c r="G19" s="716"/>
      <c r="H19" s="716"/>
      <c r="I19" s="717"/>
      <c r="J19" s="366"/>
      <c r="K19" s="366"/>
      <c r="L19" s="366"/>
      <c r="M19" s="192" t="str">
        <f>'Energy margins'!B41</f>
        <v>Total establishment costs</v>
      </c>
      <c r="N19" s="115"/>
      <c r="O19" s="117" t="s">
        <v>601</v>
      </c>
      <c r="P19" s="692"/>
      <c r="Q19" s="691">
        <f>'Energy margins'!$K$41</f>
        <v>16.713455004444445</v>
      </c>
      <c r="R19" s="692"/>
      <c r="S19" s="691">
        <f>'Energy margins'!$R$41</f>
        <v>12.491066177801418</v>
      </c>
      <c r="T19" s="692"/>
      <c r="U19" s="691">
        <f>'Energy margins'!$Y$41</f>
        <v>33.373754582589164</v>
      </c>
      <c r="V19" s="692"/>
      <c r="W19" s="691">
        <f>'Energy margins'!$AF$41</f>
        <v>9.5233350077694574</v>
      </c>
      <c r="X19" s="366"/>
    </row>
    <row r="20" spans="1:24" ht="15" customHeight="1" x14ac:dyDescent="0.3">
      <c r="A20" s="366"/>
      <c r="B20" s="326" t="s">
        <v>238</v>
      </c>
      <c r="C20" s="314" t="str">
        <f>'Arable margins'!C43</f>
        <v>Main crop</v>
      </c>
      <c r="D20" s="320" t="s">
        <v>601</v>
      </c>
      <c r="E20" s="334">
        <f>'Arable margins'!$E$43</f>
        <v>88.121275167785228</v>
      </c>
      <c r="F20" s="334">
        <f>'Arable margins'!$F$43</f>
        <v>110.65705596107054</v>
      </c>
      <c r="G20" s="334">
        <f>'Arable margins'!$G$43</f>
        <v>184.68545454545455</v>
      </c>
      <c r="H20" s="334">
        <f>'Arable margins'!$H$43</f>
        <v>12.984215530903326</v>
      </c>
      <c r="I20" s="334">
        <f>'Arable margins'!I43</f>
        <v>70.544287469287454</v>
      </c>
      <c r="J20" s="366"/>
      <c r="K20" s="366"/>
      <c r="L20" s="366"/>
      <c r="M20" s="185"/>
      <c r="N20" s="116"/>
      <c r="O20" s="351" t="s">
        <v>599</v>
      </c>
      <c r="P20" s="710">
        <f>'Energy margins'!$J$42</f>
        <v>2498.2967840000001</v>
      </c>
      <c r="Q20" s="710">
        <f>'Energy margins'!$K$42</f>
        <v>156.68864066666666</v>
      </c>
      <c r="R20" s="710">
        <f>'Energy margins'!$Q$42</f>
        <v>2224.610784</v>
      </c>
      <c r="S20" s="710">
        <f>'Energy margins'!$R$42</f>
        <v>139.46665733333333</v>
      </c>
      <c r="T20" s="710">
        <f>'Energy margins'!$X$42</f>
        <v>5737.3339839999999</v>
      </c>
      <c r="U20" s="710">
        <f>'Energy margins'!$Y$42</f>
        <v>359.31922400000002</v>
      </c>
      <c r="V20" s="710">
        <f>'Energy margins'!$AE$42</f>
        <v>2234.4822840000002</v>
      </c>
      <c r="W20" s="710">
        <f>'Energy margins'!$AF$42</f>
        <v>140.44935108333334</v>
      </c>
      <c r="X20" s="366"/>
    </row>
    <row r="21" spans="1:24" ht="15" customHeight="1" x14ac:dyDescent="0.3">
      <c r="A21" s="366"/>
      <c r="B21" s="327"/>
      <c r="C21" s="318" t="str">
        <f>'Arable margins'!C44</f>
        <v>Straw</v>
      </c>
      <c r="D21" s="321" t="s">
        <v>601</v>
      </c>
      <c r="E21" s="335">
        <f>'Arable margins'!$E$44</f>
        <v>3.9549999999999996</v>
      </c>
      <c r="F21" s="335">
        <f>'Arable margins'!$F$44</f>
        <v>3.9549999999999996</v>
      </c>
      <c r="G21" s="335">
        <f>'Arable margins'!$G$44</f>
        <v>3.9549999999999996</v>
      </c>
      <c r="H21" s="338"/>
      <c r="I21" s="338"/>
      <c r="J21" s="366"/>
      <c r="K21" s="366"/>
      <c r="L21" s="366"/>
      <c r="M21" s="192" t="str">
        <f>'Energy margins'!B63</f>
        <v>Total recurring costs</v>
      </c>
      <c r="N21" s="115"/>
      <c r="O21" s="117" t="s">
        <v>601</v>
      </c>
      <c r="P21" s="692"/>
      <c r="Q21" s="691">
        <f>'Energy margins'!$K$63</f>
        <v>27.964716942222214</v>
      </c>
      <c r="R21" s="692"/>
      <c r="S21" s="691">
        <f>'Energy margins'!$R$63</f>
        <v>36.579868588541537</v>
      </c>
      <c r="T21" s="692"/>
      <c r="U21" s="691">
        <f>'Energy margins'!$Y$63</f>
        <v>31.006870511016984</v>
      </c>
      <c r="V21" s="692"/>
      <c r="W21" s="691">
        <f>'Energy margins'!$AF$63</f>
        <v>29.229622308235616</v>
      </c>
      <c r="X21" s="366"/>
    </row>
    <row r="22" spans="1:24" ht="15" customHeight="1" x14ac:dyDescent="0.3">
      <c r="A22" s="366"/>
      <c r="B22" s="327"/>
      <c r="C22" s="314" t="str">
        <f>'Arable margins'!C45</f>
        <v>Main crop</v>
      </c>
      <c r="D22" s="322" t="s">
        <v>599</v>
      </c>
      <c r="E22" s="334">
        <f>'Arable margins'!$E$45</f>
        <v>656.50349999999992</v>
      </c>
      <c r="F22" s="334">
        <f>'Arable margins'!$F$45</f>
        <v>454.80049999999994</v>
      </c>
      <c r="G22" s="334">
        <f>'Arable margins'!$G$45</f>
        <v>609.46199999999999</v>
      </c>
      <c r="H22" s="334">
        <f>'Arable margins'!$H$45</f>
        <v>819.30399999999986</v>
      </c>
      <c r="I22" s="334">
        <f>'Arable margins'!$I$45</f>
        <v>574.23049999999989</v>
      </c>
      <c r="J22" s="366"/>
      <c r="K22" s="366"/>
      <c r="L22" s="366"/>
      <c r="M22" s="185"/>
      <c r="N22" s="116"/>
      <c r="O22" s="351" t="s">
        <v>599</v>
      </c>
      <c r="P22" s="710">
        <f>'Energy margins'!$J$64</f>
        <v>3932.5383199999997</v>
      </c>
      <c r="Q22" s="710">
        <f>'Energy margins'!$K$64</f>
        <v>262.16922133333327</v>
      </c>
      <c r="R22" s="710">
        <f>'Energy margins'!$Q$64</f>
        <v>6126.3849599999994</v>
      </c>
      <c r="S22" s="710">
        <f>'Energy margins'!$R$64</f>
        <v>408.42566399999998</v>
      </c>
      <c r="T22" s="710">
        <f>'Energy margins'!$X$64</f>
        <v>5007.5417600000001</v>
      </c>
      <c r="U22" s="710">
        <f>'Energy margins'!$Y$64</f>
        <v>333.83611733333333</v>
      </c>
      <c r="V22" s="710">
        <f>'Energy margins'!$AE$64</f>
        <v>6488.8817600000002</v>
      </c>
      <c r="W22" s="710">
        <f>'Energy margins'!$AF$64</f>
        <v>431.07603399999994</v>
      </c>
      <c r="X22" s="366"/>
    </row>
    <row r="23" spans="1:24" ht="15" customHeight="1" x14ac:dyDescent="0.3">
      <c r="A23" s="366"/>
      <c r="B23" s="327"/>
      <c r="C23" s="315" t="str">
        <f>'Arable margins'!C46</f>
        <v>Straw</v>
      </c>
      <c r="D23" s="322" t="s">
        <v>599</v>
      </c>
      <c r="E23" s="336">
        <f>'Arable margins'!$E$46</f>
        <v>15.424499999999998</v>
      </c>
      <c r="F23" s="336">
        <f>'Arable margins'!$F$46</f>
        <v>13.842499999999999</v>
      </c>
      <c r="G23" s="336">
        <f>'Arable margins'!$G$46</f>
        <v>10.282999999999999</v>
      </c>
      <c r="H23" s="337"/>
      <c r="I23" s="337"/>
      <c r="J23" s="366"/>
      <c r="K23" s="366"/>
      <c r="L23" s="366"/>
      <c r="M23" s="184" t="str">
        <f>'Energy margins'!B68</f>
        <v>Total costs</v>
      </c>
      <c r="N23" s="187"/>
      <c r="O23" s="117" t="s">
        <v>601</v>
      </c>
      <c r="P23" s="692"/>
      <c r="Q23" s="691">
        <f>'Energy margins'!$K$68</f>
        <v>45.958838613333334</v>
      </c>
      <c r="R23" s="692"/>
      <c r="S23" s="691">
        <f>'Energy margins'!$R$68</f>
        <v>50.146251735751555</v>
      </c>
      <c r="T23" s="692"/>
      <c r="U23" s="691">
        <f>'Energy margins'!$Y$68</f>
        <v>65.495771777094504</v>
      </c>
      <c r="V23" s="692"/>
      <c r="W23" s="691">
        <f>'Energy margins'!$AF$68</f>
        <v>39.5670553524509</v>
      </c>
      <c r="X23" s="366"/>
    </row>
    <row r="24" spans="1:24" ht="15" customHeight="1" x14ac:dyDescent="0.3">
      <c r="A24" s="366"/>
      <c r="B24" s="718"/>
      <c r="C24" s="328" t="str">
        <f>'Arable margins'!C47</f>
        <v>Total</v>
      </c>
      <c r="D24" s="333" t="s">
        <v>599</v>
      </c>
      <c r="E24" s="349">
        <f>'Arable margins'!$E$47</f>
        <v>671.92799999999988</v>
      </c>
      <c r="F24" s="349">
        <f>'Arable margins'!$F$47</f>
        <v>468.64299999999992</v>
      </c>
      <c r="G24" s="349">
        <f>'Arable margins'!$G$47</f>
        <v>619.745</v>
      </c>
      <c r="H24" s="349">
        <f>'Arable margins'!$H$47</f>
        <v>819.30399999999986</v>
      </c>
      <c r="I24" s="349">
        <f>'Arable margins'!$I$47</f>
        <v>574.23049999999989</v>
      </c>
      <c r="J24" s="366"/>
      <c r="K24" s="366"/>
      <c r="L24" s="366"/>
      <c r="M24" s="695"/>
      <c r="N24" s="188"/>
      <c r="O24" s="351" t="s">
        <v>599</v>
      </c>
      <c r="P24" s="710">
        <f>'Energy margins'!$J$69</f>
        <v>6622.9351040000001</v>
      </c>
      <c r="Q24" s="710">
        <f>'Energy margins'!$K$69</f>
        <v>430.86411199999998</v>
      </c>
      <c r="R24" s="710">
        <f>'Energy margins'!$Q$69</f>
        <v>8543.0957440000002</v>
      </c>
      <c r="S24" s="710">
        <f>'Energy margins'!$R$69</f>
        <v>559.89857133333328</v>
      </c>
      <c r="T24" s="710">
        <f>'Energy margins'!$X$69</f>
        <v>10936.975744000001</v>
      </c>
      <c r="U24" s="710">
        <f>'Energy margins'!$Y$69</f>
        <v>705.16159133333338</v>
      </c>
      <c r="V24" s="710">
        <f>'Energy margins'!$AE$69</f>
        <v>8915.4640440000003</v>
      </c>
      <c r="W24" s="710">
        <f>'Energy margins'!$AF$69</f>
        <v>583.5316350833333</v>
      </c>
      <c r="X24" s="366"/>
    </row>
    <row r="25" spans="1:24" ht="15" customHeight="1" x14ac:dyDescent="0.3">
      <c r="A25" s="366"/>
      <c r="B25" s="323" t="s">
        <v>241</v>
      </c>
      <c r="C25" s="317" t="str">
        <f>'Arable margins'!C72</f>
        <v>Main crop</v>
      </c>
      <c r="D25" s="320" t="s">
        <v>601</v>
      </c>
      <c r="E25" s="339">
        <f>'Arable margins'!$E$72</f>
        <v>111.65568268456376</v>
      </c>
      <c r="F25" s="339">
        <f>'Arable margins'!$F$72</f>
        <v>182.75339854014595</v>
      </c>
      <c r="G25" s="339">
        <f>'Arable margins'!$G$72</f>
        <v>175.4955103030303</v>
      </c>
      <c r="H25" s="339">
        <f>'Arable margins'!$H$72</f>
        <v>15.799596957210774</v>
      </c>
      <c r="I25" s="339">
        <f>'Arable margins'!$I$72</f>
        <v>78.177707125307123</v>
      </c>
      <c r="J25" s="366"/>
      <c r="K25" s="366"/>
      <c r="L25" s="366"/>
      <c r="M25" s="707"/>
      <c r="N25" s="708"/>
      <c r="O25" s="708"/>
      <c r="P25" s="719"/>
      <c r="Q25" s="719"/>
      <c r="R25" s="719"/>
      <c r="S25" s="719"/>
      <c r="T25" s="719"/>
      <c r="U25" s="719"/>
      <c r="V25" s="719"/>
      <c r="W25" s="720"/>
      <c r="X25" s="366"/>
    </row>
    <row r="26" spans="1:24" ht="15" customHeight="1" x14ac:dyDescent="0.3">
      <c r="A26" s="366"/>
      <c r="B26" s="324"/>
      <c r="C26" s="317" t="str">
        <f>'Arable margins'!C73</f>
        <v>Straw</v>
      </c>
      <c r="D26" s="321" t="s">
        <v>601</v>
      </c>
      <c r="E26" s="340">
        <f>'Arable margins'!$E$73</f>
        <v>35.292025641025639</v>
      </c>
      <c r="F26" s="340">
        <f>'Arable margins'!$F$73</f>
        <v>39.325399999999995</v>
      </c>
      <c r="G26" s="340">
        <f>'Arable margins'!$G$73</f>
        <v>50.423478021978021</v>
      </c>
      <c r="H26" s="341"/>
      <c r="I26" s="341"/>
      <c r="J26" s="366"/>
      <c r="K26" s="366"/>
      <c r="L26" s="366"/>
      <c r="M26" s="184" t="s">
        <v>272</v>
      </c>
      <c r="N26" s="187"/>
      <c r="O26" s="117" t="s">
        <v>601</v>
      </c>
      <c r="P26" s="692"/>
      <c r="Q26" s="691">
        <f>Q27/'Energy margins'!$K$10</f>
        <v>26.041161386666676</v>
      </c>
      <c r="R26" s="692"/>
      <c r="S26" s="691">
        <f>S27/'Energy margins'!$R$10</f>
        <v>21.853748264248456</v>
      </c>
      <c r="T26" s="692"/>
      <c r="U26" s="691">
        <f>U27/'Energy margins'!$Y$10</f>
        <v>6.5042282229054935</v>
      </c>
      <c r="V26" s="692"/>
      <c r="W26" s="691">
        <f>W27/'Energy margins'!$AF$10</f>
        <v>32.432944647549114</v>
      </c>
      <c r="X26" s="366"/>
    </row>
    <row r="27" spans="1:24" ht="15" customHeight="1" x14ac:dyDescent="0.3">
      <c r="A27" s="366"/>
      <c r="B27" s="324"/>
      <c r="C27" s="314" t="str">
        <f>'Arable margins'!C74</f>
        <v>Main crop</v>
      </c>
      <c r="D27" s="322" t="s">
        <v>599</v>
      </c>
      <c r="E27" s="339">
        <f>'Arable margins'!$E$74</f>
        <v>831.834836</v>
      </c>
      <c r="F27" s="339">
        <f>'Arable margins'!$F$74</f>
        <v>751.11646799999994</v>
      </c>
      <c r="G27" s="339">
        <f>'Arable margins'!$G$74</f>
        <v>579.13518399999998</v>
      </c>
      <c r="H27" s="339">
        <f>'Arable margins'!$H$74</f>
        <v>996.95456799999988</v>
      </c>
      <c r="I27" s="339">
        <f>'Arable margins'!$I$74</f>
        <v>636.366536</v>
      </c>
      <c r="J27" s="366"/>
      <c r="K27" s="366"/>
      <c r="L27" s="366"/>
      <c r="M27" s="695"/>
      <c r="N27" s="188"/>
      <c r="O27" s="351" t="s">
        <v>599</v>
      </c>
      <c r="P27" s="721">
        <f t="shared" ref="P27:W27" si="0">P29-SUM(P13:P14)</f>
        <v>4177.0648960000008</v>
      </c>
      <c r="Q27" s="721">
        <f t="shared" si="0"/>
        <v>244.13588800000008</v>
      </c>
      <c r="R27" s="721">
        <f t="shared" si="0"/>
        <v>4319.3442559999958</v>
      </c>
      <c r="S27" s="721">
        <f t="shared" si="0"/>
        <v>244.00392866666647</v>
      </c>
      <c r="T27" s="721">
        <f t="shared" si="0"/>
        <v>1466.0562559999989</v>
      </c>
      <c r="U27" s="721">
        <f t="shared" si="0"/>
        <v>70.027908666666633</v>
      </c>
      <c r="V27" s="721">
        <f t="shared" si="0"/>
        <v>8074.1359560000064</v>
      </c>
      <c r="W27" s="721">
        <f t="shared" si="0"/>
        <v>478.31836491666712</v>
      </c>
      <c r="X27" s="366"/>
    </row>
    <row r="28" spans="1:24" ht="15" customHeight="1" x14ac:dyDescent="0.3">
      <c r="A28" s="366"/>
      <c r="B28" s="324"/>
      <c r="C28" s="315" t="str">
        <f>'Arable margins'!C75</f>
        <v>Straw</v>
      </c>
      <c r="D28" s="322" t="s">
        <v>599</v>
      </c>
      <c r="E28" s="340">
        <f>'Arable margins'!$E$75</f>
        <v>137.63889999999998</v>
      </c>
      <c r="F28" s="340">
        <f>'Arable margins'!$F$75</f>
        <v>137.63889999999998</v>
      </c>
      <c r="G28" s="340">
        <f>'Arable margins'!$G$75</f>
        <v>131.10104285714286</v>
      </c>
      <c r="H28" s="341"/>
      <c r="I28" s="341"/>
      <c r="J28" s="366"/>
      <c r="K28" s="366"/>
      <c r="L28" s="366"/>
      <c r="M28" s="184" t="s">
        <v>273</v>
      </c>
      <c r="N28" s="187"/>
      <c r="O28" s="117" t="s">
        <v>601</v>
      </c>
      <c r="P28" s="692"/>
      <c r="Q28" s="691">
        <f>'Energy margins'!$K$70</f>
        <v>44.809161386666673</v>
      </c>
      <c r="R28" s="692"/>
      <c r="S28" s="691">
        <f>'Energy margins'!$R$70</f>
        <v>37.612375709740917</v>
      </c>
      <c r="T28" s="692"/>
      <c r="U28" s="691">
        <f>'Energy margins'!$Y$70</f>
        <v>22.846554841106592</v>
      </c>
      <c r="V28" s="692"/>
      <c r="W28" s="691">
        <f>'Energy margins'!$AF$70</f>
        <v>44.363443305551648</v>
      </c>
      <c r="X28" s="366"/>
    </row>
    <row r="29" spans="1:24" ht="15" customHeight="1" x14ac:dyDescent="0.3">
      <c r="A29" s="366"/>
      <c r="B29" s="693"/>
      <c r="C29" s="328" t="str">
        <f>'Arable margins'!C76</f>
        <v>Total</v>
      </c>
      <c r="D29" s="333" t="s">
        <v>599</v>
      </c>
      <c r="E29" s="342">
        <f>'Arable margins'!$E$76</f>
        <v>969.47373599999992</v>
      </c>
      <c r="F29" s="342">
        <f>'Arable margins'!$F$76</f>
        <v>888.75536799999986</v>
      </c>
      <c r="G29" s="342">
        <f>'Arable margins'!$G$76</f>
        <v>710.23622685714281</v>
      </c>
      <c r="H29" s="342">
        <f>'Arable margins'!$H$76</f>
        <v>996.95456799999988</v>
      </c>
      <c r="I29" s="342">
        <f>'Arable margins'!$I$76</f>
        <v>636.366536</v>
      </c>
      <c r="J29" s="366"/>
      <c r="K29" s="366"/>
      <c r="L29" s="366"/>
      <c r="M29" s="695"/>
      <c r="N29" s="188"/>
      <c r="O29" s="351" t="s">
        <v>599</v>
      </c>
      <c r="P29" s="710">
        <f>'Energy margins'!$J$71</f>
        <v>6992.2648960000006</v>
      </c>
      <c r="Q29" s="710">
        <f>'Energy margins'!$K$71</f>
        <v>420.08588800000007</v>
      </c>
      <c r="R29" s="710">
        <f>'Energy margins'!$Q$71</f>
        <v>7134.5442559999956</v>
      </c>
      <c r="S29" s="710">
        <f>'Energy margins'!$R$71</f>
        <v>419.95392866666646</v>
      </c>
      <c r="T29" s="710">
        <f>'Energy margins'!$X$71</f>
        <v>4281.2562559999988</v>
      </c>
      <c r="U29" s="710">
        <f>'Energy margins'!$Y$71</f>
        <v>245.97790866666662</v>
      </c>
      <c r="V29" s="710">
        <f>'Energy margins'!$AE$71</f>
        <v>10889.335956000006</v>
      </c>
      <c r="W29" s="710">
        <f>'Energy margins'!$AF$71</f>
        <v>654.26836491666711</v>
      </c>
      <c r="X29" s="366"/>
    </row>
    <row r="30" spans="1:24" ht="15" customHeight="1" x14ac:dyDescent="0.3">
      <c r="A30" s="366"/>
      <c r="B30" s="326" t="str">
        <f>'Arable margins'!B79</f>
        <v>Total costs</v>
      </c>
      <c r="C30" s="329" t="str">
        <f>'Arable margins'!C79</f>
        <v>Main crop</v>
      </c>
      <c r="D30" s="320" t="s">
        <v>601</v>
      </c>
      <c r="E30" s="343">
        <f>'Arable margins'!$E$79</f>
        <v>199.77695785234897</v>
      </c>
      <c r="F30" s="343">
        <f>'Arable margins'!$F$79</f>
        <v>293.41045450121646</v>
      </c>
      <c r="G30" s="343">
        <f>'Arable margins'!$G$79</f>
        <v>360.18096484848485</v>
      </c>
      <c r="H30" s="343">
        <f>'Arable margins'!$H$79</f>
        <v>28.783812488114101</v>
      </c>
      <c r="I30" s="343">
        <f>'Arable margins'!$I$79</f>
        <v>148.72199459459458</v>
      </c>
      <c r="J30" s="366"/>
      <c r="K30" s="366"/>
      <c r="L30" s="366"/>
      <c r="M30" s="366"/>
      <c r="N30" s="366"/>
      <c r="O30" s="366"/>
      <c r="P30" s="366"/>
      <c r="Q30" s="366"/>
      <c r="R30" s="366"/>
      <c r="S30" s="366"/>
      <c r="T30" s="366"/>
      <c r="U30" s="366"/>
      <c r="V30" s="366"/>
      <c r="W30" s="366"/>
      <c r="X30" s="366"/>
    </row>
    <row r="31" spans="1:24" ht="15" customHeight="1" x14ac:dyDescent="0.3">
      <c r="A31" s="366"/>
      <c r="B31" s="327"/>
      <c r="C31" s="330" t="str">
        <f>'Arable margins'!C80</f>
        <v>Straw</v>
      </c>
      <c r="D31" s="321" t="s">
        <v>601</v>
      </c>
      <c r="E31" s="344">
        <f>'Arable margins'!$E$80</f>
        <v>39.247025641025637</v>
      </c>
      <c r="F31" s="344">
        <f>'Arable margins'!$F$80</f>
        <v>43.280399999999993</v>
      </c>
      <c r="G31" s="344">
        <f>'Arable margins'!$G$80</f>
        <v>54.378478021978019</v>
      </c>
      <c r="H31" s="345"/>
      <c r="I31" s="345"/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</row>
    <row r="32" spans="1:24" ht="15" customHeight="1" x14ac:dyDescent="0.3">
      <c r="A32" s="366"/>
      <c r="B32" s="327"/>
      <c r="C32" s="329" t="str">
        <f>'Arable margins'!C81</f>
        <v>Main crop</v>
      </c>
      <c r="D32" s="322" t="s">
        <v>599</v>
      </c>
      <c r="E32" s="343">
        <f>'Arable margins'!$E$81</f>
        <v>1488.3383359999998</v>
      </c>
      <c r="F32" s="343">
        <f>'Arable margins'!$F$81</f>
        <v>1205.916968</v>
      </c>
      <c r="G32" s="343">
        <f>'Arable margins'!$G$81</f>
        <v>1188.597184</v>
      </c>
      <c r="H32" s="343">
        <f>'Arable margins'!$H$81</f>
        <v>1816.2585679999997</v>
      </c>
      <c r="I32" s="343">
        <f>'Arable margins'!$I$81</f>
        <v>1210.5970359999999</v>
      </c>
      <c r="J32" s="366"/>
      <c r="K32" s="366"/>
      <c r="L32" s="366"/>
      <c r="M32" s="366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</row>
    <row r="33" spans="1:24" ht="15" customHeight="1" x14ac:dyDescent="0.3">
      <c r="A33" s="366"/>
      <c r="B33" s="327"/>
      <c r="C33" s="330" t="str">
        <f>'Arable margins'!C82</f>
        <v>Straw</v>
      </c>
      <c r="D33" s="322" t="s">
        <v>599</v>
      </c>
      <c r="E33" s="344">
        <f>'Arable margins'!$E$82</f>
        <v>153.06339999999997</v>
      </c>
      <c r="F33" s="344">
        <f>'Arable margins'!$F$82</f>
        <v>151.48139999999998</v>
      </c>
      <c r="G33" s="344">
        <f>'Arable margins'!$G$82</f>
        <v>141.38404285714284</v>
      </c>
      <c r="H33" s="319"/>
      <c r="I33" s="319"/>
      <c r="J33" s="366"/>
      <c r="K33" s="366"/>
      <c r="L33" s="366"/>
      <c r="M33" s="366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</row>
    <row r="34" spans="1:24" ht="15" customHeight="1" x14ac:dyDescent="0.3">
      <c r="A34" s="366"/>
      <c r="B34" s="331"/>
      <c r="C34" s="332" t="str">
        <f>'Arable margins'!C83</f>
        <v>Total</v>
      </c>
      <c r="D34" s="333" t="s">
        <v>599</v>
      </c>
      <c r="E34" s="346">
        <f>'Arable margins'!$E$83</f>
        <v>1641.4017359999998</v>
      </c>
      <c r="F34" s="346">
        <f>'Arable margins'!$F$83</f>
        <v>1357.3983679999997</v>
      </c>
      <c r="G34" s="346">
        <f>'Arable margins'!$G$83</f>
        <v>1329.9812268571427</v>
      </c>
      <c r="H34" s="346">
        <f>'Arable margins'!$H$83</f>
        <v>1816.2585679999997</v>
      </c>
      <c r="I34" s="346">
        <f>'Arable margins'!$I$83</f>
        <v>1210.5970359999999</v>
      </c>
      <c r="J34" s="366"/>
      <c r="K34" s="366"/>
      <c r="L34" s="366"/>
      <c r="M34" s="366"/>
      <c r="N34" s="366"/>
      <c r="O34" s="366"/>
      <c r="P34" s="366"/>
      <c r="Q34" s="366"/>
      <c r="R34" s="366"/>
      <c r="S34" s="366"/>
      <c r="T34" s="366"/>
      <c r="U34" s="366"/>
      <c r="V34" s="366"/>
      <c r="W34" s="366"/>
      <c r="X34" s="366"/>
    </row>
    <row r="35" spans="1:24" ht="15" customHeight="1" x14ac:dyDescent="0.3">
      <c r="A35" s="366"/>
      <c r="B35" s="714"/>
      <c r="C35" s="715"/>
      <c r="D35" s="716"/>
      <c r="E35" s="716"/>
      <c r="F35" s="716"/>
      <c r="G35" s="716"/>
      <c r="H35" s="716"/>
      <c r="I35" s="717"/>
      <c r="J35" s="366"/>
      <c r="K35" s="366"/>
      <c r="L35" s="366"/>
      <c r="M35" s="366"/>
      <c r="N35" s="366"/>
      <c r="O35" s="366"/>
      <c r="P35" s="366"/>
      <c r="Q35" s="366"/>
      <c r="R35" s="366"/>
      <c r="S35" s="366"/>
      <c r="T35" s="366"/>
      <c r="U35" s="366"/>
      <c r="V35" s="366"/>
      <c r="W35" s="366"/>
      <c r="X35" s="366"/>
    </row>
    <row r="36" spans="1:24" ht="15" customHeight="1" x14ac:dyDescent="0.3">
      <c r="A36" s="366"/>
      <c r="B36" s="324" t="s">
        <v>668</v>
      </c>
      <c r="C36" s="314" t="s">
        <v>2</v>
      </c>
      <c r="D36" s="320" t="s">
        <v>601</v>
      </c>
      <c r="E36" s="722">
        <f>E8-E30</f>
        <v>-6.0769578523489827</v>
      </c>
      <c r="F36" s="722">
        <f t="shared" ref="E36:I40" si="1">F8-F30</f>
        <v>-138.61045450121645</v>
      </c>
      <c r="G36" s="722">
        <f t="shared" si="1"/>
        <v>-15.080964848484825</v>
      </c>
      <c r="H36" s="722">
        <f t="shared" si="1"/>
        <v>-2.7838124881141013</v>
      </c>
      <c r="I36" s="722">
        <f t="shared" si="1"/>
        <v>34.078005405405435</v>
      </c>
      <c r="J36" s="366"/>
      <c r="K36" s="366"/>
      <c r="L36" s="366"/>
      <c r="M36" s="366"/>
      <c r="N36" s="366"/>
      <c r="O36" s="366"/>
      <c r="P36" s="366"/>
      <c r="Q36" s="366"/>
      <c r="R36" s="366"/>
      <c r="S36" s="366"/>
      <c r="T36" s="366"/>
      <c r="U36" s="366"/>
      <c r="V36" s="366"/>
      <c r="W36" s="366"/>
      <c r="X36" s="366"/>
    </row>
    <row r="37" spans="1:24" ht="15" customHeight="1" x14ac:dyDescent="0.3">
      <c r="A37" s="366"/>
      <c r="B37" s="324"/>
      <c r="C37" s="318" t="s">
        <v>3</v>
      </c>
      <c r="D37" s="321" t="s">
        <v>601</v>
      </c>
      <c r="E37" s="706">
        <f t="shared" si="1"/>
        <v>34.202974358974352</v>
      </c>
      <c r="F37" s="706">
        <f t="shared" si="1"/>
        <v>35.819600000000001</v>
      </c>
      <c r="G37" s="706">
        <f t="shared" si="1"/>
        <v>-12.003478021978026</v>
      </c>
      <c r="H37" s="706">
        <f t="shared" si="1"/>
        <v>0</v>
      </c>
      <c r="I37" s="706">
        <f t="shared" si="1"/>
        <v>0</v>
      </c>
      <c r="J37" s="366"/>
      <c r="K37" s="366"/>
      <c r="L37" s="366"/>
      <c r="M37" s="366"/>
      <c r="N37" s="366"/>
      <c r="O37" s="366"/>
      <c r="P37" s="366"/>
      <c r="Q37" s="366"/>
      <c r="R37" s="366"/>
      <c r="S37" s="366"/>
      <c r="T37" s="366"/>
      <c r="U37" s="366"/>
      <c r="V37" s="366"/>
      <c r="W37" s="366"/>
      <c r="X37" s="366"/>
    </row>
    <row r="38" spans="1:24" ht="15" customHeight="1" x14ac:dyDescent="0.3">
      <c r="A38" s="366"/>
      <c r="B38" s="324"/>
      <c r="C38" s="314" t="s">
        <v>2</v>
      </c>
      <c r="D38" s="322" t="s">
        <v>599</v>
      </c>
      <c r="E38" s="319">
        <f t="shared" si="1"/>
        <v>-45.273335999999745</v>
      </c>
      <c r="F38" s="319">
        <f t="shared" si="1"/>
        <v>-569.68896799999993</v>
      </c>
      <c r="G38" s="319">
        <f t="shared" si="1"/>
        <v>-49.767184000000043</v>
      </c>
      <c r="H38" s="319">
        <f t="shared" si="1"/>
        <v>-175.6585679999996</v>
      </c>
      <c r="I38" s="319">
        <f t="shared" si="1"/>
        <v>277.3949640000003</v>
      </c>
      <c r="J38" s="366"/>
      <c r="K38" s="366"/>
      <c r="L38" s="366"/>
      <c r="M38" s="366"/>
      <c r="N38" s="366"/>
      <c r="O38" s="366"/>
      <c r="P38" s="366"/>
      <c r="Q38" s="366"/>
      <c r="R38" s="366"/>
      <c r="S38" s="366"/>
      <c r="T38" s="366"/>
      <c r="U38" s="366"/>
      <c r="V38" s="366"/>
      <c r="W38" s="366"/>
      <c r="X38" s="366"/>
    </row>
    <row r="39" spans="1:24" ht="15" customHeight="1" x14ac:dyDescent="0.3">
      <c r="A39" s="366"/>
      <c r="B39" s="324"/>
      <c r="C39" s="315" t="s">
        <v>3</v>
      </c>
      <c r="D39" s="322" t="s">
        <v>599</v>
      </c>
      <c r="E39" s="319">
        <f t="shared" si="1"/>
        <v>133.39159999999995</v>
      </c>
      <c r="F39" s="319">
        <f t="shared" si="1"/>
        <v>125.36859999999999</v>
      </c>
      <c r="G39" s="319">
        <f t="shared" si="1"/>
        <v>-31.209042857142862</v>
      </c>
      <c r="H39" s="319">
        <f t="shared" si="1"/>
        <v>0</v>
      </c>
      <c r="I39" s="319">
        <f t="shared" si="1"/>
        <v>0</v>
      </c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366"/>
      <c r="V39" s="366"/>
      <c r="W39" s="366"/>
      <c r="X39" s="366"/>
    </row>
    <row r="40" spans="1:24" ht="15" customHeight="1" x14ac:dyDescent="0.3">
      <c r="A40" s="366"/>
      <c r="B40" s="693"/>
      <c r="C40" s="331" t="s">
        <v>12</v>
      </c>
      <c r="D40" s="333" t="s">
        <v>599</v>
      </c>
      <c r="E40" s="694">
        <f t="shared" si="1"/>
        <v>88.118264000000181</v>
      </c>
      <c r="F40" s="694">
        <f t="shared" si="1"/>
        <v>-444.32036799999969</v>
      </c>
      <c r="G40" s="694">
        <f t="shared" si="1"/>
        <v>-80.976226857142819</v>
      </c>
      <c r="H40" s="694">
        <f t="shared" si="1"/>
        <v>-175.6585679999996</v>
      </c>
      <c r="I40" s="694">
        <f>I12-I34</f>
        <v>277.3949640000003</v>
      </c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</row>
    <row r="41" spans="1:24" x14ac:dyDescent="0.3">
      <c r="A41" s="366"/>
      <c r="B41" s="324" t="s">
        <v>669</v>
      </c>
      <c r="C41" s="314" t="str">
        <f>'Arable margins'!C86</f>
        <v>Main crop</v>
      </c>
      <c r="D41" s="320" t="s">
        <v>601</v>
      </c>
      <c r="E41" s="339">
        <f>'Arable margins'!$E$86</f>
        <v>17.540491812080575</v>
      </c>
      <c r="F41" s="334">
        <f>'Arable margins'!$F$86</f>
        <v>-95.800235523114253</v>
      </c>
      <c r="G41" s="334">
        <f>'Arable margins'!$G$86</f>
        <v>38.237216969696988</v>
      </c>
      <c r="H41" s="334">
        <f>'Arable margins'!$H$86</f>
        <v>4.6185736925572485E-3</v>
      </c>
      <c r="I41" s="334">
        <f>'Arable margins'!$I$86</f>
        <v>55.693484520884567</v>
      </c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  <c r="U41" s="366"/>
      <c r="V41" s="366"/>
      <c r="W41" s="366"/>
      <c r="X41" s="366"/>
    </row>
    <row r="42" spans="1:24" x14ac:dyDescent="0.3">
      <c r="A42" s="366"/>
      <c r="B42" s="324"/>
      <c r="C42" s="318" t="str">
        <f>'Arable margins'!C87</f>
        <v>Straw</v>
      </c>
      <c r="D42" s="321" t="s">
        <v>601</v>
      </c>
      <c r="E42" s="347">
        <f>'Arable margins'!$E$87</f>
        <v>34.202974358974352</v>
      </c>
      <c r="F42" s="335">
        <f>'Arable margins'!$F$87</f>
        <v>35.819600000000001</v>
      </c>
      <c r="G42" s="335">
        <f>'Arable margins'!$G$87</f>
        <v>-12.003478021978026</v>
      </c>
      <c r="H42" s="338"/>
      <c r="I42" s="338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366"/>
      <c r="V42" s="366"/>
      <c r="W42" s="366"/>
      <c r="X42" s="366"/>
    </row>
    <row r="43" spans="1:24" x14ac:dyDescent="0.3">
      <c r="A43" s="366"/>
      <c r="B43" s="324"/>
      <c r="C43" s="314" t="str">
        <f>'Arable margins'!C88</f>
        <v>Main crop</v>
      </c>
      <c r="D43" s="322" t="s">
        <v>599</v>
      </c>
      <c r="E43" s="339">
        <f>'Arable margins'!$E$88</f>
        <v>130.6766640000003</v>
      </c>
      <c r="F43" s="334">
        <f>'Arable margins'!$F$88</f>
        <v>-393.73896799999989</v>
      </c>
      <c r="G43" s="334">
        <f>'Arable margins'!$G$88</f>
        <v>126.182816</v>
      </c>
      <c r="H43" s="334">
        <f>'Arable margins'!$H$88</f>
        <v>0.29143200000044089</v>
      </c>
      <c r="I43" s="334">
        <f>'Arable margins'!$I$88</f>
        <v>453.34496400000035</v>
      </c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</row>
    <row r="44" spans="1:24" x14ac:dyDescent="0.3">
      <c r="A44" s="366"/>
      <c r="B44" s="324"/>
      <c r="C44" s="315" t="str">
        <f>'Arable margins'!C89</f>
        <v>Straw</v>
      </c>
      <c r="D44" s="322" t="s">
        <v>599</v>
      </c>
      <c r="E44" s="340">
        <f>'Arable margins'!$E$89</f>
        <v>133.39159999999995</v>
      </c>
      <c r="F44" s="336">
        <f>'Arable margins'!$F$89</f>
        <v>125.36859999999999</v>
      </c>
      <c r="G44" s="336">
        <f>'Arable margins'!$G$89</f>
        <v>-31.209042857142862</v>
      </c>
      <c r="H44" s="337"/>
      <c r="I44" s="337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</row>
    <row r="45" spans="1:24" x14ac:dyDescent="0.3">
      <c r="A45" s="366"/>
      <c r="B45" s="693"/>
      <c r="C45" s="328" t="str">
        <f>'Arable margins'!C90</f>
        <v>Total</v>
      </c>
      <c r="D45" s="333" t="s">
        <v>599</v>
      </c>
      <c r="E45" s="342">
        <f>'Arable margins'!$E$90</f>
        <v>264.06826400000023</v>
      </c>
      <c r="F45" s="348">
        <f>'Arable margins'!$F$90</f>
        <v>-268.37036799999964</v>
      </c>
      <c r="G45" s="348">
        <f>'Arable margins'!$G$90</f>
        <v>94.973773142857226</v>
      </c>
      <c r="H45" s="348">
        <f>'Arable margins'!$H$90</f>
        <v>0.29143200000044089</v>
      </c>
      <c r="I45" s="348">
        <f>'Arable margins'!$I$90</f>
        <v>453.34496400000035</v>
      </c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</row>
    <row r="46" spans="1:24" x14ac:dyDescent="0.3">
      <c r="A46" s="366"/>
      <c r="B46" s="366"/>
      <c r="C46" s="366"/>
      <c r="D46" s="366"/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</row>
    <row r="47" spans="1:24" x14ac:dyDescent="0.3">
      <c r="A47" s="366"/>
      <c r="B47" s="366"/>
      <c r="C47" s="366"/>
      <c r="D47" s="366"/>
      <c r="E47" s="366"/>
      <c r="F47" s="366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</row>
    <row r="48" spans="1:24" x14ac:dyDescent="0.3">
      <c r="A48" s="366"/>
      <c r="B48" s="723"/>
      <c r="C48" s="367" t="s">
        <v>346</v>
      </c>
      <c r="D48" s="466"/>
      <c r="E48" s="366"/>
      <c r="F48" s="366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</row>
    <row r="49" spans="1:24" x14ac:dyDescent="0.3">
      <c r="A49" s="366"/>
      <c r="B49" s="724"/>
      <c r="C49" s="367" t="s">
        <v>347</v>
      </c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</row>
    <row r="50" spans="1:24" x14ac:dyDescent="0.3">
      <c r="A50" s="366"/>
      <c r="B50" s="366"/>
      <c r="C50" s="366"/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</row>
    <row r="51" spans="1:24" x14ac:dyDescent="0.3">
      <c r="A51" s="366"/>
      <c r="B51" s="366"/>
      <c r="C51" s="366"/>
      <c r="D51" s="366"/>
      <c r="E51" s="366"/>
      <c r="F51" s="366"/>
      <c r="G51" s="366"/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</row>
  </sheetData>
  <mergeCells count="8">
    <mergeCell ref="U8:U10"/>
    <mergeCell ref="V8:V10"/>
    <mergeCell ref="W8:W10"/>
    <mergeCell ref="P8:P10"/>
    <mergeCell ref="Q8:Q10"/>
    <mergeCell ref="R8:R10"/>
    <mergeCell ref="S8:S10"/>
    <mergeCell ref="T8:T1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158"/>
  <sheetViews>
    <sheetView topLeftCell="A127" workbookViewId="0">
      <selection activeCell="K161" sqref="K161"/>
    </sheetView>
  </sheetViews>
  <sheetFormatPr defaultColWidth="9" defaultRowHeight="14" x14ac:dyDescent="0.3"/>
  <cols>
    <col min="1" max="1" width="13.75" customWidth="1"/>
    <col min="2" max="2" width="9" customWidth="1"/>
  </cols>
  <sheetData>
    <row r="2" spans="2:20" ht="14.5" thickBot="1" x14ac:dyDescent="0.35"/>
    <row r="3" spans="2:20" ht="14.5" thickBot="1" x14ac:dyDescent="0.35">
      <c r="B3" s="352" t="s">
        <v>441</v>
      </c>
      <c r="C3" s="200"/>
    </row>
    <row r="6" spans="2:20" x14ac:dyDescent="0.3">
      <c r="B6" s="86" t="s">
        <v>297</v>
      </c>
      <c r="C6" s="770">
        <f>'Arable Inputs'!D9</f>
        <v>0.04</v>
      </c>
    </row>
    <row r="7" spans="2:20" x14ac:dyDescent="0.3">
      <c r="B7" s="24"/>
      <c r="C7" s="24"/>
    </row>
    <row r="9" spans="2:20" x14ac:dyDescent="0.3">
      <c r="B9" s="211" t="s">
        <v>4</v>
      </c>
      <c r="C9" s="194"/>
      <c r="D9" s="193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</row>
    <row r="10" spans="2:20" x14ac:dyDescent="0.3">
      <c r="B10" s="203"/>
      <c r="C10" s="1086"/>
      <c r="D10" s="1086"/>
      <c r="E10" s="1086"/>
      <c r="F10" s="148"/>
      <c r="G10" s="1086"/>
      <c r="H10" s="1086"/>
      <c r="I10" s="148"/>
      <c r="J10" s="148"/>
      <c r="K10" s="1087" t="s">
        <v>275</v>
      </c>
      <c r="L10" s="1088"/>
      <c r="M10" s="1088"/>
      <c r="N10" s="1088"/>
      <c r="O10" s="1089"/>
      <c r="P10" s="1087" t="s">
        <v>276</v>
      </c>
      <c r="Q10" s="1088"/>
      <c r="R10" s="1088"/>
      <c r="S10" s="1088"/>
      <c r="T10" s="1089"/>
    </row>
    <row r="11" spans="2:20" ht="51" x14ac:dyDescent="0.3">
      <c r="B11" s="204" t="s">
        <v>277</v>
      </c>
      <c r="C11" s="171" t="s">
        <v>279</v>
      </c>
      <c r="D11" s="171" t="s">
        <v>10</v>
      </c>
      <c r="E11" s="171" t="s">
        <v>280</v>
      </c>
      <c r="F11" s="205" t="s">
        <v>296</v>
      </c>
      <c r="G11" s="171" t="s">
        <v>282</v>
      </c>
      <c r="H11" s="171" t="s">
        <v>283</v>
      </c>
      <c r="I11" s="171" t="s">
        <v>284</v>
      </c>
      <c r="J11" s="171" t="s">
        <v>285</v>
      </c>
      <c r="K11" s="195" t="s">
        <v>286</v>
      </c>
      <c r="L11" s="171" t="s">
        <v>287</v>
      </c>
      <c r="M11" s="171" t="s">
        <v>308</v>
      </c>
      <c r="N11" s="171" t="s">
        <v>289</v>
      </c>
      <c r="O11" s="198" t="s">
        <v>290</v>
      </c>
      <c r="P11" s="195" t="s">
        <v>291</v>
      </c>
      <c r="Q11" s="171" t="s">
        <v>292</v>
      </c>
      <c r="R11" s="171" t="s">
        <v>309</v>
      </c>
      <c r="S11" s="171" t="s">
        <v>294</v>
      </c>
      <c r="T11" s="198" t="s">
        <v>295</v>
      </c>
    </row>
    <row r="12" spans="2:20" x14ac:dyDescent="0.3">
      <c r="B12" s="173"/>
      <c r="C12" s="201" t="s">
        <v>442</v>
      </c>
      <c r="D12" s="201" t="s">
        <v>442</v>
      </c>
      <c r="E12" s="201" t="s">
        <v>442</v>
      </c>
      <c r="F12" s="201" t="s">
        <v>442</v>
      </c>
      <c r="G12" s="201" t="s">
        <v>442</v>
      </c>
      <c r="H12" s="201" t="s">
        <v>442</v>
      </c>
      <c r="I12" s="201" t="s">
        <v>442</v>
      </c>
      <c r="J12" s="202" t="s">
        <v>440</v>
      </c>
      <c r="K12" s="201" t="s">
        <v>442</v>
      </c>
      <c r="L12" s="201" t="s">
        <v>442</v>
      </c>
      <c r="M12" s="201" t="s">
        <v>442</v>
      </c>
      <c r="N12" s="201" t="s">
        <v>442</v>
      </c>
      <c r="O12" s="202" t="s">
        <v>442</v>
      </c>
      <c r="P12" s="201" t="s">
        <v>442</v>
      </c>
      <c r="Q12" s="201" t="s">
        <v>442</v>
      </c>
      <c r="R12" s="201" t="s">
        <v>442</v>
      </c>
      <c r="S12" s="201" t="s">
        <v>442</v>
      </c>
      <c r="T12" s="202" t="s">
        <v>442</v>
      </c>
    </row>
    <row r="13" spans="2:20" x14ac:dyDescent="0.3">
      <c r="B13" s="728">
        <v>1</v>
      </c>
      <c r="C13" s="197">
        <f>'Margins summary'!$E$12</f>
        <v>1729.52</v>
      </c>
      <c r="D13" s="197">
        <f>'Margins summary'!$E$13</f>
        <v>175.95</v>
      </c>
      <c r="E13" s="197">
        <f>'Margins summary'!$E$18</f>
        <v>1905.47</v>
      </c>
      <c r="F13" s="197">
        <f>'Margins summary'!$E$24</f>
        <v>671.92799999999988</v>
      </c>
      <c r="G13" s="197">
        <f>'Margins summary'!$E$29</f>
        <v>969.47373599999992</v>
      </c>
      <c r="H13" s="197">
        <f>F13+G13</f>
        <v>1641.4017359999998</v>
      </c>
      <c r="I13" s="197">
        <f>C13-H13</f>
        <v>88.118264000000181</v>
      </c>
      <c r="J13" s="197">
        <f t="shared" ref="J13:J28" si="0">E13-H13</f>
        <v>264.06826400000023</v>
      </c>
      <c r="K13" s="973">
        <f>C13/(1+$C$6)^($B13-1)</f>
        <v>1729.52</v>
      </c>
      <c r="L13" s="974">
        <f>D13/(1+$C$6)^($B13-1)</f>
        <v>175.95</v>
      </c>
      <c r="M13" s="974">
        <f>H13/(1+$C$6)^($B13-1)</f>
        <v>1641.4017359999998</v>
      </c>
      <c r="N13" s="974">
        <f>K13-M13</f>
        <v>88.118264000000181</v>
      </c>
      <c r="O13" s="975">
        <f>N13+L13</f>
        <v>264.06826400000017</v>
      </c>
      <c r="P13" s="973">
        <f>K13</f>
        <v>1729.52</v>
      </c>
      <c r="Q13" s="974">
        <f>L13</f>
        <v>175.95</v>
      </c>
      <c r="R13" s="974">
        <f>M13</f>
        <v>1641.4017359999998</v>
      </c>
      <c r="S13" s="974">
        <f>N13</f>
        <v>88.118264000000181</v>
      </c>
      <c r="T13" s="975">
        <f>O13</f>
        <v>264.06826400000017</v>
      </c>
    </row>
    <row r="14" spans="2:20" x14ac:dyDescent="0.3">
      <c r="B14" s="420">
        <v>2</v>
      </c>
      <c r="C14" s="197">
        <f>'Margins summary'!$E$12</f>
        <v>1729.52</v>
      </c>
      <c r="D14" s="197">
        <f>'Margins summary'!$E$13</f>
        <v>175.95</v>
      </c>
      <c r="E14" s="197">
        <f>'Margins summary'!$E$18</f>
        <v>1905.47</v>
      </c>
      <c r="F14" s="197">
        <f>'Margins summary'!$E$24</f>
        <v>671.92799999999988</v>
      </c>
      <c r="G14" s="197">
        <f>'Margins summary'!$E$29</f>
        <v>969.47373599999992</v>
      </c>
      <c r="H14" s="197">
        <f t="shared" ref="H14:H28" si="1">F14+G14</f>
        <v>1641.4017359999998</v>
      </c>
      <c r="I14" s="197">
        <f t="shared" ref="I14:I28" si="2">C14-H14</f>
        <v>88.118264000000181</v>
      </c>
      <c r="J14" s="197">
        <f t="shared" si="0"/>
        <v>264.06826400000023</v>
      </c>
      <c r="K14" s="973">
        <f t="shared" ref="K14:K28" si="3">C14/(1+$C$6)^($B14-1)</f>
        <v>1663</v>
      </c>
      <c r="L14" s="974">
        <f t="shared" ref="L14:L28" si="4">D14/(1+$C$6)^($B14-1)</f>
        <v>169.18269230769229</v>
      </c>
      <c r="M14" s="974">
        <f t="shared" ref="M14:M28" si="5">H14/(1+$C$6)^($B14-1)</f>
        <v>1578.2708999999998</v>
      </c>
      <c r="N14" s="974">
        <f t="shared" ref="N14:N28" si="6">K14-M14</f>
        <v>84.729100000000244</v>
      </c>
      <c r="O14" s="975">
        <f t="shared" ref="O14:O28" si="7">N14+L14</f>
        <v>253.91179230769254</v>
      </c>
      <c r="P14" s="973">
        <f>P13+K14</f>
        <v>3392.52</v>
      </c>
      <c r="Q14" s="974">
        <f t="shared" ref="Q14:T28" si="8">Q13+L14</f>
        <v>345.13269230769231</v>
      </c>
      <c r="R14" s="974">
        <f t="shared" si="8"/>
        <v>3219.6726359999993</v>
      </c>
      <c r="S14" s="974">
        <f t="shared" si="8"/>
        <v>172.84736400000043</v>
      </c>
      <c r="T14" s="975">
        <f t="shared" si="8"/>
        <v>517.98005630769273</v>
      </c>
    </row>
    <row r="15" spans="2:20" x14ac:dyDescent="0.3">
      <c r="B15" s="420">
        <v>3</v>
      </c>
      <c r="C15" s="197">
        <f>'Margins summary'!$E$12</f>
        <v>1729.52</v>
      </c>
      <c r="D15" s="197">
        <f>'Margins summary'!$E$13</f>
        <v>175.95</v>
      </c>
      <c r="E15" s="197">
        <f>'Margins summary'!$E$18</f>
        <v>1905.47</v>
      </c>
      <c r="F15" s="197">
        <f>'Margins summary'!$E$24</f>
        <v>671.92799999999988</v>
      </c>
      <c r="G15" s="197">
        <f>'Margins summary'!$E$29</f>
        <v>969.47373599999992</v>
      </c>
      <c r="H15" s="197">
        <f t="shared" si="1"/>
        <v>1641.4017359999998</v>
      </c>
      <c r="I15" s="197">
        <f t="shared" si="2"/>
        <v>88.118264000000181</v>
      </c>
      <c r="J15" s="197">
        <f t="shared" si="0"/>
        <v>264.06826400000023</v>
      </c>
      <c r="K15" s="973">
        <f t="shared" si="3"/>
        <v>1599.0384615384614</v>
      </c>
      <c r="L15" s="974">
        <f t="shared" si="4"/>
        <v>162.67566568047334</v>
      </c>
      <c r="M15" s="974">
        <f t="shared" si="5"/>
        <v>1517.5681730769227</v>
      </c>
      <c r="N15" s="974">
        <f t="shared" si="6"/>
        <v>81.470288461538757</v>
      </c>
      <c r="O15" s="975">
        <f t="shared" si="7"/>
        <v>244.1459541420121</v>
      </c>
      <c r="P15" s="973">
        <f t="shared" ref="P15:P28" si="9">P14+K15</f>
        <v>4991.5584615384614</v>
      </c>
      <c r="Q15" s="974">
        <f t="shared" si="8"/>
        <v>507.80835798816565</v>
      </c>
      <c r="R15" s="974">
        <f t="shared" si="8"/>
        <v>4737.2408090769222</v>
      </c>
      <c r="S15" s="974">
        <f t="shared" si="8"/>
        <v>254.31765246153918</v>
      </c>
      <c r="T15" s="975">
        <f t="shared" si="8"/>
        <v>762.12601044970484</v>
      </c>
    </row>
    <row r="16" spans="2:20" x14ac:dyDescent="0.3">
      <c r="B16" s="420">
        <v>4</v>
      </c>
      <c r="C16" s="197">
        <f>'Margins summary'!$E$12</f>
        <v>1729.52</v>
      </c>
      <c r="D16" s="197">
        <f>'Margins summary'!$E$13</f>
        <v>175.95</v>
      </c>
      <c r="E16" s="197">
        <f>'Margins summary'!$E$18</f>
        <v>1905.47</v>
      </c>
      <c r="F16" s="197">
        <f>'Margins summary'!$E$24</f>
        <v>671.92799999999988</v>
      </c>
      <c r="G16" s="197">
        <f>'Margins summary'!$E$29</f>
        <v>969.47373599999992</v>
      </c>
      <c r="H16" s="197">
        <f t="shared" si="1"/>
        <v>1641.4017359999998</v>
      </c>
      <c r="I16" s="197">
        <f t="shared" si="2"/>
        <v>88.118264000000181</v>
      </c>
      <c r="J16" s="197">
        <f t="shared" si="0"/>
        <v>264.06826400000023</v>
      </c>
      <c r="K16" s="973">
        <f t="shared" si="3"/>
        <v>1537.5369822485206</v>
      </c>
      <c r="L16" s="974">
        <f t="shared" si="4"/>
        <v>156.41890930814745</v>
      </c>
      <c r="M16" s="974">
        <f t="shared" si="5"/>
        <v>1459.200166420118</v>
      </c>
      <c r="N16" s="974">
        <f t="shared" si="6"/>
        <v>78.336815828402678</v>
      </c>
      <c r="O16" s="975">
        <f t="shared" si="7"/>
        <v>234.75572513655013</v>
      </c>
      <c r="P16" s="973">
        <f t="shared" si="9"/>
        <v>6529.0954437869823</v>
      </c>
      <c r="Q16" s="974">
        <f t="shared" si="8"/>
        <v>664.22726729631313</v>
      </c>
      <c r="R16" s="974">
        <f t="shared" si="8"/>
        <v>6196.4409754970402</v>
      </c>
      <c r="S16" s="974">
        <f t="shared" si="8"/>
        <v>332.65446828994186</v>
      </c>
      <c r="T16" s="975">
        <f t="shared" si="8"/>
        <v>996.88173558625499</v>
      </c>
    </row>
    <row r="17" spans="2:20" x14ac:dyDescent="0.3">
      <c r="B17" s="420">
        <v>5</v>
      </c>
      <c r="C17" s="197">
        <f>'Margins summary'!$E$12</f>
        <v>1729.52</v>
      </c>
      <c r="D17" s="197">
        <f>'Margins summary'!$E$13</f>
        <v>175.95</v>
      </c>
      <c r="E17" s="197">
        <f>'Margins summary'!$E$18</f>
        <v>1905.47</v>
      </c>
      <c r="F17" s="197">
        <f>'Margins summary'!$E$24</f>
        <v>671.92799999999988</v>
      </c>
      <c r="G17" s="197">
        <f>'Margins summary'!$E$29</f>
        <v>969.47373599999992</v>
      </c>
      <c r="H17" s="197">
        <f t="shared" si="1"/>
        <v>1641.4017359999998</v>
      </c>
      <c r="I17" s="197">
        <f t="shared" si="2"/>
        <v>88.118264000000181</v>
      </c>
      <c r="J17" s="197">
        <f t="shared" si="0"/>
        <v>264.06826400000023</v>
      </c>
      <c r="K17" s="973">
        <f t="shared" si="3"/>
        <v>1478.4009444697313</v>
      </c>
      <c r="L17" s="974">
        <f t="shared" si="4"/>
        <v>150.40279741168024</v>
      </c>
      <c r="M17" s="974">
        <f t="shared" si="5"/>
        <v>1403.0770830962672</v>
      </c>
      <c r="N17" s="974">
        <f t="shared" si="6"/>
        <v>75.323861373464069</v>
      </c>
      <c r="O17" s="975">
        <f t="shared" si="7"/>
        <v>225.72665878514431</v>
      </c>
      <c r="P17" s="973">
        <f t="shared" si="9"/>
        <v>8007.4963882567135</v>
      </c>
      <c r="Q17" s="974">
        <f t="shared" si="8"/>
        <v>814.63006470799337</v>
      </c>
      <c r="R17" s="974">
        <f t="shared" si="8"/>
        <v>7599.5180585933076</v>
      </c>
      <c r="S17" s="974">
        <f t="shared" si="8"/>
        <v>407.97832966340593</v>
      </c>
      <c r="T17" s="975">
        <f t="shared" si="8"/>
        <v>1222.6083943713993</v>
      </c>
    </row>
    <row r="18" spans="2:20" x14ac:dyDescent="0.3">
      <c r="B18" s="420">
        <v>6</v>
      </c>
      <c r="C18" s="197">
        <f>'Margins summary'!$E$12</f>
        <v>1729.52</v>
      </c>
      <c r="D18" s="197">
        <f>'Margins summary'!$E$13</f>
        <v>175.95</v>
      </c>
      <c r="E18" s="197">
        <f>'Margins summary'!$E$18</f>
        <v>1905.47</v>
      </c>
      <c r="F18" s="197">
        <f>'Margins summary'!$E$24</f>
        <v>671.92799999999988</v>
      </c>
      <c r="G18" s="197">
        <f>'Margins summary'!$E$29</f>
        <v>969.47373599999992</v>
      </c>
      <c r="H18" s="197">
        <f t="shared" si="1"/>
        <v>1641.4017359999998</v>
      </c>
      <c r="I18" s="197">
        <f t="shared" si="2"/>
        <v>88.118264000000181</v>
      </c>
      <c r="J18" s="197">
        <f t="shared" si="0"/>
        <v>264.06826400000023</v>
      </c>
      <c r="K18" s="973">
        <f t="shared" si="3"/>
        <v>1421.5393696824337</v>
      </c>
      <c r="L18" s="974">
        <f t="shared" si="4"/>
        <v>144.61807443430789</v>
      </c>
      <c r="M18" s="974">
        <f t="shared" si="5"/>
        <v>1349.1125799002568</v>
      </c>
      <c r="N18" s="974">
        <f t="shared" si="6"/>
        <v>72.426789782176911</v>
      </c>
      <c r="O18" s="975">
        <f t="shared" si="7"/>
        <v>217.0448642164848</v>
      </c>
      <c r="P18" s="973">
        <f t="shared" si="9"/>
        <v>9429.0357579391475</v>
      </c>
      <c r="Q18" s="974">
        <f t="shared" si="8"/>
        <v>959.24813914230128</v>
      </c>
      <c r="R18" s="974">
        <f t="shared" si="8"/>
        <v>8948.6306384935651</v>
      </c>
      <c r="S18" s="974">
        <f t="shared" si="8"/>
        <v>480.40511944558284</v>
      </c>
      <c r="T18" s="975">
        <f t="shared" si="8"/>
        <v>1439.653258587884</v>
      </c>
    </row>
    <row r="19" spans="2:20" x14ac:dyDescent="0.3">
      <c r="B19" s="420">
        <v>7</v>
      </c>
      <c r="C19" s="197">
        <f>'Margins summary'!$E$12</f>
        <v>1729.52</v>
      </c>
      <c r="D19" s="197">
        <f>'Margins summary'!$E$13</f>
        <v>175.95</v>
      </c>
      <c r="E19" s="197">
        <f>'Margins summary'!$E$18</f>
        <v>1905.47</v>
      </c>
      <c r="F19" s="197">
        <f>'Margins summary'!$E$24</f>
        <v>671.92799999999988</v>
      </c>
      <c r="G19" s="197">
        <f>'Margins summary'!$E$29</f>
        <v>969.47373599999992</v>
      </c>
      <c r="H19" s="197">
        <f t="shared" si="1"/>
        <v>1641.4017359999998</v>
      </c>
      <c r="I19" s="197">
        <f t="shared" si="2"/>
        <v>88.118264000000181</v>
      </c>
      <c r="J19" s="197">
        <f t="shared" si="0"/>
        <v>264.06826400000023</v>
      </c>
      <c r="K19" s="973">
        <f t="shared" si="3"/>
        <v>1366.8647785408016</v>
      </c>
      <c r="L19" s="974">
        <f t="shared" si="4"/>
        <v>139.05584080221914</v>
      </c>
      <c r="M19" s="974">
        <f t="shared" si="5"/>
        <v>1297.2236345194776</v>
      </c>
      <c r="N19" s="974">
        <f t="shared" si="6"/>
        <v>69.641144021323953</v>
      </c>
      <c r="O19" s="975">
        <f t="shared" si="7"/>
        <v>208.69698482354309</v>
      </c>
      <c r="P19" s="973">
        <f t="shared" si="9"/>
        <v>10795.900536479949</v>
      </c>
      <c r="Q19" s="974">
        <f t="shared" si="8"/>
        <v>1098.3039799445205</v>
      </c>
      <c r="R19" s="974">
        <f t="shared" si="8"/>
        <v>10245.854273013043</v>
      </c>
      <c r="S19" s="974">
        <f t="shared" si="8"/>
        <v>550.04626346690679</v>
      </c>
      <c r="T19" s="975">
        <f t="shared" si="8"/>
        <v>1648.3502434114271</v>
      </c>
    </row>
    <row r="20" spans="2:20" x14ac:dyDescent="0.3">
      <c r="B20" s="420">
        <v>8</v>
      </c>
      <c r="C20" s="197">
        <f>'Margins summary'!$E$12</f>
        <v>1729.52</v>
      </c>
      <c r="D20" s="197">
        <f>'Margins summary'!$E$13</f>
        <v>175.95</v>
      </c>
      <c r="E20" s="197">
        <f>'Margins summary'!$E$18</f>
        <v>1905.47</v>
      </c>
      <c r="F20" s="197">
        <f>'Margins summary'!$E$24</f>
        <v>671.92799999999988</v>
      </c>
      <c r="G20" s="197">
        <f>'Margins summary'!$E$29</f>
        <v>969.47373599999992</v>
      </c>
      <c r="H20" s="197">
        <f t="shared" si="1"/>
        <v>1641.4017359999998</v>
      </c>
      <c r="I20" s="197">
        <f t="shared" si="2"/>
        <v>88.118264000000181</v>
      </c>
      <c r="J20" s="197">
        <f t="shared" si="0"/>
        <v>264.06826400000023</v>
      </c>
      <c r="K20" s="973">
        <f t="shared" si="3"/>
        <v>1314.2930562892325</v>
      </c>
      <c r="L20" s="974">
        <f t="shared" si="4"/>
        <v>133.70753923290303</v>
      </c>
      <c r="M20" s="974">
        <f t="shared" si="5"/>
        <v>1247.3304178071901</v>
      </c>
      <c r="N20" s="974">
        <f t="shared" si="6"/>
        <v>66.962638482042394</v>
      </c>
      <c r="O20" s="975">
        <f t="shared" si="7"/>
        <v>200.67017771494542</v>
      </c>
      <c r="P20" s="973">
        <f t="shared" si="9"/>
        <v>12110.193592769181</v>
      </c>
      <c r="Q20" s="974">
        <f t="shared" si="8"/>
        <v>1232.0115191774235</v>
      </c>
      <c r="R20" s="974">
        <f t="shared" si="8"/>
        <v>11493.184690820233</v>
      </c>
      <c r="S20" s="974">
        <f t="shared" si="8"/>
        <v>617.00890194894919</v>
      </c>
      <c r="T20" s="975">
        <f t="shared" si="8"/>
        <v>1849.0204211263724</v>
      </c>
    </row>
    <row r="21" spans="2:20" x14ac:dyDescent="0.3">
      <c r="B21" s="420">
        <v>9</v>
      </c>
      <c r="C21" s="197">
        <f>'Margins summary'!$E$12</f>
        <v>1729.52</v>
      </c>
      <c r="D21" s="197">
        <f>'Margins summary'!$E$13</f>
        <v>175.95</v>
      </c>
      <c r="E21" s="197">
        <f>'Margins summary'!$E$18</f>
        <v>1905.47</v>
      </c>
      <c r="F21" s="197">
        <f>'Margins summary'!$E$24</f>
        <v>671.92799999999988</v>
      </c>
      <c r="G21" s="197">
        <f>'Margins summary'!$E$29</f>
        <v>969.47373599999992</v>
      </c>
      <c r="H21" s="197">
        <f t="shared" si="1"/>
        <v>1641.4017359999998</v>
      </c>
      <c r="I21" s="197">
        <f t="shared" si="2"/>
        <v>88.118264000000181</v>
      </c>
      <c r="J21" s="197">
        <f t="shared" si="0"/>
        <v>264.06826400000023</v>
      </c>
      <c r="K21" s="973">
        <f t="shared" si="3"/>
        <v>1263.743323355031</v>
      </c>
      <c r="L21" s="974">
        <f t="shared" si="4"/>
        <v>128.56494157009902</v>
      </c>
      <c r="M21" s="974">
        <f t="shared" si="5"/>
        <v>1199.3561709684518</v>
      </c>
      <c r="N21" s="974">
        <f t="shared" si="6"/>
        <v>64.387152386579146</v>
      </c>
      <c r="O21" s="975">
        <f t="shared" si="7"/>
        <v>192.95209395667817</v>
      </c>
      <c r="P21" s="973">
        <f t="shared" si="9"/>
        <v>13373.936916124212</v>
      </c>
      <c r="Q21" s="974">
        <f t="shared" si="8"/>
        <v>1360.5764607475226</v>
      </c>
      <c r="R21" s="974">
        <f t="shared" si="8"/>
        <v>12692.540861788686</v>
      </c>
      <c r="S21" s="974">
        <f t="shared" si="8"/>
        <v>681.39605433552833</v>
      </c>
      <c r="T21" s="975">
        <f t="shared" si="8"/>
        <v>2041.9725150830507</v>
      </c>
    </row>
    <row r="22" spans="2:20" x14ac:dyDescent="0.3">
      <c r="B22" s="420">
        <v>10</v>
      </c>
      <c r="C22" s="197">
        <f>'Margins summary'!$E$12</f>
        <v>1729.52</v>
      </c>
      <c r="D22" s="197">
        <f>'Margins summary'!$E$13</f>
        <v>175.95</v>
      </c>
      <c r="E22" s="197">
        <f>'Margins summary'!$E$18</f>
        <v>1905.47</v>
      </c>
      <c r="F22" s="197">
        <f>'Margins summary'!$E$24</f>
        <v>671.92799999999988</v>
      </c>
      <c r="G22" s="197">
        <f>'Margins summary'!$E$29</f>
        <v>969.47373599999992</v>
      </c>
      <c r="H22" s="197">
        <f t="shared" si="1"/>
        <v>1641.4017359999998</v>
      </c>
      <c r="I22" s="197">
        <f t="shared" si="2"/>
        <v>88.118264000000181</v>
      </c>
      <c r="J22" s="197">
        <f t="shared" si="0"/>
        <v>264.06826400000023</v>
      </c>
      <c r="K22" s="973">
        <f t="shared" si="3"/>
        <v>1215.137810918299</v>
      </c>
      <c r="L22" s="974">
        <f t="shared" si="4"/>
        <v>123.62013612509521</v>
      </c>
      <c r="M22" s="974">
        <f t="shared" si="5"/>
        <v>1153.2270874696651</v>
      </c>
      <c r="N22" s="974">
        <f t="shared" si="6"/>
        <v>61.910723448633917</v>
      </c>
      <c r="O22" s="975">
        <f t="shared" si="7"/>
        <v>185.53085957372912</v>
      </c>
      <c r="P22" s="973">
        <f t="shared" si="9"/>
        <v>14589.074727042511</v>
      </c>
      <c r="Q22" s="974">
        <f t="shared" si="8"/>
        <v>1484.1965968726179</v>
      </c>
      <c r="R22" s="974">
        <f t="shared" si="8"/>
        <v>13845.767949258352</v>
      </c>
      <c r="S22" s="974">
        <f t="shared" si="8"/>
        <v>743.30677778416225</v>
      </c>
      <c r="T22" s="975">
        <f t="shared" si="8"/>
        <v>2227.5033746567797</v>
      </c>
    </row>
    <row r="23" spans="2:20" x14ac:dyDescent="0.3">
      <c r="B23" s="420">
        <v>11</v>
      </c>
      <c r="C23" s="197">
        <f>'Margins summary'!$E$12</f>
        <v>1729.52</v>
      </c>
      <c r="D23" s="197">
        <f>'Margins summary'!$E$13</f>
        <v>175.95</v>
      </c>
      <c r="E23" s="197">
        <f>'Margins summary'!$E$18</f>
        <v>1905.47</v>
      </c>
      <c r="F23" s="197">
        <f>'Margins summary'!$E$24</f>
        <v>671.92799999999988</v>
      </c>
      <c r="G23" s="197">
        <f>'Margins summary'!$E$29</f>
        <v>969.47373599999992</v>
      </c>
      <c r="H23" s="197">
        <f t="shared" si="1"/>
        <v>1641.4017359999998</v>
      </c>
      <c r="I23" s="197">
        <f t="shared" si="2"/>
        <v>88.118264000000181</v>
      </c>
      <c r="J23" s="197">
        <f t="shared" si="0"/>
        <v>264.06826400000023</v>
      </c>
      <c r="K23" s="973">
        <f t="shared" si="3"/>
        <v>1168.4017412675951</v>
      </c>
      <c r="L23" s="974">
        <f t="shared" si="4"/>
        <v>118.86551550489925</v>
      </c>
      <c r="M23" s="974">
        <f t="shared" si="5"/>
        <v>1108.8721994900627</v>
      </c>
      <c r="N23" s="974">
        <f t="shared" si="6"/>
        <v>59.529541777532359</v>
      </c>
      <c r="O23" s="975">
        <f t="shared" si="7"/>
        <v>178.39505728243159</v>
      </c>
      <c r="P23" s="973">
        <f t="shared" si="9"/>
        <v>15757.476468310106</v>
      </c>
      <c r="Q23" s="974">
        <f t="shared" si="8"/>
        <v>1603.0621123775172</v>
      </c>
      <c r="R23" s="974">
        <f t="shared" si="8"/>
        <v>14954.640148748415</v>
      </c>
      <c r="S23" s="974">
        <f t="shared" si="8"/>
        <v>802.83631956169461</v>
      </c>
      <c r="T23" s="975">
        <f t="shared" si="8"/>
        <v>2405.8984319392112</v>
      </c>
    </row>
    <row r="24" spans="2:20" x14ac:dyDescent="0.3">
      <c r="B24" s="420">
        <v>12</v>
      </c>
      <c r="C24" s="197">
        <f>'Margins summary'!$E$12</f>
        <v>1729.52</v>
      </c>
      <c r="D24" s="197">
        <f>'Margins summary'!$E$13</f>
        <v>175.95</v>
      </c>
      <c r="E24" s="197">
        <f>'Margins summary'!$E$18</f>
        <v>1905.47</v>
      </c>
      <c r="F24" s="197">
        <f>'Margins summary'!$E$24</f>
        <v>671.92799999999988</v>
      </c>
      <c r="G24" s="197">
        <f>'Margins summary'!$E$29</f>
        <v>969.47373599999992</v>
      </c>
      <c r="H24" s="197">
        <f t="shared" si="1"/>
        <v>1641.4017359999998</v>
      </c>
      <c r="I24" s="197">
        <f t="shared" si="2"/>
        <v>88.118264000000181</v>
      </c>
      <c r="J24" s="197">
        <f t="shared" si="0"/>
        <v>264.06826400000023</v>
      </c>
      <c r="K24" s="973">
        <f t="shared" si="3"/>
        <v>1123.4632127573032</v>
      </c>
      <c r="L24" s="974">
        <f t="shared" si="4"/>
        <v>114.29376490855698</v>
      </c>
      <c r="M24" s="974">
        <f t="shared" si="5"/>
        <v>1066.2232687404451</v>
      </c>
      <c r="N24" s="974">
        <f t="shared" si="6"/>
        <v>57.23994401685809</v>
      </c>
      <c r="O24" s="975">
        <f t="shared" si="7"/>
        <v>171.53370892541506</v>
      </c>
      <c r="P24" s="973">
        <f t="shared" si="9"/>
        <v>16880.939681067408</v>
      </c>
      <c r="Q24" s="974">
        <f t="shared" si="8"/>
        <v>1717.3558772860742</v>
      </c>
      <c r="R24" s="974">
        <f t="shared" si="8"/>
        <v>16020.863417488859</v>
      </c>
      <c r="S24" s="974">
        <f t="shared" si="8"/>
        <v>860.0762635785527</v>
      </c>
      <c r="T24" s="975">
        <f t="shared" si="8"/>
        <v>2577.432140864626</v>
      </c>
    </row>
    <row r="25" spans="2:20" x14ac:dyDescent="0.3">
      <c r="B25" s="420">
        <v>13</v>
      </c>
      <c r="C25" s="197">
        <f>'Margins summary'!$E$12</f>
        <v>1729.52</v>
      </c>
      <c r="D25" s="197">
        <f>'Margins summary'!$E$13</f>
        <v>175.95</v>
      </c>
      <c r="E25" s="197">
        <f>'Margins summary'!$E$18</f>
        <v>1905.47</v>
      </c>
      <c r="F25" s="197">
        <f>'Margins summary'!$E$24</f>
        <v>671.92799999999988</v>
      </c>
      <c r="G25" s="197">
        <f>'Margins summary'!$E$29</f>
        <v>969.47373599999992</v>
      </c>
      <c r="H25" s="197">
        <f t="shared" si="1"/>
        <v>1641.4017359999998</v>
      </c>
      <c r="I25" s="197">
        <f t="shared" si="2"/>
        <v>88.118264000000181</v>
      </c>
      <c r="J25" s="197">
        <f t="shared" si="0"/>
        <v>264.06826400000023</v>
      </c>
      <c r="K25" s="973">
        <f t="shared" si="3"/>
        <v>1080.2530891897143</v>
      </c>
      <c r="L25" s="974">
        <f t="shared" si="4"/>
        <v>109.89785087361246</v>
      </c>
      <c r="M25" s="974">
        <f t="shared" si="5"/>
        <v>1025.214681481197</v>
      </c>
      <c r="N25" s="974">
        <f t="shared" si="6"/>
        <v>55.038407708517298</v>
      </c>
      <c r="O25" s="975">
        <f t="shared" si="7"/>
        <v>164.93625858212977</v>
      </c>
      <c r="P25" s="973">
        <f t="shared" si="9"/>
        <v>17961.192770257123</v>
      </c>
      <c r="Q25" s="974">
        <f t="shared" si="8"/>
        <v>1827.2537281596867</v>
      </c>
      <c r="R25" s="974">
        <f t="shared" si="8"/>
        <v>17046.078098970058</v>
      </c>
      <c r="S25" s="974">
        <f t="shared" si="8"/>
        <v>915.11467128707</v>
      </c>
      <c r="T25" s="975">
        <f t="shared" si="8"/>
        <v>2742.3683994467556</v>
      </c>
    </row>
    <row r="26" spans="2:20" x14ac:dyDescent="0.3">
      <c r="B26" s="420">
        <v>14</v>
      </c>
      <c r="C26" s="197">
        <f>'Margins summary'!$E$12</f>
        <v>1729.52</v>
      </c>
      <c r="D26" s="197">
        <f>'Margins summary'!$E$13</f>
        <v>175.95</v>
      </c>
      <c r="E26" s="197">
        <f>'Margins summary'!$E$18</f>
        <v>1905.47</v>
      </c>
      <c r="F26" s="197">
        <f>'Margins summary'!$E$24</f>
        <v>671.92799999999988</v>
      </c>
      <c r="G26" s="197">
        <f>'Margins summary'!$E$29</f>
        <v>969.47373599999992</v>
      </c>
      <c r="H26" s="197">
        <f t="shared" si="1"/>
        <v>1641.4017359999998</v>
      </c>
      <c r="I26" s="197">
        <f t="shared" si="2"/>
        <v>88.118264000000181</v>
      </c>
      <c r="J26" s="197">
        <f t="shared" si="0"/>
        <v>264.06826400000023</v>
      </c>
      <c r="K26" s="973">
        <f t="shared" si="3"/>
        <v>1038.7048934516483</v>
      </c>
      <c r="L26" s="974">
        <f t="shared" si="4"/>
        <v>105.67101045539658</v>
      </c>
      <c r="M26" s="974">
        <f t="shared" si="5"/>
        <v>985.78334757807386</v>
      </c>
      <c r="N26" s="974">
        <f t="shared" si="6"/>
        <v>52.921545873574473</v>
      </c>
      <c r="O26" s="975">
        <f t="shared" si="7"/>
        <v>158.59255632897106</v>
      </c>
      <c r="P26" s="973">
        <f t="shared" si="9"/>
        <v>18999.897663708773</v>
      </c>
      <c r="Q26" s="974">
        <f t="shared" si="8"/>
        <v>1932.9247386150832</v>
      </c>
      <c r="R26" s="974">
        <f t="shared" si="8"/>
        <v>18031.861446548133</v>
      </c>
      <c r="S26" s="974">
        <f t="shared" si="8"/>
        <v>968.03621716064447</v>
      </c>
      <c r="T26" s="975">
        <f t="shared" si="8"/>
        <v>2900.9609557757267</v>
      </c>
    </row>
    <row r="27" spans="2:20" x14ac:dyDescent="0.3">
      <c r="B27" s="420">
        <v>15</v>
      </c>
      <c r="C27" s="197">
        <f>'Margins summary'!$E$12</f>
        <v>1729.52</v>
      </c>
      <c r="D27" s="197">
        <f>'Margins summary'!$E$13</f>
        <v>175.95</v>
      </c>
      <c r="E27" s="197">
        <f>'Margins summary'!$E$18</f>
        <v>1905.47</v>
      </c>
      <c r="F27" s="197">
        <f>'Margins summary'!$E$24</f>
        <v>671.92799999999988</v>
      </c>
      <c r="G27" s="197">
        <f>'Margins summary'!$E$29</f>
        <v>969.47373599999992</v>
      </c>
      <c r="H27" s="197">
        <f t="shared" si="1"/>
        <v>1641.4017359999998</v>
      </c>
      <c r="I27" s="197">
        <f t="shared" si="2"/>
        <v>88.118264000000181</v>
      </c>
      <c r="J27" s="197">
        <f t="shared" si="0"/>
        <v>264.06826400000023</v>
      </c>
      <c r="K27" s="973">
        <f t="shared" si="3"/>
        <v>998.75470524196953</v>
      </c>
      <c r="L27" s="974">
        <f t="shared" si="4"/>
        <v>101.60674082249672</v>
      </c>
      <c r="M27" s="974">
        <f t="shared" si="5"/>
        <v>947.86860344045567</v>
      </c>
      <c r="N27" s="974">
        <f t="shared" si="6"/>
        <v>50.88610180151386</v>
      </c>
      <c r="O27" s="975">
        <f t="shared" si="7"/>
        <v>152.49284262401056</v>
      </c>
      <c r="P27" s="973">
        <f t="shared" si="9"/>
        <v>19998.652368950741</v>
      </c>
      <c r="Q27" s="974">
        <f t="shared" si="8"/>
        <v>2034.5314794375799</v>
      </c>
      <c r="R27" s="974">
        <f t="shared" si="8"/>
        <v>18979.73004998859</v>
      </c>
      <c r="S27" s="974">
        <f t="shared" si="8"/>
        <v>1018.9223189621583</v>
      </c>
      <c r="T27" s="975">
        <f t="shared" si="8"/>
        <v>3053.453798399737</v>
      </c>
    </row>
    <row r="28" spans="2:20" x14ac:dyDescent="0.3">
      <c r="B28" s="561">
        <v>16</v>
      </c>
      <c r="C28" s="207">
        <f>'Margins summary'!$E$12</f>
        <v>1729.52</v>
      </c>
      <c r="D28" s="207">
        <f>'Margins summary'!$E$13</f>
        <v>175.95</v>
      </c>
      <c r="E28" s="207">
        <f>'Margins summary'!$E$18</f>
        <v>1905.47</v>
      </c>
      <c r="F28" s="207">
        <f>'Margins summary'!$E$24</f>
        <v>671.92799999999988</v>
      </c>
      <c r="G28" s="207">
        <f>'Margins summary'!$E$29</f>
        <v>969.47373599999992</v>
      </c>
      <c r="H28" s="207">
        <f t="shared" si="1"/>
        <v>1641.4017359999998</v>
      </c>
      <c r="I28" s="207">
        <f t="shared" si="2"/>
        <v>88.118264000000181</v>
      </c>
      <c r="J28" s="207">
        <f t="shared" si="0"/>
        <v>264.06826400000023</v>
      </c>
      <c r="K28" s="976">
        <f t="shared" si="3"/>
        <v>960.34106273266298</v>
      </c>
      <c r="L28" s="977">
        <f t="shared" si="4"/>
        <v>97.698789252400701</v>
      </c>
      <c r="M28" s="977">
        <f t="shared" si="5"/>
        <v>911.41211869274582</v>
      </c>
      <c r="N28" s="977">
        <f t="shared" si="6"/>
        <v>48.928944039917155</v>
      </c>
      <c r="O28" s="978">
        <f t="shared" si="7"/>
        <v>146.62773329231786</v>
      </c>
      <c r="P28" s="976">
        <f t="shared" si="9"/>
        <v>20958.993431683404</v>
      </c>
      <c r="Q28" s="977">
        <f t="shared" si="8"/>
        <v>2132.2302686899807</v>
      </c>
      <c r="R28" s="977">
        <f t="shared" si="8"/>
        <v>19891.142168681334</v>
      </c>
      <c r="S28" s="977">
        <f t="shared" si="8"/>
        <v>1067.8512630020755</v>
      </c>
      <c r="T28" s="978">
        <f t="shared" si="8"/>
        <v>3200.0815316920548</v>
      </c>
    </row>
    <row r="35" spans="2:20" x14ac:dyDescent="0.3">
      <c r="B35" s="211" t="s">
        <v>5</v>
      </c>
      <c r="C35" s="194"/>
      <c r="D35" s="193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</row>
    <row r="36" spans="2:20" x14ac:dyDescent="0.3">
      <c r="B36" s="203"/>
      <c r="C36" s="1086"/>
      <c r="D36" s="1086"/>
      <c r="E36" s="1086"/>
      <c r="F36" s="148"/>
      <c r="G36" s="1086"/>
      <c r="H36" s="1086"/>
      <c r="I36" s="148"/>
      <c r="J36" s="148"/>
      <c r="K36" s="1087" t="s">
        <v>275</v>
      </c>
      <c r="L36" s="1088"/>
      <c r="M36" s="1088"/>
      <c r="N36" s="1088"/>
      <c r="O36" s="1089"/>
      <c r="P36" s="1087" t="s">
        <v>276</v>
      </c>
      <c r="Q36" s="1088"/>
      <c r="R36" s="1088"/>
      <c r="S36" s="1088"/>
      <c r="T36" s="1089"/>
    </row>
    <row r="37" spans="2:20" ht="51" x14ac:dyDescent="0.3">
      <c r="B37" s="204" t="s">
        <v>277</v>
      </c>
      <c r="C37" s="171" t="s">
        <v>279</v>
      </c>
      <c r="D37" s="171" t="s">
        <v>10</v>
      </c>
      <c r="E37" s="171" t="s">
        <v>280</v>
      </c>
      <c r="F37" s="205" t="s">
        <v>296</v>
      </c>
      <c r="G37" s="171" t="s">
        <v>282</v>
      </c>
      <c r="H37" s="171" t="s">
        <v>283</v>
      </c>
      <c r="I37" s="171" t="s">
        <v>284</v>
      </c>
      <c r="J37" s="171" t="s">
        <v>285</v>
      </c>
      <c r="K37" s="195" t="s">
        <v>286</v>
      </c>
      <c r="L37" s="171" t="s">
        <v>287</v>
      </c>
      <c r="M37" s="171" t="s">
        <v>308</v>
      </c>
      <c r="N37" s="171" t="s">
        <v>289</v>
      </c>
      <c r="O37" s="198" t="s">
        <v>290</v>
      </c>
      <c r="P37" s="195" t="s">
        <v>291</v>
      </c>
      <c r="Q37" s="171" t="s">
        <v>292</v>
      </c>
      <c r="R37" s="171" t="s">
        <v>309</v>
      </c>
      <c r="S37" s="171" t="s">
        <v>294</v>
      </c>
      <c r="T37" s="198" t="s">
        <v>295</v>
      </c>
    </row>
    <row r="38" spans="2:20" x14ac:dyDescent="0.3">
      <c r="B38" s="173"/>
      <c r="C38" s="201" t="s">
        <v>442</v>
      </c>
      <c r="D38" s="201" t="s">
        <v>442</v>
      </c>
      <c r="E38" s="201" t="s">
        <v>442</v>
      </c>
      <c r="F38" s="201" t="s">
        <v>442</v>
      </c>
      <c r="G38" s="201" t="s">
        <v>442</v>
      </c>
      <c r="H38" s="201" t="s">
        <v>442</v>
      </c>
      <c r="I38" s="201" t="s">
        <v>442</v>
      </c>
      <c r="J38" s="202" t="s">
        <v>440</v>
      </c>
      <c r="K38" s="201" t="s">
        <v>442</v>
      </c>
      <c r="L38" s="201" t="s">
        <v>442</v>
      </c>
      <c r="M38" s="201" t="s">
        <v>442</v>
      </c>
      <c r="N38" s="201" t="s">
        <v>442</v>
      </c>
      <c r="O38" s="202" t="s">
        <v>442</v>
      </c>
      <c r="P38" s="201" t="s">
        <v>442</v>
      </c>
      <c r="Q38" s="201" t="s">
        <v>442</v>
      </c>
      <c r="R38" s="201" t="s">
        <v>442</v>
      </c>
      <c r="S38" s="201" t="s">
        <v>442</v>
      </c>
      <c r="T38" s="202" t="s">
        <v>442</v>
      </c>
    </row>
    <row r="39" spans="2:20" x14ac:dyDescent="0.3">
      <c r="B39" s="728">
        <v>1</v>
      </c>
      <c r="C39" s="197">
        <f>'Margins summary'!$F$12</f>
        <v>913.07799999999997</v>
      </c>
      <c r="D39" s="197">
        <f>'Margins summary'!$F$13</f>
        <v>175.95</v>
      </c>
      <c r="E39" s="197">
        <f>'Margins summary'!$F$18</f>
        <v>1089.028</v>
      </c>
      <c r="F39" s="197">
        <f>'Margins summary'!$F$24</f>
        <v>468.64299999999992</v>
      </c>
      <c r="G39" s="197">
        <f>'Margins summary'!$F$29</f>
        <v>888.75536799999986</v>
      </c>
      <c r="H39" s="197">
        <f>F39+G39</f>
        <v>1357.3983679999997</v>
      </c>
      <c r="I39" s="197">
        <f>C39-H39</f>
        <v>-444.32036799999969</v>
      </c>
      <c r="J39" s="197">
        <f t="shared" ref="J39:J54" si="10">E39-H39</f>
        <v>-268.37036799999964</v>
      </c>
      <c r="K39" s="973">
        <f>C39/(1+$C$6)^($B39-1)</f>
        <v>913.07799999999997</v>
      </c>
      <c r="L39" s="979">
        <f>D39/(1+$C$6)^($B39-1)</f>
        <v>175.95</v>
      </c>
      <c r="M39" s="974">
        <f>H39/(1+$C$6)^($B39-1)</f>
        <v>1357.3983679999997</v>
      </c>
      <c r="N39" s="974">
        <f>K39-M39</f>
        <v>-444.32036799999969</v>
      </c>
      <c r="O39" s="975">
        <f>N39+L39</f>
        <v>-268.3703679999997</v>
      </c>
      <c r="P39" s="973">
        <f>K39</f>
        <v>913.07799999999997</v>
      </c>
      <c r="Q39" s="974">
        <f>L39</f>
        <v>175.95</v>
      </c>
      <c r="R39" s="974">
        <f>M39</f>
        <v>1357.3983679999997</v>
      </c>
      <c r="S39" s="974">
        <f>N39</f>
        <v>-444.32036799999969</v>
      </c>
      <c r="T39" s="975">
        <f>O39</f>
        <v>-268.3703679999997</v>
      </c>
    </row>
    <row r="40" spans="2:20" x14ac:dyDescent="0.3">
      <c r="B40" s="420">
        <v>2</v>
      </c>
      <c r="C40" s="197">
        <f>'Margins summary'!$F$12</f>
        <v>913.07799999999997</v>
      </c>
      <c r="D40" s="197">
        <f>'Margins summary'!$F$13</f>
        <v>175.95</v>
      </c>
      <c r="E40" s="197">
        <f>'Margins summary'!$F$18</f>
        <v>1089.028</v>
      </c>
      <c r="F40" s="197">
        <f>'Margins summary'!$F$24</f>
        <v>468.64299999999992</v>
      </c>
      <c r="G40" s="197">
        <f>'Margins summary'!$F$29</f>
        <v>888.75536799999986</v>
      </c>
      <c r="H40" s="197">
        <f t="shared" ref="H40:H54" si="11">F40+G40</f>
        <v>1357.3983679999997</v>
      </c>
      <c r="I40" s="197">
        <f t="shared" ref="I40:I54" si="12">C40-H40</f>
        <v>-444.32036799999969</v>
      </c>
      <c r="J40" s="197">
        <f t="shared" si="10"/>
        <v>-268.37036799999964</v>
      </c>
      <c r="K40" s="973">
        <f t="shared" ref="K40:K54" si="13">C40/(1+$C$6)^($B40-1)</f>
        <v>877.95961538461529</v>
      </c>
      <c r="L40" s="974">
        <f t="shared" ref="L40:L54" si="14">D40/(1+$C$6)^($B40-1)</f>
        <v>169.18269230769229</v>
      </c>
      <c r="M40" s="974">
        <f t="shared" ref="M40:M54" si="15">H40/(1+$C$6)^($B40-1)</f>
        <v>1305.1907384615381</v>
      </c>
      <c r="N40" s="974">
        <f t="shared" ref="N40:N54" si="16">K40-M40</f>
        <v>-427.23112307692281</v>
      </c>
      <c r="O40" s="975">
        <f t="shared" ref="O40:O54" si="17">N40+L40</f>
        <v>-258.04843076923055</v>
      </c>
      <c r="P40" s="973">
        <f>P39+K40</f>
        <v>1791.0376153846153</v>
      </c>
      <c r="Q40" s="974">
        <f t="shared" ref="Q40:Q54" si="18">Q39+L40</f>
        <v>345.13269230769231</v>
      </c>
      <c r="R40" s="974">
        <f t="shared" ref="R40:R54" si="19">R39+M40</f>
        <v>2662.589106461538</v>
      </c>
      <c r="S40" s="974">
        <f t="shared" ref="S40:S54" si="20">S39+N40</f>
        <v>-871.5514910769225</v>
      </c>
      <c r="T40" s="975">
        <f t="shared" ref="T40:T54" si="21">T39+O40</f>
        <v>-526.41879876923031</v>
      </c>
    </row>
    <row r="41" spans="2:20" x14ac:dyDescent="0.3">
      <c r="B41" s="420">
        <v>3</v>
      </c>
      <c r="C41" s="197">
        <f>'Margins summary'!$F$12</f>
        <v>913.07799999999997</v>
      </c>
      <c r="D41" s="197">
        <f>'Margins summary'!$F$13</f>
        <v>175.95</v>
      </c>
      <c r="E41" s="197">
        <f>'Margins summary'!$F$18</f>
        <v>1089.028</v>
      </c>
      <c r="F41" s="197">
        <f>'Margins summary'!$F$24</f>
        <v>468.64299999999992</v>
      </c>
      <c r="G41" s="197">
        <f>'Margins summary'!$F$29</f>
        <v>888.75536799999986</v>
      </c>
      <c r="H41" s="197">
        <f t="shared" si="11"/>
        <v>1357.3983679999997</v>
      </c>
      <c r="I41" s="197">
        <f t="shared" si="12"/>
        <v>-444.32036799999969</v>
      </c>
      <c r="J41" s="197">
        <f t="shared" si="10"/>
        <v>-268.37036799999964</v>
      </c>
      <c r="K41" s="973">
        <f t="shared" si="13"/>
        <v>844.19193786982237</v>
      </c>
      <c r="L41" s="974">
        <f t="shared" si="14"/>
        <v>162.67566568047334</v>
      </c>
      <c r="M41" s="974">
        <f t="shared" si="15"/>
        <v>1254.9910946745558</v>
      </c>
      <c r="N41" s="974">
        <f t="shared" si="16"/>
        <v>-410.79915680473346</v>
      </c>
      <c r="O41" s="975">
        <f t="shared" si="17"/>
        <v>-248.12349112426011</v>
      </c>
      <c r="P41" s="973">
        <f t="shared" ref="P41:P54" si="22">P40+K41</f>
        <v>2635.2295532544376</v>
      </c>
      <c r="Q41" s="974">
        <f t="shared" si="18"/>
        <v>507.80835798816565</v>
      </c>
      <c r="R41" s="974">
        <f t="shared" si="19"/>
        <v>3917.5802011360938</v>
      </c>
      <c r="S41" s="974">
        <f t="shared" si="20"/>
        <v>-1282.350647881656</v>
      </c>
      <c r="T41" s="975">
        <f t="shared" si="21"/>
        <v>-774.54228989349042</v>
      </c>
    </row>
    <row r="42" spans="2:20" x14ac:dyDescent="0.3">
      <c r="B42" s="420">
        <v>4</v>
      </c>
      <c r="C42" s="197">
        <f>'Margins summary'!$F$12</f>
        <v>913.07799999999997</v>
      </c>
      <c r="D42" s="197">
        <f>'Margins summary'!$F$13</f>
        <v>175.95</v>
      </c>
      <c r="E42" s="197">
        <f>'Margins summary'!$F$18</f>
        <v>1089.028</v>
      </c>
      <c r="F42" s="197">
        <f>'Margins summary'!$F$24</f>
        <v>468.64299999999992</v>
      </c>
      <c r="G42" s="197">
        <f>'Margins summary'!$F$29</f>
        <v>888.75536799999986</v>
      </c>
      <c r="H42" s="197">
        <f t="shared" si="11"/>
        <v>1357.3983679999997</v>
      </c>
      <c r="I42" s="197">
        <f t="shared" si="12"/>
        <v>-444.32036799999969</v>
      </c>
      <c r="J42" s="197">
        <f t="shared" si="10"/>
        <v>-268.37036799999964</v>
      </c>
      <c r="K42" s="973">
        <f t="shared" si="13"/>
        <v>811.72301718252152</v>
      </c>
      <c r="L42" s="974">
        <f t="shared" si="14"/>
        <v>156.41890930814745</v>
      </c>
      <c r="M42" s="974">
        <f t="shared" si="15"/>
        <v>1206.722206417842</v>
      </c>
      <c r="N42" s="974">
        <f t="shared" si="16"/>
        <v>-394.9991892353205</v>
      </c>
      <c r="O42" s="975">
        <f t="shared" si="17"/>
        <v>-238.58027992717305</v>
      </c>
      <c r="P42" s="973">
        <f t="shared" si="22"/>
        <v>3446.9525704369589</v>
      </c>
      <c r="Q42" s="974">
        <f t="shared" si="18"/>
        <v>664.22726729631313</v>
      </c>
      <c r="R42" s="974">
        <f t="shared" si="19"/>
        <v>5124.3024075539361</v>
      </c>
      <c r="S42" s="974">
        <f t="shared" si="20"/>
        <v>-1677.3498371169765</v>
      </c>
      <c r="T42" s="975">
        <f t="shared" si="21"/>
        <v>-1013.1225698206634</v>
      </c>
    </row>
    <row r="43" spans="2:20" x14ac:dyDescent="0.3">
      <c r="B43" s="420">
        <v>5</v>
      </c>
      <c r="C43" s="197">
        <f>'Margins summary'!$F$12</f>
        <v>913.07799999999997</v>
      </c>
      <c r="D43" s="197">
        <f>'Margins summary'!$F$13</f>
        <v>175.95</v>
      </c>
      <c r="E43" s="197">
        <f>'Margins summary'!$F$18</f>
        <v>1089.028</v>
      </c>
      <c r="F43" s="197">
        <f>'Margins summary'!$F$24</f>
        <v>468.64299999999992</v>
      </c>
      <c r="G43" s="197">
        <f>'Margins summary'!$F$29</f>
        <v>888.75536799999986</v>
      </c>
      <c r="H43" s="197">
        <f t="shared" si="11"/>
        <v>1357.3983679999997</v>
      </c>
      <c r="I43" s="197">
        <f t="shared" si="12"/>
        <v>-444.32036799999969</v>
      </c>
      <c r="J43" s="197">
        <f t="shared" si="10"/>
        <v>-268.37036799999964</v>
      </c>
      <c r="K43" s="973">
        <f t="shared" si="13"/>
        <v>780.50290113703988</v>
      </c>
      <c r="L43" s="974">
        <f t="shared" si="14"/>
        <v>150.40279741168024</v>
      </c>
      <c r="M43" s="974">
        <f t="shared" si="15"/>
        <v>1160.3098138633095</v>
      </c>
      <c r="N43" s="974">
        <f t="shared" si="16"/>
        <v>-379.80691272626962</v>
      </c>
      <c r="O43" s="975">
        <f t="shared" si="17"/>
        <v>-229.40411531458938</v>
      </c>
      <c r="P43" s="973">
        <f t="shared" si="22"/>
        <v>4227.4554715739987</v>
      </c>
      <c r="Q43" s="974">
        <f t="shared" si="18"/>
        <v>814.63006470799337</v>
      </c>
      <c r="R43" s="974">
        <f t="shared" si="19"/>
        <v>6284.6122214172456</v>
      </c>
      <c r="S43" s="974">
        <f t="shared" si="20"/>
        <v>-2057.156749843246</v>
      </c>
      <c r="T43" s="975">
        <f t="shared" si="21"/>
        <v>-1242.5266851352528</v>
      </c>
    </row>
    <row r="44" spans="2:20" x14ac:dyDescent="0.3">
      <c r="B44" s="420">
        <v>6</v>
      </c>
      <c r="C44" s="197">
        <f>'Margins summary'!$F$12</f>
        <v>913.07799999999997</v>
      </c>
      <c r="D44" s="197">
        <f>'Margins summary'!$F$13</f>
        <v>175.95</v>
      </c>
      <c r="E44" s="197">
        <f>'Margins summary'!$F$18</f>
        <v>1089.028</v>
      </c>
      <c r="F44" s="197">
        <f>'Margins summary'!$F$24</f>
        <v>468.64299999999992</v>
      </c>
      <c r="G44" s="197">
        <f>'Margins summary'!$F$29</f>
        <v>888.75536799999986</v>
      </c>
      <c r="H44" s="197">
        <f t="shared" si="11"/>
        <v>1357.3983679999997</v>
      </c>
      <c r="I44" s="197">
        <f t="shared" si="12"/>
        <v>-444.32036799999969</v>
      </c>
      <c r="J44" s="197">
        <f t="shared" si="10"/>
        <v>-268.37036799999964</v>
      </c>
      <c r="K44" s="973">
        <f t="shared" si="13"/>
        <v>750.48355878561517</v>
      </c>
      <c r="L44" s="974">
        <f t="shared" si="14"/>
        <v>144.61807443430789</v>
      </c>
      <c r="M44" s="974">
        <f t="shared" si="15"/>
        <v>1115.6825133301052</v>
      </c>
      <c r="N44" s="974">
        <f t="shared" si="16"/>
        <v>-365.19895454448999</v>
      </c>
      <c r="O44" s="975">
        <f t="shared" si="17"/>
        <v>-220.58088011018211</v>
      </c>
      <c r="P44" s="973">
        <f t="shared" si="22"/>
        <v>4977.9390303596138</v>
      </c>
      <c r="Q44" s="974">
        <f t="shared" si="18"/>
        <v>959.24813914230128</v>
      </c>
      <c r="R44" s="974">
        <f t="shared" si="19"/>
        <v>7400.294734747351</v>
      </c>
      <c r="S44" s="974">
        <f t="shared" si="20"/>
        <v>-2422.3557043877358</v>
      </c>
      <c r="T44" s="975">
        <f t="shared" si="21"/>
        <v>-1463.1075652454349</v>
      </c>
    </row>
    <row r="45" spans="2:20" x14ac:dyDescent="0.3">
      <c r="B45" s="420">
        <v>7</v>
      </c>
      <c r="C45" s="197">
        <f>'Margins summary'!$F$12</f>
        <v>913.07799999999997</v>
      </c>
      <c r="D45" s="197">
        <f>'Margins summary'!$F$13</f>
        <v>175.95</v>
      </c>
      <c r="E45" s="197">
        <f>'Margins summary'!$F$18</f>
        <v>1089.028</v>
      </c>
      <c r="F45" s="197">
        <f>'Margins summary'!$F$24</f>
        <v>468.64299999999992</v>
      </c>
      <c r="G45" s="197">
        <f>'Margins summary'!$F$29</f>
        <v>888.75536799999986</v>
      </c>
      <c r="H45" s="197">
        <f t="shared" si="11"/>
        <v>1357.3983679999997</v>
      </c>
      <c r="I45" s="197">
        <f t="shared" si="12"/>
        <v>-444.32036799999969</v>
      </c>
      <c r="J45" s="197">
        <f t="shared" si="10"/>
        <v>-268.37036799999964</v>
      </c>
      <c r="K45" s="973">
        <f t="shared" si="13"/>
        <v>721.61880652462992</v>
      </c>
      <c r="L45" s="974">
        <f t="shared" si="14"/>
        <v>139.05584080221914</v>
      </c>
      <c r="M45" s="974">
        <f t="shared" si="15"/>
        <v>1072.7716474327935</v>
      </c>
      <c r="N45" s="974">
        <f t="shared" si="16"/>
        <v>-351.15284090816363</v>
      </c>
      <c r="O45" s="975">
        <f t="shared" si="17"/>
        <v>-212.09700010594449</v>
      </c>
      <c r="P45" s="973">
        <f t="shared" si="22"/>
        <v>5699.5578368842434</v>
      </c>
      <c r="Q45" s="974">
        <f t="shared" si="18"/>
        <v>1098.3039799445205</v>
      </c>
      <c r="R45" s="974">
        <f t="shared" si="19"/>
        <v>8473.0663821801445</v>
      </c>
      <c r="S45" s="974">
        <f t="shared" si="20"/>
        <v>-2773.5085452958992</v>
      </c>
      <c r="T45" s="975">
        <f t="shared" si="21"/>
        <v>-1675.2045653513794</v>
      </c>
    </row>
    <row r="46" spans="2:20" x14ac:dyDescent="0.3">
      <c r="B46" s="420">
        <v>8</v>
      </c>
      <c r="C46" s="197">
        <f>'Margins summary'!$F$12</f>
        <v>913.07799999999997</v>
      </c>
      <c r="D46" s="197">
        <f>'Margins summary'!$F$13</f>
        <v>175.95</v>
      </c>
      <c r="E46" s="197">
        <f>'Margins summary'!$F$18</f>
        <v>1089.028</v>
      </c>
      <c r="F46" s="197">
        <f>'Margins summary'!$F$24</f>
        <v>468.64299999999992</v>
      </c>
      <c r="G46" s="197">
        <f>'Margins summary'!$F$29</f>
        <v>888.75536799999986</v>
      </c>
      <c r="H46" s="197">
        <f t="shared" si="11"/>
        <v>1357.3983679999997</v>
      </c>
      <c r="I46" s="197">
        <f t="shared" si="12"/>
        <v>-444.32036799999969</v>
      </c>
      <c r="J46" s="197">
        <f t="shared" si="10"/>
        <v>-268.37036799999964</v>
      </c>
      <c r="K46" s="973">
        <f t="shared" si="13"/>
        <v>693.86423704291349</v>
      </c>
      <c r="L46" s="974">
        <f t="shared" si="14"/>
        <v>133.70753923290303</v>
      </c>
      <c r="M46" s="974">
        <f t="shared" si="15"/>
        <v>1031.5111994546094</v>
      </c>
      <c r="N46" s="974">
        <f t="shared" si="16"/>
        <v>-337.64696241169588</v>
      </c>
      <c r="O46" s="975">
        <f t="shared" si="17"/>
        <v>-203.93942317879285</v>
      </c>
      <c r="P46" s="973">
        <f t="shared" si="22"/>
        <v>6393.4220739271568</v>
      </c>
      <c r="Q46" s="974">
        <f t="shared" si="18"/>
        <v>1232.0115191774235</v>
      </c>
      <c r="R46" s="974">
        <f t="shared" si="19"/>
        <v>9504.5775816347541</v>
      </c>
      <c r="S46" s="974">
        <f t="shared" si="20"/>
        <v>-3111.155507707595</v>
      </c>
      <c r="T46" s="975">
        <f t="shared" si="21"/>
        <v>-1879.1439885301722</v>
      </c>
    </row>
    <row r="47" spans="2:20" x14ac:dyDescent="0.3">
      <c r="B47" s="420">
        <v>9</v>
      </c>
      <c r="C47" s="197">
        <f>'Margins summary'!$F$12</f>
        <v>913.07799999999997</v>
      </c>
      <c r="D47" s="197">
        <f>'Margins summary'!$F$13</f>
        <v>175.95</v>
      </c>
      <c r="E47" s="197">
        <f>'Margins summary'!$F$18</f>
        <v>1089.028</v>
      </c>
      <c r="F47" s="197">
        <f>'Margins summary'!$F$24</f>
        <v>468.64299999999992</v>
      </c>
      <c r="G47" s="197">
        <f>'Margins summary'!$F$29</f>
        <v>888.75536799999986</v>
      </c>
      <c r="H47" s="197">
        <f t="shared" si="11"/>
        <v>1357.3983679999997</v>
      </c>
      <c r="I47" s="197">
        <f t="shared" si="12"/>
        <v>-444.32036799999969</v>
      </c>
      <c r="J47" s="197">
        <f t="shared" si="10"/>
        <v>-268.37036799999964</v>
      </c>
      <c r="K47" s="973">
        <f t="shared" si="13"/>
        <v>667.17715100280134</v>
      </c>
      <c r="L47" s="974">
        <f t="shared" si="14"/>
        <v>128.56494157009902</v>
      </c>
      <c r="M47" s="974">
        <f t="shared" si="15"/>
        <v>991.83769178327793</v>
      </c>
      <c r="N47" s="974">
        <f t="shared" si="16"/>
        <v>-324.66054078047659</v>
      </c>
      <c r="O47" s="975">
        <f t="shared" si="17"/>
        <v>-196.09559921037757</v>
      </c>
      <c r="P47" s="973">
        <f t="shared" si="22"/>
        <v>7060.5992249299579</v>
      </c>
      <c r="Q47" s="974">
        <f t="shared" si="18"/>
        <v>1360.5764607475226</v>
      </c>
      <c r="R47" s="974">
        <f t="shared" si="19"/>
        <v>10496.415273418032</v>
      </c>
      <c r="S47" s="974">
        <f t="shared" si="20"/>
        <v>-3435.8160484880718</v>
      </c>
      <c r="T47" s="975">
        <f t="shared" si="21"/>
        <v>-2075.2395877405497</v>
      </c>
    </row>
    <row r="48" spans="2:20" x14ac:dyDescent="0.3">
      <c r="B48" s="420">
        <v>10</v>
      </c>
      <c r="C48" s="197">
        <f>'Margins summary'!$F$12</f>
        <v>913.07799999999997</v>
      </c>
      <c r="D48" s="197">
        <f>'Margins summary'!$F$13</f>
        <v>175.95</v>
      </c>
      <c r="E48" s="197">
        <f>'Margins summary'!$F$18</f>
        <v>1089.028</v>
      </c>
      <c r="F48" s="197">
        <f>'Margins summary'!$F$24</f>
        <v>468.64299999999992</v>
      </c>
      <c r="G48" s="197">
        <f>'Margins summary'!$F$29</f>
        <v>888.75536799999986</v>
      </c>
      <c r="H48" s="197">
        <f t="shared" si="11"/>
        <v>1357.3983679999997</v>
      </c>
      <c r="I48" s="197">
        <f t="shared" si="12"/>
        <v>-444.32036799999969</v>
      </c>
      <c r="J48" s="197">
        <f t="shared" si="10"/>
        <v>-268.37036799999964</v>
      </c>
      <c r="K48" s="973">
        <f t="shared" si="13"/>
        <v>641.51649134884735</v>
      </c>
      <c r="L48" s="974">
        <f t="shared" si="14"/>
        <v>123.62013612509521</v>
      </c>
      <c r="M48" s="974">
        <f t="shared" si="15"/>
        <v>953.69008825315177</v>
      </c>
      <c r="N48" s="974">
        <f t="shared" si="16"/>
        <v>-312.17359690430442</v>
      </c>
      <c r="O48" s="975">
        <f t="shared" si="17"/>
        <v>-188.55346077920922</v>
      </c>
      <c r="P48" s="973">
        <f t="shared" si="22"/>
        <v>7702.1157162788049</v>
      </c>
      <c r="Q48" s="974">
        <f t="shared" si="18"/>
        <v>1484.1965968726179</v>
      </c>
      <c r="R48" s="974">
        <f t="shared" si="19"/>
        <v>11450.105361671183</v>
      </c>
      <c r="S48" s="974">
        <f t="shared" si="20"/>
        <v>-3747.9896453923761</v>
      </c>
      <c r="T48" s="975">
        <f t="shared" si="21"/>
        <v>-2263.7930485197589</v>
      </c>
    </row>
    <row r="49" spans="2:20" x14ac:dyDescent="0.3">
      <c r="B49" s="420">
        <v>11</v>
      </c>
      <c r="C49" s="197">
        <f>'Margins summary'!$F$12</f>
        <v>913.07799999999997</v>
      </c>
      <c r="D49" s="197">
        <f>'Margins summary'!$F$13</f>
        <v>175.95</v>
      </c>
      <c r="E49" s="197">
        <f>'Margins summary'!$F$18</f>
        <v>1089.028</v>
      </c>
      <c r="F49" s="197">
        <f>'Margins summary'!$F$24</f>
        <v>468.64299999999992</v>
      </c>
      <c r="G49" s="197">
        <f>'Margins summary'!$F$29</f>
        <v>888.75536799999986</v>
      </c>
      <c r="H49" s="197">
        <f t="shared" si="11"/>
        <v>1357.3983679999997</v>
      </c>
      <c r="I49" s="197">
        <f t="shared" si="12"/>
        <v>-444.32036799999969</v>
      </c>
      <c r="J49" s="197">
        <f t="shared" si="10"/>
        <v>-268.37036799999964</v>
      </c>
      <c r="K49" s="973">
        <f t="shared" si="13"/>
        <v>616.84278014312247</v>
      </c>
      <c r="L49" s="974">
        <f t="shared" si="14"/>
        <v>118.86551550489925</v>
      </c>
      <c r="M49" s="974">
        <f t="shared" si="15"/>
        <v>917.00970024341518</v>
      </c>
      <c r="N49" s="974">
        <f t="shared" si="16"/>
        <v>-300.16692010029271</v>
      </c>
      <c r="O49" s="975">
        <f t="shared" si="17"/>
        <v>-181.30140459539348</v>
      </c>
      <c r="P49" s="973">
        <f t="shared" si="22"/>
        <v>8318.9584964219266</v>
      </c>
      <c r="Q49" s="974">
        <f t="shared" si="18"/>
        <v>1603.0621123775172</v>
      </c>
      <c r="R49" s="974">
        <f t="shared" si="19"/>
        <v>12367.115061914599</v>
      </c>
      <c r="S49" s="974">
        <f t="shared" si="20"/>
        <v>-4048.156565492669</v>
      </c>
      <c r="T49" s="975">
        <f t="shared" si="21"/>
        <v>-2445.0944531151526</v>
      </c>
    </row>
    <row r="50" spans="2:20" x14ac:dyDescent="0.3">
      <c r="B50" s="420">
        <v>12</v>
      </c>
      <c r="C50" s="197">
        <f>'Margins summary'!$F$12</f>
        <v>913.07799999999997</v>
      </c>
      <c r="D50" s="197">
        <f>'Margins summary'!$F$13</f>
        <v>175.95</v>
      </c>
      <c r="E50" s="197">
        <f>'Margins summary'!$F$18</f>
        <v>1089.028</v>
      </c>
      <c r="F50" s="197">
        <f>'Margins summary'!$F$24</f>
        <v>468.64299999999992</v>
      </c>
      <c r="G50" s="197">
        <f>'Margins summary'!$F$29</f>
        <v>888.75536799999986</v>
      </c>
      <c r="H50" s="197">
        <f t="shared" si="11"/>
        <v>1357.3983679999997</v>
      </c>
      <c r="I50" s="197">
        <f t="shared" si="12"/>
        <v>-444.32036799999969</v>
      </c>
      <c r="J50" s="197">
        <f t="shared" si="10"/>
        <v>-268.37036799999964</v>
      </c>
      <c r="K50" s="973">
        <f t="shared" si="13"/>
        <v>593.11805782992553</v>
      </c>
      <c r="L50" s="974">
        <f t="shared" si="14"/>
        <v>114.29376490855698</v>
      </c>
      <c r="M50" s="974">
        <f t="shared" si="15"/>
        <v>881.74009638789926</v>
      </c>
      <c r="N50" s="974">
        <f t="shared" si="16"/>
        <v>-288.62203855797372</v>
      </c>
      <c r="O50" s="975">
        <f t="shared" si="17"/>
        <v>-174.32827364941676</v>
      </c>
      <c r="P50" s="973">
        <f t="shared" si="22"/>
        <v>8912.0765542518529</v>
      </c>
      <c r="Q50" s="974">
        <f t="shared" si="18"/>
        <v>1717.3558772860742</v>
      </c>
      <c r="R50" s="974">
        <f t="shared" si="19"/>
        <v>13248.855158302498</v>
      </c>
      <c r="S50" s="974">
        <f t="shared" si="20"/>
        <v>-4336.7786040506426</v>
      </c>
      <c r="T50" s="975">
        <f t="shared" si="21"/>
        <v>-2619.4227267645692</v>
      </c>
    </row>
    <row r="51" spans="2:20" x14ac:dyDescent="0.3">
      <c r="B51" s="420">
        <v>13</v>
      </c>
      <c r="C51" s="197">
        <f>'Margins summary'!$F$12</f>
        <v>913.07799999999997</v>
      </c>
      <c r="D51" s="197">
        <f>'Margins summary'!$F$13</f>
        <v>175.95</v>
      </c>
      <c r="E51" s="197">
        <f>'Margins summary'!$F$18</f>
        <v>1089.028</v>
      </c>
      <c r="F51" s="197">
        <f>'Margins summary'!$F$24</f>
        <v>468.64299999999992</v>
      </c>
      <c r="G51" s="197">
        <f>'Margins summary'!$F$29</f>
        <v>888.75536799999986</v>
      </c>
      <c r="H51" s="197">
        <f t="shared" si="11"/>
        <v>1357.3983679999997</v>
      </c>
      <c r="I51" s="197">
        <f t="shared" si="12"/>
        <v>-444.32036799999969</v>
      </c>
      <c r="J51" s="197">
        <f t="shared" si="10"/>
        <v>-268.37036799999964</v>
      </c>
      <c r="K51" s="973">
        <f t="shared" si="13"/>
        <v>570.30582483646674</v>
      </c>
      <c r="L51" s="974">
        <f t="shared" si="14"/>
        <v>109.89785087361246</v>
      </c>
      <c r="M51" s="974">
        <f t="shared" si="15"/>
        <v>847.82701575759529</v>
      </c>
      <c r="N51" s="974">
        <f t="shared" si="16"/>
        <v>-277.52119092112855</v>
      </c>
      <c r="O51" s="975">
        <f t="shared" si="17"/>
        <v>-167.62334004751608</v>
      </c>
      <c r="P51" s="973">
        <f t="shared" si="22"/>
        <v>9482.3823790883198</v>
      </c>
      <c r="Q51" s="974">
        <f t="shared" si="18"/>
        <v>1827.2537281596867</v>
      </c>
      <c r="R51" s="974">
        <f t="shared" si="19"/>
        <v>14096.682174060094</v>
      </c>
      <c r="S51" s="974">
        <f t="shared" si="20"/>
        <v>-4614.299794971771</v>
      </c>
      <c r="T51" s="975">
        <f t="shared" si="21"/>
        <v>-2787.0460668120854</v>
      </c>
    </row>
    <row r="52" spans="2:20" x14ac:dyDescent="0.3">
      <c r="B52" s="420">
        <v>14</v>
      </c>
      <c r="C52" s="197">
        <f>'Margins summary'!$F$12</f>
        <v>913.07799999999997</v>
      </c>
      <c r="D52" s="197">
        <f>'Margins summary'!$F$13</f>
        <v>175.95</v>
      </c>
      <c r="E52" s="197">
        <f>'Margins summary'!$F$18</f>
        <v>1089.028</v>
      </c>
      <c r="F52" s="197">
        <f>'Margins summary'!$F$24</f>
        <v>468.64299999999992</v>
      </c>
      <c r="G52" s="197">
        <f>'Margins summary'!$F$29</f>
        <v>888.75536799999986</v>
      </c>
      <c r="H52" s="197">
        <f t="shared" si="11"/>
        <v>1357.3983679999997</v>
      </c>
      <c r="I52" s="197">
        <f t="shared" si="12"/>
        <v>-444.32036799999969</v>
      </c>
      <c r="J52" s="197">
        <f t="shared" si="10"/>
        <v>-268.37036799999964</v>
      </c>
      <c r="K52" s="973">
        <f t="shared" si="13"/>
        <v>548.37098541967953</v>
      </c>
      <c r="L52" s="974">
        <f t="shared" si="14"/>
        <v>105.67101045539658</v>
      </c>
      <c r="M52" s="974">
        <f t="shared" si="15"/>
        <v>815.21828438230318</v>
      </c>
      <c r="N52" s="974">
        <f t="shared" si="16"/>
        <v>-266.84729896262365</v>
      </c>
      <c r="O52" s="975">
        <f t="shared" si="17"/>
        <v>-161.17628850722707</v>
      </c>
      <c r="P52" s="973">
        <f t="shared" si="22"/>
        <v>10030.753364508</v>
      </c>
      <c r="Q52" s="974">
        <f t="shared" si="18"/>
        <v>1932.9247386150832</v>
      </c>
      <c r="R52" s="974">
        <f t="shared" si="19"/>
        <v>14911.900458442396</v>
      </c>
      <c r="S52" s="974">
        <f t="shared" si="20"/>
        <v>-4881.1470939343944</v>
      </c>
      <c r="T52" s="975">
        <f t="shared" si="21"/>
        <v>-2948.2223553193126</v>
      </c>
    </row>
    <row r="53" spans="2:20" x14ac:dyDescent="0.3">
      <c r="B53" s="420">
        <v>15</v>
      </c>
      <c r="C53" s="197">
        <f>'Margins summary'!$F$12</f>
        <v>913.07799999999997</v>
      </c>
      <c r="D53" s="197">
        <f>'Margins summary'!$F$13</f>
        <v>175.95</v>
      </c>
      <c r="E53" s="197">
        <f>'Margins summary'!$F$18</f>
        <v>1089.028</v>
      </c>
      <c r="F53" s="197">
        <f>'Margins summary'!$F$24</f>
        <v>468.64299999999992</v>
      </c>
      <c r="G53" s="197">
        <f>'Margins summary'!$F$29</f>
        <v>888.75536799999986</v>
      </c>
      <c r="H53" s="197">
        <f t="shared" si="11"/>
        <v>1357.3983679999997</v>
      </c>
      <c r="I53" s="197">
        <f t="shared" si="12"/>
        <v>-444.32036799999969</v>
      </c>
      <c r="J53" s="197">
        <f t="shared" si="10"/>
        <v>-268.37036799999964</v>
      </c>
      <c r="K53" s="973">
        <f t="shared" si="13"/>
        <v>527.27979367276873</v>
      </c>
      <c r="L53" s="974">
        <f t="shared" si="14"/>
        <v>101.60674082249672</v>
      </c>
      <c r="M53" s="974">
        <f t="shared" si="15"/>
        <v>783.86373498298383</v>
      </c>
      <c r="N53" s="974">
        <f t="shared" si="16"/>
        <v>-256.5839413102151</v>
      </c>
      <c r="O53" s="975">
        <f t="shared" si="17"/>
        <v>-154.97720048771839</v>
      </c>
      <c r="P53" s="973">
        <f t="shared" si="22"/>
        <v>10558.03315818077</v>
      </c>
      <c r="Q53" s="974">
        <f t="shared" si="18"/>
        <v>2034.5314794375799</v>
      </c>
      <c r="R53" s="974">
        <f t="shared" si="19"/>
        <v>15695.764193425381</v>
      </c>
      <c r="S53" s="974">
        <f t="shared" si="20"/>
        <v>-5137.7310352446093</v>
      </c>
      <c r="T53" s="975">
        <f t="shared" si="21"/>
        <v>-3103.1995558070312</v>
      </c>
    </row>
    <row r="54" spans="2:20" x14ac:dyDescent="0.3">
      <c r="B54" s="561">
        <v>16</v>
      </c>
      <c r="C54" s="207">
        <f>'Margins summary'!$F$12</f>
        <v>913.07799999999997</v>
      </c>
      <c r="D54" s="207">
        <f>'Margins summary'!$F$13</f>
        <v>175.95</v>
      </c>
      <c r="E54" s="207">
        <f>'Margins summary'!$F$18</f>
        <v>1089.028</v>
      </c>
      <c r="F54" s="207">
        <f>'Margins summary'!$F$24</f>
        <v>468.64299999999992</v>
      </c>
      <c r="G54" s="207">
        <f>'Margins summary'!$F$29</f>
        <v>888.75536799999986</v>
      </c>
      <c r="H54" s="207">
        <f t="shared" si="11"/>
        <v>1357.3983679999997</v>
      </c>
      <c r="I54" s="207">
        <f t="shared" si="12"/>
        <v>-444.32036799999969</v>
      </c>
      <c r="J54" s="207">
        <f t="shared" si="10"/>
        <v>-268.37036799999964</v>
      </c>
      <c r="K54" s="976">
        <f t="shared" si="13"/>
        <v>506.99980160843154</v>
      </c>
      <c r="L54" s="977">
        <f t="shared" si="14"/>
        <v>97.698789252400701</v>
      </c>
      <c r="M54" s="977">
        <f t="shared" si="15"/>
        <v>753.71512979133058</v>
      </c>
      <c r="N54" s="977">
        <f t="shared" si="16"/>
        <v>-246.71532818289904</v>
      </c>
      <c r="O54" s="978">
        <f t="shared" si="17"/>
        <v>-149.01653893049834</v>
      </c>
      <c r="P54" s="976">
        <f t="shared" si="22"/>
        <v>11065.032959789201</v>
      </c>
      <c r="Q54" s="977">
        <f t="shared" si="18"/>
        <v>2132.2302686899807</v>
      </c>
      <c r="R54" s="977">
        <f t="shared" si="19"/>
        <v>16449.47932321671</v>
      </c>
      <c r="S54" s="977">
        <f t="shared" si="20"/>
        <v>-5384.446363427508</v>
      </c>
      <c r="T54" s="978">
        <f t="shared" si="21"/>
        <v>-3252.2160947375296</v>
      </c>
    </row>
    <row r="61" spans="2:20" x14ac:dyDescent="0.3">
      <c r="B61" s="211" t="s">
        <v>6</v>
      </c>
      <c r="C61" s="194"/>
      <c r="D61" s="193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</row>
    <row r="62" spans="2:20" x14ac:dyDescent="0.3">
      <c r="B62" s="203"/>
      <c r="C62" s="1086"/>
      <c r="D62" s="1086"/>
      <c r="E62" s="1086"/>
      <c r="F62" s="148"/>
      <c r="G62" s="1086"/>
      <c r="H62" s="1086"/>
      <c r="I62" s="148"/>
      <c r="J62" s="148"/>
      <c r="K62" s="1087" t="s">
        <v>275</v>
      </c>
      <c r="L62" s="1088"/>
      <c r="M62" s="1088"/>
      <c r="N62" s="1088"/>
      <c r="O62" s="1089"/>
      <c r="P62" s="1087" t="s">
        <v>276</v>
      </c>
      <c r="Q62" s="1088"/>
      <c r="R62" s="1088"/>
      <c r="S62" s="1088"/>
      <c r="T62" s="1089"/>
    </row>
    <row r="63" spans="2:20" ht="51" x14ac:dyDescent="0.3">
      <c r="B63" s="204" t="s">
        <v>277</v>
      </c>
      <c r="C63" s="171" t="s">
        <v>279</v>
      </c>
      <c r="D63" s="171" t="s">
        <v>10</v>
      </c>
      <c r="E63" s="171" t="s">
        <v>280</v>
      </c>
      <c r="F63" s="205" t="s">
        <v>296</v>
      </c>
      <c r="G63" s="171" t="s">
        <v>282</v>
      </c>
      <c r="H63" s="171" t="s">
        <v>283</v>
      </c>
      <c r="I63" s="171" t="s">
        <v>284</v>
      </c>
      <c r="J63" s="171" t="s">
        <v>285</v>
      </c>
      <c r="K63" s="195" t="s">
        <v>286</v>
      </c>
      <c r="L63" s="171" t="s">
        <v>287</v>
      </c>
      <c r="M63" s="171" t="s">
        <v>288</v>
      </c>
      <c r="N63" s="171" t="s">
        <v>289</v>
      </c>
      <c r="O63" s="198" t="s">
        <v>290</v>
      </c>
      <c r="P63" s="195" t="s">
        <v>291</v>
      </c>
      <c r="Q63" s="171" t="s">
        <v>292</v>
      </c>
      <c r="R63" s="171" t="s">
        <v>293</v>
      </c>
      <c r="S63" s="171" t="s">
        <v>294</v>
      </c>
      <c r="T63" s="198" t="s">
        <v>295</v>
      </c>
    </row>
    <row r="64" spans="2:20" x14ac:dyDescent="0.3">
      <c r="B64" s="173"/>
      <c r="C64" s="201" t="s">
        <v>442</v>
      </c>
      <c r="D64" s="201" t="s">
        <v>442</v>
      </c>
      <c r="E64" s="201" t="s">
        <v>442</v>
      </c>
      <c r="F64" s="201" t="s">
        <v>442</v>
      </c>
      <c r="G64" s="201" t="s">
        <v>442</v>
      </c>
      <c r="H64" s="201" t="s">
        <v>442</v>
      </c>
      <c r="I64" s="201" t="s">
        <v>442</v>
      </c>
      <c r="J64" s="202" t="s">
        <v>440</v>
      </c>
      <c r="K64" s="201" t="s">
        <v>442</v>
      </c>
      <c r="L64" s="201" t="s">
        <v>442</v>
      </c>
      <c r="M64" s="201" t="s">
        <v>442</v>
      </c>
      <c r="N64" s="201" t="s">
        <v>442</v>
      </c>
      <c r="O64" s="202" t="s">
        <v>442</v>
      </c>
      <c r="P64" s="201" t="s">
        <v>442</v>
      </c>
      <c r="Q64" s="201" t="s">
        <v>442</v>
      </c>
      <c r="R64" s="201" t="s">
        <v>442</v>
      </c>
      <c r="S64" s="201" t="s">
        <v>442</v>
      </c>
      <c r="T64" s="202" t="s">
        <v>442</v>
      </c>
    </row>
    <row r="65" spans="2:20" x14ac:dyDescent="0.3">
      <c r="B65" s="728">
        <v>1</v>
      </c>
      <c r="C65" s="197">
        <f>'Margins summary'!$G$12</f>
        <v>1249.0049999999999</v>
      </c>
      <c r="D65" s="197">
        <f>'Margins summary'!$G$13</f>
        <v>175.95</v>
      </c>
      <c r="E65" s="197">
        <f>'Margins summary'!$G$18</f>
        <v>1424.9549999999999</v>
      </c>
      <c r="F65" s="197">
        <f>'Margins summary'!$G$24</f>
        <v>619.745</v>
      </c>
      <c r="G65" s="197">
        <f>'Margins summary'!$G$29</f>
        <v>710.23622685714281</v>
      </c>
      <c r="H65" s="197">
        <f>F65+G65</f>
        <v>1329.9812268571427</v>
      </c>
      <c r="I65" s="197">
        <f>C65-H65</f>
        <v>-80.976226857142819</v>
      </c>
      <c r="J65" s="197">
        <f t="shared" ref="J65:J80" si="23">E65-H65</f>
        <v>94.973773142857226</v>
      </c>
      <c r="K65" s="973">
        <f>C65/(1+$C$6)^($B65-1)</f>
        <v>1249.0049999999999</v>
      </c>
      <c r="L65" s="979">
        <f>D65/(1+$C$6)^($B65-1)</f>
        <v>175.95</v>
      </c>
      <c r="M65" s="974">
        <f>H65/(1+$C$6)^($B65-1)</f>
        <v>1329.9812268571427</v>
      </c>
      <c r="N65" s="974">
        <f>K65-M65</f>
        <v>-80.976226857142819</v>
      </c>
      <c r="O65" s="975">
        <f>N65+L65</f>
        <v>94.973773142857169</v>
      </c>
      <c r="P65" s="973">
        <f>K65</f>
        <v>1249.0049999999999</v>
      </c>
      <c r="Q65" s="974">
        <f>L65</f>
        <v>175.95</v>
      </c>
      <c r="R65" s="974">
        <f>M65</f>
        <v>1329.9812268571427</v>
      </c>
      <c r="S65" s="974">
        <f>N65</f>
        <v>-80.976226857142819</v>
      </c>
      <c r="T65" s="975">
        <f>O65</f>
        <v>94.973773142857169</v>
      </c>
    </row>
    <row r="66" spans="2:20" x14ac:dyDescent="0.3">
      <c r="B66" s="420">
        <v>2</v>
      </c>
      <c r="C66" s="197">
        <f>'Margins summary'!$G$12</f>
        <v>1249.0049999999999</v>
      </c>
      <c r="D66" s="197">
        <f>'Margins summary'!$G$13</f>
        <v>175.95</v>
      </c>
      <c r="E66" s="197">
        <f>'Margins summary'!$G$18</f>
        <v>1424.9549999999999</v>
      </c>
      <c r="F66" s="197">
        <f>'Margins summary'!$G$24</f>
        <v>619.745</v>
      </c>
      <c r="G66" s="197">
        <f>'Margins summary'!$G$29</f>
        <v>710.23622685714281</v>
      </c>
      <c r="H66" s="197">
        <f t="shared" ref="H66:H80" si="24">F66+G66</f>
        <v>1329.9812268571427</v>
      </c>
      <c r="I66" s="197">
        <f t="shared" ref="I66:I80" si="25">C66-H66</f>
        <v>-80.976226857142819</v>
      </c>
      <c r="J66" s="197">
        <f t="shared" si="23"/>
        <v>94.973773142857226</v>
      </c>
      <c r="K66" s="973">
        <f t="shared" ref="K66:K80" si="26">C66/(1+$C$6)^($B66-1)</f>
        <v>1200.966346153846</v>
      </c>
      <c r="L66" s="974">
        <f t="shared" ref="L66:L80" si="27">D66/(1+$C$6)^($B66-1)</f>
        <v>169.18269230769229</v>
      </c>
      <c r="M66" s="974">
        <f t="shared" ref="M66:M80" si="28">H66/(1+$C$6)^($B66-1)</f>
        <v>1278.8281027472526</v>
      </c>
      <c r="N66" s="974">
        <f t="shared" ref="N66:N80" si="29">K66-M66</f>
        <v>-77.861756593406653</v>
      </c>
      <c r="O66" s="975">
        <f t="shared" ref="O66:O80" si="30">N66+L66</f>
        <v>91.320935714285639</v>
      </c>
      <c r="P66" s="973">
        <f>P65+K66</f>
        <v>2449.9713461538458</v>
      </c>
      <c r="Q66" s="974">
        <f t="shared" ref="Q66:Q80" si="31">Q65+L66</f>
        <v>345.13269230769231</v>
      </c>
      <c r="R66" s="974">
        <f t="shared" ref="R66:R80" si="32">R65+M66</f>
        <v>2608.8093296043953</v>
      </c>
      <c r="S66" s="974">
        <f t="shared" ref="S66:S80" si="33">S65+N66</f>
        <v>-158.83798345054947</v>
      </c>
      <c r="T66" s="975">
        <f t="shared" ref="T66:T80" si="34">T65+O66</f>
        <v>186.29470885714281</v>
      </c>
    </row>
    <row r="67" spans="2:20" x14ac:dyDescent="0.3">
      <c r="B67" s="420">
        <v>3</v>
      </c>
      <c r="C67" s="197">
        <f>'Margins summary'!$G$12</f>
        <v>1249.0049999999999</v>
      </c>
      <c r="D67" s="197">
        <f>'Margins summary'!$G$13</f>
        <v>175.95</v>
      </c>
      <c r="E67" s="197">
        <f>'Margins summary'!$G$18</f>
        <v>1424.9549999999999</v>
      </c>
      <c r="F67" s="197">
        <f>'Margins summary'!$G$24</f>
        <v>619.745</v>
      </c>
      <c r="G67" s="197">
        <f>'Margins summary'!$G$29</f>
        <v>710.23622685714281</v>
      </c>
      <c r="H67" s="197">
        <f t="shared" si="24"/>
        <v>1329.9812268571427</v>
      </c>
      <c r="I67" s="197">
        <f t="shared" si="25"/>
        <v>-80.976226857142819</v>
      </c>
      <c r="J67" s="197">
        <f t="shared" si="23"/>
        <v>94.973773142857226</v>
      </c>
      <c r="K67" s="973">
        <f t="shared" si="26"/>
        <v>1154.7753328402364</v>
      </c>
      <c r="L67" s="974">
        <f t="shared" si="27"/>
        <v>162.67566568047334</v>
      </c>
      <c r="M67" s="974">
        <f t="shared" si="28"/>
        <v>1229.6424064877428</v>
      </c>
      <c r="N67" s="974">
        <f t="shared" si="29"/>
        <v>-74.867073647506459</v>
      </c>
      <c r="O67" s="975">
        <f t="shared" si="30"/>
        <v>87.808592032966885</v>
      </c>
      <c r="P67" s="973">
        <f t="shared" ref="P67:P80" si="35">P66+K67</f>
        <v>3604.7466789940822</v>
      </c>
      <c r="Q67" s="974">
        <f t="shared" si="31"/>
        <v>507.80835798816565</v>
      </c>
      <c r="R67" s="974">
        <f t="shared" si="32"/>
        <v>3838.4517360921382</v>
      </c>
      <c r="S67" s="974">
        <f t="shared" si="33"/>
        <v>-233.70505709805593</v>
      </c>
      <c r="T67" s="975">
        <f t="shared" si="34"/>
        <v>274.10330089010972</v>
      </c>
    </row>
    <row r="68" spans="2:20" x14ac:dyDescent="0.3">
      <c r="B68" s="420">
        <v>4</v>
      </c>
      <c r="C68" s="197">
        <f>'Margins summary'!$G$12</f>
        <v>1249.0049999999999</v>
      </c>
      <c r="D68" s="197">
        <f>'Margins summary'!$G$13</f>
        <v>175.95</v>
      </c>
      <c r="E68" s="197">
        <f>'Margins summary'!$G$18</f>
        <v>1424.9549999999999</v>
      </c>
      <c r="F68" s="197">
        <f>'Margins summary'!$G$24</f>
        <v>619.745</v>
      </c>
      <c r="G68" s="197">
        <f>'Margins summary'!$G$29</f>
        <v>710.23622685714281</v>
      </c>
      <c r="H68" s="197">
        <f t="shared" si="24"/>
        <v>1329.9812268571427</v>
      </c>
      <c r="I68" s="197">
        <f t="shared" si="25"/>
        <v>-80.976226857142819</v>
      </c>
      <c r="J68" s="197">
        <f t="shared" si="23"/>
        <v>94.973773142857226</v>
      </c>
      <c r="K68" s="973">
        <f t="shared" si="26"/>
        <v>1110.3608969617658</v>
      </c>
      <c r="L68" s="974">
        <f t="shared" si="27"/>
        <v>156.41890930814745</v>
      </c>
      <c r="M68" s="974">
        <f t="shared" si="28"/>
        <v>1182.3484677766758</v>
      </c>
      <c r="N68" s="974">
        <f t="shared" si="29"/>
        <v>-71.987570814909986</v>
      </c>
      <c r="O68" s="975">
        <f t="shared" si="30"/>
        <v>84.431338493237462</v>
      </c>
      <c r="P68" s="973">
        <f t="shared" si="35"/>
        <v>4715.107575955848</v>
      </c>
      <c r="Q68" s="974">
        <f t="shared" si="31"/>
        <v>664.22726729631313</v>
      </c>
      <c r="R68" s="974">
        <f t="shared" si="32"/>
        <v>5020.8002038688137</v>
      </c>
      <c r="S68" s="974">
        <f t="shared" si="33"/>
        <v>-305.69262791296592</v>
      </c>
      <c r="T68" s="975">
        <f t="shared" si="34"/>
        <v>358.53463938334721</v>
      </c>
    </row>
    <row r="69" spans="2:20" x14ac:dyDescent="0.3">
      <c r="B69" s="420">
        <v>5</v>
      </c>
      <c r="C69" s="197">
        <f>'Margins summary'!$G$12</f>
        <v>1249.0049999999999</v>
      </c>
      <c r="D69" s="197">
        <f>'Margins summary'!$G$13</f>
        <v>175.95</v>
      </c>
      <c r="E69" s="197">
        <f>'Margins summary'!$G$18</f>
        <v>1424.9549999999999</v>
      </c>
      <c r="F69" s="197">
        <f>'Margins summary'!$G$24</f>
        <v>619.745</v>
      </c>
      <c r="G69" s="197">
        <f>'Margins summary'!$G$29</f>
        <v>710.23622685714281</v>
      </c>
      <c r="H69" s="197">
        <f t="shared" si="24"/>
        <v>1329.9812268571427</v>
      </c>
      <c r="I69" s="197">
        <f t="shared" si="25"/>
        <v>-80.976226857142819</v>
      </c>
      <c r="J69" s="197">
        <f t="shared" si="23"/>
        <v>94.973773142857226</v>
      </c>
      <c r="K69" s="973">
        <f t="shared" si="26"/>
        <v>1067.6547086170824</v>
      </c>
      <c r="L69" s="974">
        <f t="shared" si="27"/>
        <v>150.40279741168024</v>
      </c>
      <c r="M69" s="974">
        <f t="shared" si="28"/>
        <v>1136.8735267083418</v>
      </c>
      <c r="N69" s="974">
        <f t="shared" si="29"/>
        <v>-69.218818091259436</v>
      </c>
      <c r="O69" s="975">
        <f t="shared" si="30"/>
        <v>81.183979320420804</v>
      </c>
      <c r="P69" s="973">
        <f t="shared" si="35"/>
        <v>5782.7622845729302</v>
      </c>
      <c r="Q69" s="974">
        <f t="shared" si="31"/>
        <v>814.63006470799337</v>
      </c>
      <c r="R69" s="974">
        <f t="shared" si="32"/>
        <v>6157.6737305771558</v>
      </c>
      <c r="S69" s="974">
        <f t="shared" si="33"/>
        <v>-374.91144600422535</v>
      </c>
      <c r="T69" s="975">
        <f t="shared" si="34"/>
        <v>439.71861870376802</v>
      </c>
    </row>
    <row r="70" spans="2:20" x14ac:dyDescent="0.3">
      <c r="B70" s="420">
        <v>6</v>
      </c>
      <c r="C70" s="197">
        <f>'Margins summary'!$G$12</f>
        <v>1249.0049999999999</v>
      </c>
      <c r="D70" s="197">
        <f>'Margins summary'!$G$13</f>
        <v>175.95</v>
      </c>
      <c r="E70" s="197">
        <f>'Margins summary'!$G$18</f>
        <v>1424.9549999999999</v>
      </c>
      <c r="F70" s="197">
        <f>'Margins summary'!$G$24</f>
        <v>619.745</v>
      </c>
      <c r="G70" s="197">
        <f>'Margins summary'!$G$29</f>
        <v>710.23622685714281</v>
      </c>
      <c r="H70" s="197">
        <f t="shared" si="24"/>
        <v>1329.9812268571427</v>
      </c>
      <c r="I70" s="197">
        <f t="shared" si="25"/>
        <v>-80.976226857142819</v>
      </c>
      <c r="J70" s="197">
        <f t="shared" si="23"/>
        <v>94.973773142857226</v>
      </c>
      <c r="K70" s="973">
        <f t="shared" si="26"/>
        <v>1026.5910659779638</v>
      </c>
      <c r="L70" s="974">
        <f t="shared" si="27"/>
        <v>144.61807443430789</v>
      </c>
      <c r="M70" s="974">
        <f t="shared" si="28"/>
        <v>1093.1476218349442</v>
      </c>
      <c r="N70" s="974">
        <f t="shared" si="29"/>
        <v>-66.556555856980367</v>
      </c>
      <c r="O70" s="975">
        <f t="shared" si="30"/>
        <v>78.061518577327519</v>
      </c>
      <c r="P70" s="973">
        <f t="shared" si="35"/>
        <v>6809.353350550894</v>
      </c>
      <c r="Q70" s="974">
        <f t="shared" si="31"/>
        <v>959.24813914230128</v>
      </c>
      <c r="R70" s="974">
        <f t="shared" si="32"/>
        <v>7250.8213524121002</v>
      </c>
      <c r="S70" s="974">
        <f t="shared" si="33"/>
        <v>-441.46800186120572</v>
      </c>
      <c r="T70" s="975">
        <f t="shared" si="34"/>
        <v>517.78013728109556</v>
      </c>
    </row>
    <row r="71" spans="2:20" x14ac:dyDescent="0.3">
      <c r="B71" s="420">
        <v>7</v>
      </c>
      <c r="C71" s="197">
        <f>'Margins summary'!$G$12</f>
        <v>1249.0049999999999</v>
      </c>
      <c r="D71" s="197">
        <f>'Margins summary'!$G$13</f>
        <v>175.95</v>
      </c>
      <c r="E71" s="197">
        <f>'Margins summary'!$G$18</f>
        <v>1424.9549999999999</v>
      </c>
      <c r="F71" s="197">
        <f>'Margins summary'!$G$24</f>
        <v>619.745</v>
      </c>
      <c r="G71" s="197">
        <f>'Margins summary'!$G$29</f>
        <v>710.23622685714281</v>
      </c>
      <c r="H71" s="197">
        <f t="shared" si="24"/>
        <v>1329.9812268571427</v>
      </c>
      <c r="I71" s="197">
        <f t="shared" si="25"/>
        <v>-80.976226857142819</v>
      </c>
      <c r="J71" s="197">
        <f t="shared" si="23"/>
        <v>94.973773142857226</v>
      </c>
      <c r="K71" s="973">
        <f t="shared" si="26"/>
        <v>987.10679420958058</v>
      </c>
      <c r="L71" s="974">
        <f t="shared" si="27"/>
        <v>139.05584080221914</v>
      </c>
      <c r="M71" s="974">
        <f t="shared" si="28"/>
        <v>1051.1034825336001</v>
      </c>
      <c r="N71" s="974">
        <f t="shared" si="29"/>
        <v>-63.996688324019487</v>
      </c>
      <c r="O71" s="975">
        <f t="shared" si="30"/>
        <v>75.05915247819965</v>
      </c>
      <c r="P71" s="973">
        <f t="shared" si="35"/>
        <v>7796.4601447604746</v>
      </c>
      <c r="Q71" s="974">
        <f t="shared" si="31"/>
        <v>1098.3039799445205</v>
      </c>
      <c r="R71" s="974">
        <f t="shared" si="32"/>
        <v>8301.9248349457011</v>
      </c>
      <c r="S71" s="974">
        <f t="shared" si="33"/>
        <v>-505.46469018522521</v>
      </c>
      <c r="T71" s="975">
        <f t="shared" si="34"/>
        <v>592.83928975929518</v>
      </c>
    </row>
    <row r="72" spans="2:20" x14ac:dyDescent="0.3">
      <c r="B72" s="420">
        <v>8</v>
      </c>
      <c r="C72" s="197">
        <f>'Margins summary'!$G$12</f>
        <v>1249.0049999999999</v>
      </c>
      <c r="D72" s="197">
        <f>'Margins summary'!$G$13</f>
        <v>175.95</v>
      </c>
      <c r="E72" s="197">
        <f>'Margins summary'!$G$18</f>
        <v>1424.9549999999999</v>
      </c>
      <c r="F72" s="197">
        <f>'Margins summary'!$G$24</f>
        <v>619.745</v>
      </c>
      <c r="G72" s="197">
        <f>'Margins summary'!$G$29</f>
        <v>710.23622685714281</v>
      </c>
      <c r="H72" s="197">
        <f t="shared" si="24"/>
        <v>1329.9812268571427</v>
      </c>
      <c r="I72" s="197">
        <f t="shared" si="25"/>
        <v>-80.976226857142819</v>
      </c>
      <c r="J72" s="197">
        <f t="shared" si="23"/>
        <v>94.973773142857226</v>
      </c>
      <c r="K72" s="973">
        <f t="shared" si="26"/>
        <v>949.14114827844287</v>
      </c>
      <c r="L72" s="974">
        <f t="shared" si="27"/>
        <v>133.70753923290303</v>
      </c>
      <c r="M72" s="974">
        <f t="shared" si="28"/>
        <v>1010.6764255130771</v>
      </c>
      <c r="N72" s="974">
        <f t="shared" si="29"/>
        <v>-61.535277234634236</v>
      </c>
      <c r="O72" s="975">
        <f t="shared" si="30"/>
        <v>72.172261998268795</v>
      </c>
      <c r="P72" s="973">
        <f t="shared" si="35"/>
        <v>8745.601293038917</v>
      </c>
      <c r="Q72" s="974">
        <f t="shared" si="31"/>
        <v>1232.0115191774235</v>
      </c>
      <c r="R72" s="974">
        <f t="shared" si="32"/>
        <v>9312.6012604587777</v>
      </c>
      <c r="S72" s="974">
        <f t="shared" si="33"/>
        <v>-566.99996741985944</v>
      </c>
      <c r="T72" s="975">
        <f t="shared" si="34"/>
        <v>665.01155175756401</v>
      </c>
    </row>
    <row r="73" spans="2:20" x14ac:dyDescent="0.3">
      <c r="B73" s="420">
        <v>9</v>
      </c>
      <c r="C73" s="197">
        <f>'Margins summary'!$G$12</f>
        <v>1249.0049999999999</v>
      </c>
      <c r="D73" s="197">
        <f>'Margins summary'!$G$13</f>
        <v>175.95</v>
      </c>
      <c r="E73" s="197">
        <f>'Margins summary'!$G$18</f>
        <v>1424.9549999999999</v>
      </c>
      <c r="F73" s="197">
        <f>'Margins summary'!$G$24</f>
        <v>619.745</v>
      </c>
      <c r="G73" s="197">
        <f>'Margins summary'!$G$29</f>
        <v>710.23622685714281</v>
      </c>
      <c r="H73" s="197">
        <f t="shared" si="24"/>
        <v>1329.9812268571427</v>
      </c>
      <c r="I73" s="197">
        <f t="shared" si="25"/>
        <v>-80.976226857142819</v>
      </c>
      <c r="J73" s="197">
        <f t="shared" si="23"/>
        <v>94.973773142857226</v>
      </c>
      <c r="K73" s="973">
        <f t="shared" si="26"/>
        <v>912.63571949850268</v>
      </c>
      <c r="L73" s="974">
        <f t="shared" si="27"/>
        <v>128.56494157009902</v>
      </c>
      <c r="M73" s="974">
        <f t="shared" si="28"/>
        <v>971.80425530103548</v>
      </c>
      <c r="N73" s="974">
        <f t="shared" si="29"/>
        <v>-59.168535802532801</v>
      </c>
      <c r="O73" s="975">
        <f t="shared" si="30"/>
        <v>69.396405767566222</v>
      </c>
      <c r="P73" s="973">
        <f t="shared" si="35"/>
        <v>9658.23701253742</v>
      </c>
      <c r="Q73" s="974">
        <f t="shared" si="31"/>
        <v>1360.5764607475226</v>
      </c>
      <c r="R73" s="974">
        <f t="shared" si="32"/>
        <v>10284.405515759812</v>
      </c>
      <c r="S73" s="974">
        <f t="shared" si="33"/>
        <v>-626.16850322239225</v>
      </c>
      <c r="T73" s="975">
        <f t="shared" si="34"/>
        <v>734.4079575251302</v>
      </c>
    </row>
    <row r="74" spans="2:20" x14ac:dyDescent="0.3">
      <c r="B74" s="420">
        <v>10</v>
      </c>
      <c r="C74" s="197">
        <f>'Margins summary'!$G$12</f>
        <v>1249.0049999999999</v>
      </c>
      <c r="D74" s="197">
        <f>'Margins summary'!$G$13</f>
        <v>175.95</v>
      </c>
      <c r="E74" s="197">
        <f>'Margins summary'!$G$18</f>
        <v>1424.9549999999999</v>
      </c>
      <c r="F74" s="197">
        <f>'Margins summary'!$G$24</f>
        <v>619.745</v>
      </c>
      <c r="G74" s="197">
        <f>'Margins summary'!$G$29</f>
        <v>710.23622685714281</v>
      </c>
      <c r="H74" s="197">
        <f t="shared" si="24"/>
        <v>1329.9812268571427</v>
      </c>
      <c r="I74" s="197">
        <f t="shared" si="25"/>
        <v>-80.976226857142819</v>
      </c>
      <c r="J74" s="197">
        <f t="shared" si="23"/>
        <v>94.973773142857226</v>
      </c>
      <c r="K74" s="973">
        <f t="shared" si="26"/>
        <v>877.53434567163708</v>
      </c>
      <c r="L74" s="974">
        <f t="shared" si="27"/>
        <v>123.62013612509521</v>
      </c>
      <c r="M74" s="974">
        <f t="shared" si="28"/>
        <v>934.42716855868787</v>
      </c>
      <c r="N74" s="974">
        <f t="shared" si="29"/>
        <v>-56.892822887050784</v>
      </c>
      <c r="O74" s="975">
        <f t="shared" si="30"/>
        <v>66.727313238044431</v>
      </c>
      <c r="P74" s="973">
        <f t="shared" si="35"/>
        <v>10535.771358209056</v>
      </c>
      <c r="Q74" s="974">
        <f t="shared" si="31"/>
        <v>1484.1965968726179</v>
      </c>
      <c r="R74" s="974">
        <f t="shared" si="32"/>
        <v>11218.8326843185</v>
      </c>
      <c r="S74" s="974">
        <f t="shared" si="33"/>
        <v>-683.06132610944303</v>
      </c>
      <c r="T74" s="975">
        <f t="shared" si="34"/>
        <v>801.13527076317462</v>
      </c>
    </row>
    <row r="75" spans="2:20" x14ac:dyDescent="0.3">
      <c r="B75" s="420">
        <v>11</v>
      </c>
      <c r="C75" s="197">
        <f>'Margins summary'!$G$12</f>
        <v>1249.0049999999999</v>
      </c>
      <c r="D75" s="197">
        <f>'Margins summary'!$G$13</f>
        <v>175.95</v>
      </c>
      <c r="E75" s="197">
        <f>'Margins summary'!$G$18</f>
        <v>1424.9549999999999</v>
      </c>
      <c r="F75" s="197">
        <f>'Margins summary'!$G$24</f>
        <v>619.745</v>
      </c>
      <c r="G75" s="197">
        <f>'Margins summary'!$G$29</f>
        <v>710.23622685714281</v>
      </c>
      <c r="H75" s="197">
        <f t="shared" si="24"/>
        <v>1329.9812268571427</v>
      </c>
      <c r="I75" s="197">
        <f t="shared" si="25"/>
        <v>-80.976226857142819</v>
      </c>
      <c r="J75" s="197">
        <f t="shared" si="23"/>
        <v>94.973773142857226</v>
      </c>
      <c r="K75" s="973">
        <f t="shared" si="26"/>
        <v>843.78302468426648</v>
      </c>
      <c r="L75" s="974">
        <f t="shared" si="27"/>
        <v>118.86551550489925</v>
      </c>
      <c r="M75" s="974">
        <f t="shared" si="28"/>
        <v>898.48766207566143</v>
      </c>
      <c r="N75" s="974">
        <f t="shared" si="29"/>
        <v>-54.704637391394954</v>
      </c>
      <c r="O75" s="975">
        <f t="shared" si="30"/>
        <v>64.160878113504296</v>
      </c>
      <c r="P75" s="973">
        <f t="shared" si="35"/>
        <v>11379.554382893322</v>
      </c>
      <c r="Q75" s="974">
        <f t="shared" si="31"/>
        <v>1603.0621123775172</v>
      </c>
      <c r="R75" s="974">
        <f t="shared" si="32"/>
        <v>12117.320346394163</v>
      </c>
      <c r="S75" s="974">
        <f t="shared" si="33"/>
        <v>-737.76596350083798</v>
      </c>
      <c r="T75" s="975">
        <f t="shared" si="34"/>
        <v>865.2961488766789</v>
      </c>
    </row>
    <row r="76" spans="2:20" x14ac:dyDescent="0.3">
      <c r="B76" s="420">
        <v>12</v>
      </c>
      <c r="C76" s="197">
        <f>'Margins summary'!$G$12</f>
        <v>1249.0049999999999</v>
      </c>
      <c r="D76" s="197">
        <f>'Margins summary'!$G$13</f>
        <v>175.95</v>
      </c>
      <c r="E76" s="197">
        <f>'Margins summary'!$G$18</f>
        <v>1424.9549999999999</v>
      </c>
      <c r="F76" s="197">
        <f>'Margins summary'!$G$24</f>
        <v>619.745</v>
      </c>
      <c r="G76" s="197">
        <f>'Margins summary'!$G$29</f>
        <v>710.23622685714281</v>
      </c>
      <c r="H76" s="197">
        <f t="shared" si="24"/>
        <v>1329.9812268571427</v>
      </c>
      <c r="I76" s="197">
        <f t="shared" si="25"/>
        <v>-80.976226857142819</v>
      </c>
      <c r="J76" s="197">
        <f t="shared" si="23"/>
        <v>94.973773142857226</v>
      </c>
      <c r="K76" s="973">
        <f t="shared" si="26"/>
        <v>811.32983142717933</v>
      </c>
      <c r="L76" s="974">
        <f t="shared" si="27"/>
        <v>114.29376490855698</v>
      </c>
      <c r="M76" s="974">
        <f t="shared" si="28"/>
        <v>863.93044430352063</v>
      </c>
      <c r="N76" s="974">
        <f t="shared" si="29"/>
        <v>-52.600612876341302</v>
      </c>
      <c r="O76" s="975">
        <f t="shared" si="30"/>
        <v>61.693152032215679</v>
      </c>
      <c r="P76" s="973">
        <f t="shared" si="35"/>
        <v>12190.884214320502</v>
      </c>
      <c r="Q76" s="974">
        <f t="shared" si="31"/>
        <v>1717.3558772860742</v>
      </c>
      <c r="R76" s="974">
        <f t="shared" si="32"/>
        <v>12981.250790697683</v>
      </c>
      <c r="S76" s="974">
        <f t="shared" si="33"/>
        <v>-790.36657637717929</v>
      </c>
      <c r="T76" s="975">
        <f t="shared" si="34"/>
        <v>926.98930090889462</v>
      </c>
    </row>
    <row r="77" spans="2:20" x14ac:dyDescent="0.3">
      <c r="B77" s="420">
        <v>13</v>
      </c>
      <c r="C77" s="197">
        <f>'Margins summary'!$G$12</f>
        <v>1249.0049999999999</v>
      </c>
      <c r="D77" s="197">
        <f>'Margins summary'!$G$13</f>
        <v>175.95</v>
      </c>
      <c r="E77" s="197">
        <f>'Margins summary'!$G$18</f>
        <v>1424.9549999999999</v>
      </c>
      <c r="F77" s="197">
        <f>'Margins summary'!$G$24</f>
        <v>619.745</v>
      </c>
      <c r="G77" s="197">
        <f>'Margins summary'!$G$29</f>
        <v>710.23622685714281</v>
      </c>
      <c r="H77" s="197">
        <f t="shared" si="24"/>
        <v>1329.9812268571427</v>
      </c>
      <c r="I77" s="197">
        <f t="shared" si="25"/>
        <v>-80.976226857142819</v>
      </c>
      <c r="J77" s="197">
        <f t="shared" si="23"/>
        <v>94.973773142857226</v>
      </c>
      <c r="K77" s="973">
        <f t="shared" si="26"/>
        <v>780.12483791074919</v>
      </c>
      <c r="L77" s="974">
        <f t="shared" si="27"/>
        <v>109.89785087361246</v>
      </c>
      <c r="M77" s="974">
        <f t="shared" si="28"/>
        <v>830.70235029184664</v>
      </c>
      <c r="N77" s="974">
        <f t="shared" si="29"/>
        <v>-50.577512381097449</v>
      </c>
      <c r="O77" s="975">
        <f t="shared" si="30"/>
        <v>59.320338492515006</v>
      </c>
      <c r="P77" s="973">
        <f t="shared" si="35"/>
        <v>12971.009052231251</v>
      </c>
      <c r="Q77" s="974">
        <f t="shared" si="31"/>
        <v>1827.2537281596867</v>
      </c>
      <c r="R77" s="974">
        <f t="shared" si="32"/>
        <v>13811.95314098953</v>
      </c>
      <c r="S77" s="974">
        <f t="shared" si="33"/>
        <v>-840.94408875827673</v>
      </c>
      <c r="T77" s="975">
        <f t="shared" si="34"/>
        <v>986.30963940140964</v>
      </c>
    </row>
    <row r="78" spans="2:20" x14ac:dyDescent="0.3">
      <c r="B78" s="420">
        <v>14</v>
      </c>
      <c r="C78" s="197">
        <f>'Margins summary'!$G$12</f>
        <v>1249.0049999999999</v>
      </c>
      <c r="D78" s="197">
        <f>'Margins summary'!$G$13</f>
        <v>175.95</v>
      </c>
      <c r="E78" s="197">
        <f>'Margins summary'!$G$18</f>
        <v>1424.9549999999999</v>
      </c>
      <c r="F78" s="197">
        <f>'Margins summary'!$G$24</f>
        <v>619.745</v>
      </c>
      <c r="G78" s="197">
        <f>'Margins summary'!$G$29</f>
        <v>710.23622685714281</v>
      </c>
      <c r="H78" s="197">
        <f t="shared" si="24"/>
        <v>1329.9812268571427</v>
      </c>
      <c r="I78" s="197">
        <f t="shared" si="25"/>
        <v>-80.976226857142819</v>
      </c>
      <c r="J78" s="197">
        <f t="shared" si="23"/>
        <v>94.973773142857226</v>
      </c>
      <c r="K78" s="973">
        <f t="shared" si="26"/>
        <v>750.12003645264338</v>
      </c>
      <c r="L78" s="974">
        <f t="shared" si="27"/>
        <v>105.67101045539658</v>
      </c>
      <c r="M78" s="974">
        <f t="shared" si="28"/>
        <v>798.75225989600631</v>
      </c>
      <c r="N78" s="974">
        <f t="shared" si="29"/>
        <v>-48.632223443362932</v>
      </c>
      <c r="O78" s="975">
        <f t="shared" si="30"/>
        <v>57.038787012033652</v>
      </c>
      <c r="P78" s="973">
        <f t="shared" si="35"/>
        <v>13721.129088683894</v>
      </c>
      <c r="Q78" s="974">
        <f t="shared" si="31"/>
        <v>1932.9247386150832</v>
      </c>
      <c r="R78" s="974">
        <f t="shared" si="32"/>
        <v>14610.705400885536</v>
      </c>
      <c r="S78" s="974">
        <f t="shared" si="33"/>
        <v>-889.57631220163967</v>
      </c>
      <c r="T78" s="975">
        <f t="shared" si="34"/>
        <v>1043.3484264134433</v>
      </c>
    </row>
    <row r="79" spans="2:20" x14ac:dyDescent="0.3">
      <c r="B79" s="420">
        <v>15</v>
      </c>
      <c r="C79" s="197">
        <f>'Margins summary'!$G$12</f>
        <v>1249.0049999999999</v>
      </c>
      <c r="D79" s="197">
        <f>'Margins summary'!$G$13</f>
        <v>175.95</v>
      </c>
      <c r="E79" s="197">
        <f>'Margins summary'!$G$18</f>
        <v>1424.9549999999999</v>
      </c>
      <c r="F79" s="197">
        <f>'Margins summary'!$G$24</f>
        <v>619.745</v>
      </c>
      <c r="G79" s="197">
        <f>'Margins summary'!$G$29</f>
        <v>710.23622685714281</v>
      </c>
      <c r="H79" s="197">
        <f t="shared" si="24"/>
        <v>1329.9812268571427</v>
      </c>
      <c r="I79" s="197">
        <f t="shared" si="25"/>
        <v>-80.976226857142819</v>
      </c>
      <c r="J79" s="197">
        <f t="shared" si="23"/>
        <v>94.973773142857226</v>
      </c>
      <c r="K79" s="973">
        <f t="shared" si="26"/>
        <v>721.26926581984947</v>
      </c>
      <c r="L79" s="974">
        <f t="shared" si="27"/>
        <v>101.60674082249672</v>
      </c>
      <c r="M79" s="974">
        <f t="shared" si="28"/>
        <v>768.03101913077535</v>
      </c>
      <c r="N79" s="974">
        <f t="shared" si="29"/>
        <v>-46.761753310925883</v>
      </c>
      <c r="O79" s="975">
        <f t="shared" si="30"/>
        <v>54.844987511570835</v>
      </c>
      <c r="P79" s="973">
        <f t="shared" si="35"/>
        <v>14442.398354503744</v>
      </c>
      <c r="Q79" s="974">
        <f t="shared" si="31"/>
        <v>2034.5314794375799</v>
      </c>
      <c r="R79" s="974">
        <f t="shared" si="32"/>
        <v>15378.73642001631</v>
      </c>
      <c r="S79" s="974">
        <f t="shared" si="33"/>
        <v>-936.33806551256555</v>
      </c>
      <c r="T79" s="975">
        <f t="shared" si="34"/>
        <v>1098.1934139250143</v>
      </c>
    </row>
    <row r="80" spans="2:20" x14ac:dyDescent="0.3">
      <c r="B80" s="561">
        <v>16</v>
      </c>
      <c r="C80" s="207">
        <f>'Margins summary'!$G$12</f>
        <v>1249.0049999999999</v>
      </c>
      <c r="D80" s="207">
        <f>'Margins summary'!$G$13</f>
        <v>175.95</v>
      </c>
      <c r="E80" s="207">
        <f>'Margins summary'!$G$18</f>
        <v>1424.9549999999999</v>
      </c>
      <c r="F80" s="207">
        <f>'Margins summary'!$G$24</f>
        <v>619.745</v>
      </c>
      <c r="G80" s="207">
        <f>'Margins summary'!$G$29</f>
        <v>710.23622685714281</v>
      </c>
      <c r="H80" s="207">
        <f t="shared" si="24"/>
        <v>1329.9812268571427</v>
      </c>
      <c r="I80" s="207">
        <f t="shared" si="25"/>
        <v>-80.976226857142819</v>
      </c>
      <c r="J80" s="207">
        <f t="shared" si="23"/>
        <v>94.973773142857226</v>
      </c>
      <c r="K80" s="976">
        <f t="shared" si="26"/>
        <v>693.52814021139375</v>
      </c>
      <c r="L80" s="977">
        <f t="shared" si="27"/>
        <v>97.698789252400701</v>
      </c>
      <c r="M80" s="977">
        <f t="shared" si="28"/>
        <v>738.4913645488225</v>
      </c>
      <c r="N80" s="977">
        <f t="shared" si="29"/>
        <v>-44.963224337428755</v>
      </c>
      <c r="O80" s="978">
        <f t="shared" si="30"/>
        <v>52.735564914971945</v>
      </c>
      <c r="P80" s="976">
        <f t="shared" si="35"/>
        <v>15135.926494715139</v>
      </c>
      <c r="Q80" s="977">
        <f t="shared" si="31"/>
        <v>2132.2302686899807</v>
      </c>
      <c r="R80" s="977">
        <f t="shared" si="32"/>
        <v>16117.227784565133</v>
      </c>
      <c r="S80" s="977">
        <f t="shared" si="33"/>
        <v>-981.3012898499943</v>
      </c>
      <c r="T80" s="978">
        <f t="shared" si="34"/>
        <v>1150.9289788399863</v>
      </c>
    </row>
    <row r="87" spans="2:20" x14ac:dyDescent="0.3">
      <c r="B87" s="212" t="s">
        <v>7</v>
      </c>
      <c r="C87" s="194"/>
      <c r="D87" s="193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</row>
    <row r="88" spans="2:20" x14ac:dyDescent="0.3">
      <c r="B88" s="203"/>
      <c r="C88" s="1086"/>
      <c r="D88" s="1086"/>
      <c r="E88" s="1086"/>
      <c r="F88" s="148"/>
      <c r="G88" s="1086"/>
      <c r="H88" s="1086"/>
      <c r="I88" s="148"/>
      <c r="J88" s="148"/>
      <c r="K88" s="1087" t="s">
        <v>275</v>
      </c>
      <c r="L88" s="1088"/>
      <c r="M88" s="1088"/>
      <c r="N88" s="1088"/>
      <c r="O88" s="1089"/>
      <c r="P88" s="1087" t="s">
        <v>276</v>
      </c>
      <c r="Q88" s="1088"/>
      <c r="R88" s="1088"/>
      <c r="S88" s="1088"/>
      <c r="T88" s="1089"/>
    </row>
    <row r="89" spans="2:20" ht="51" x14ac:dyDescent="0.3">
      <c r="B89" s="204" t="s">
        <v>277</v>
      </c>
      <c r="C89" s="171" t="s">
        <v>279</v>
      </c>
      <c r="D89" s="171" t="s">
        <v>10</v>
      </c>
      <c r="E89" s="171" t="s">
        <v>280</v>
      </c>
      <c r="F89" s="205" t="s">
        <v>296</v>
      </c>
      <c r="G89" s="171" t="s">
        <v>282</v>
      </c>
      <c r="H89" s="171" t="s">
        <v>283</v>
      </c>
      <c r="I89" s="171" t="s">
        <v>284</v>
      </c>
      <c r="J89" s="171" t="s">
        <v>285</v>
      </c>
      <c r="K89" s="195" t="s">
        <v>286</v>
      </c>
      <c r="L89" s="171" t="s">
        <v>287</v>
      </c>
      <c r="M89" s="171" t="s">
        <v>288</v>
      </c>
      <c r="N89" s="171" t="s">
        <v>289</v>
      </c>
      <c r="O89" s="198" t="s">
        <v>290</v>
      </c>
      <c r="P89" s="195" t="s">
        <v>291</v>
      </c>
      <c r="Q89" s="171" t="s">
        <v>292</v>
      </c>
      <c r="R89" s="171" t="s">
        <v>293</v>
      </c>
      <c r="S89" s="171" t="s">
        <v>294</v>
      </c>
      <c r="T89" s="198" t="s">
        <v>295</v>
      </c>
    </row>
    <row r="90" spans="2:20" x14ac:dyDescent="0.3">
      <c r="B90" s="173"/>
      <c r="C90" s="201" t="s">
        <v>442</v>
      </c>
      <c r="D90" s="201" t="s">
        <v>442</v>
      </c>
      <c r="E90" s="201" t="s">
        <v>442</v>
      </c>
      <c r="F90" s="201" t="s">
        <v>442</v>
      </c>
      <c r="G90" s="201" t="s">
        <v>442</v>
      </c>
      <c r="H90" s="201" t="s">
        <v>442</v>
      </c>
      <c r="I90" s="201" t="s">
        <v>442</v>
      </c>
      <c r="J90" s="202" t="s">
        <v>440</v>
      </c>
      <c r="K90" s="201" t="s">
        <v>442</v>
      </c>
      <c r="L90" s="201" t="s">
        <v>442</v>
      </c>
      <c r="M90" s="201" t="s">
        <v>442</v>
      </c>
      <c r="N90" s="201" t="s">
        <v>442</v>
      </c>
      <c r="O90" s="202" t="s">
        <v>442</v>
      </c>
      <c r="P90" s="201" t="s">
        <v>442</v>
      </c>
      <c r="Q90" s="201" t="s">
        <v>442</v>
      </c>
      <c r="R90" s="201" t="s">
        <v>442</v>
      </c>
      <c r="S90" s="201" t="s">
        <v>442</v>
      </c>
      <c r="T90" s="202" t="s">
        <v>442</v>
      </c>
    </row>
    <row r="91" spans="2:20" x14ac:dyDescent="0.3">
      <c r="B91" s="728">
        <v>1</v>
      </c>
      <c r="C91" s="197">
        <f>'Margins summary'!$H$12</f>
        <v>1640.6000000000001</v>
      </c>
      <c r="D91" s="197">
        <f>'Margins summary'!$H$13</f>
        <v>175.95</v>
      </c>
      <c r="E91" s="197">
        <f>'Margins summary'!$H$18</f>
        <v>1816.5500000000002</v>
      </c>
      <c r="F91" s="197">
        <f>'Margins summary'!$H$24</f>
        <v>819.30399999999986</v>
      </c>
      <c r="G91" s="197">
        <f>'Margins summary'!$H$29</f>
        <v>996.95456799999988</v>
      </c>
      <c r="H91" s="197">
        <f>F91+G91</f>
        <v>1816.2585679999997</v>
      </c>
      <c r="I91" s="197">
        <f>C91-H91</f>
        <v>-175.6585679999996</v>
      </c>
      <c r="J91" s="197">
        <f t="shared" ref="J91:J106" si="36">E91-H91</f>
        <v>0.29143200000044089</v>
      </c>
      <c r="K91" s="973">
        <f>C91/(1+$C$6)^($B91-1)</f>
        <v>1640.6000000000001</v>
      </c>
      <c r="L91" s="974">
        <f>D91/(1+$C$6)^($B91-1)</f>
        <v>175.95</v>
      </c>
      <c r="M91" s="974">
        <f>H91/(1+$C$6)^($B91-1)</f>
        <v>1816.2585679999997</v>
      </c>
      <c r="N91" s="974">
        <f>K91-M91</f>
        <v>-175.6585679999996</v>
      </c>
      <c r="O91" s="975">
        <f>N91+L91</f>
        <v>0.29143200000038405</v>
      </c>
      <c r="P91" s="973">
        <f>K91</f>
        <v>1640.6000000000001</v>
      </c>
      <c r="Q91" s="974">
        <f>L91</f>
        <v>175.95</v>
      </c>
      <c r="R91" s="974">
        <f>M91</f>
        <v>1816.2585679999997</v>
      </c>
      <c r="S91" s="974">
        <f>N91</f>
        <v>-175.6585679999996</v>
      </c>
      <c r="T91" s="975">
        <f>O91</f>
        <v>0.29143200000038405</v>
      </c>
    </row>
    <row r="92" spans="2:20" x14ac:dyDescent="0.3">
      <c r="B92" s="420">
        <v>2</v>
      </c>
      <c r="C92" s="197">
        <f>'Margins summary'!$H$12</f>
        <v>1640.6000000000001</v>
      </c>
      <c r="D92" s="197">
        <f>'Margins summary'!$H$13</f>
        <v>175.95</v>
      </c>
      <c r="E92" s="197">
        <f>'Margins summary'!$H$18</f>
        <v>1816.5500000000002</v>
      </c>
      <c r="F92" s="197">
        <f>'Margins summary'!$H$24</f>
        <v>819.30399999999986</v>
      </c>
      <c r="G92" s="197">
        <f>'Margins summary'!$H$29</f>
        <v>996.95456799999988</v>
      </c>
      <c r="H92" s="197">
        <f t="shared" ref="H92:H106" si="37">F92+G92</f>
        <v>1816.2585679999997</v>
      </c>
      <c r="I92" s="197">
        <f t="shared" ref="I92:I106" si="38">C92-H92</f>
        <v>-175.6585679999996</v>
      </c>
      <c r="J92" s="197">
        <f t="shared" si="36"/>
        <v>0.29143200000044089</v>
      </c>
      <c r="K92" s="973">
        <f t="shared" ref="K92:K106" si="39">C92/(1+$C$6)^($B92-1)</f>
        <v>1577.5</v>
      </c>
      <c r="L92" s="974">
        <f t="shared" ref="L92:L106" si="40">D92/(1+$C$6)^($B92-1)</f>
        <v>169.18269230769229</v>
      </c>
      <c r="M92" s="974">
        <f t="shared" ref="M92:M106" si="41">H92/(1+$C$6)^($B92-1)</f>
        <v>1746.4024692307689</v>
      </c>
      <c r="N92" s="974">
        <f t="shared" ref="N92:N106" si="42">K92-M92</f>
        <v>-168.90246923076893</v>
      </c>
      <c r="O92" s="975">
        <f t="shared" ref="O92:O106" si="43">N92+L92</f>
        <v>0.28022307692336312</v>
      </c>
      <c r="P92" s="973">
        <f>P91+K92</f>
        <v>3218.1000000000004</v>
      </c>
      <c r="Q92" s="974">
        <f t="shared" ref="Q92:Q106" si="44">Q91+L92</f>
        <v>345.13269230769231</v>
      </c>
      <c r="R92" s="974">
        <f t="shared" ref="R92:R105" si="45">R91+M92</f>
        <v>3562.6610372307687</v>
      </c>
      <c r="S92" s="974">
        <f t="shared" ref="S92:S106" si="46">S91+N92</f>
        <v>-344.56103723076853</v>
      </c>
      <c r="T92" s="975">
        <f t="shared" ref="T92:T106" si="47">T91+O92</f>
        <v>0.57165507692374717</v>
      </c>
    </row>
    <row r="93" spans="2:20" x14ac:dyDescent="0.3">
      <c r="B93" s="420">
        <v>3</v>
      </c>
      <c r="C93" s="197">
        <f>'Margins summary'!$H$12</f>
        <v>1640.6000000000001</v>
      </c>
      <c r="D93" s="197">
        <f>'Margins summary'!$H$13</f>
        <v>175.95</v>
      </c>
      <c r="E93" s="197">
        <f>'Margins summary'!$H$18</f>
        <v>1816.5500000000002</v>
      </c>
      <c r="F93" s="197">
        <f>'Margins summary'!$H$24</f>
        <v>819.30399999999986</v>
      </c>
      <c r="G93" s="197">
        <f>'Margins summary'!$H$29</f>
        <v>996.95456799999988</v>
      </c>
      <c r="H93" s="197">
        <f t="shared" si="37"/>
        <v>1816.2585679999997</v>
      </c>
      <c r="I93" s="197">
        <f t="shared" si="38"/>
        <v>-175.6585679999996</v>
      </c>
      <c r="J93" s="197">
        <f t="shared" si="36"/>
        <v>0.29143200000044089</v>
      </c>
      <c r="K93" s="973">
        <f t="shared" si="39"/>
        <v>1516.8269230769231</v>
      </c>
      <c r="L93" s="974">
        <f t="shared" si="40"/>
        <v>162.67566568047334</v>
      </c>
      <c r="M93" s="974">
        <f t="shared" si="41"/>
        <v>1679.2331434911239</v>
      </c>
      <c r="N93" s="974">
        <f t="shared" si="42"/>
        <v>-162.40622041420079</v>
      </c>
      <c r="O93" s="975">
        <f t="shared" si="43"/>
        <v>0.26944526627255527</v>
      </c>
      <c r="P93" s="973">
        <f t="shared" ref="P93:P106" si="48">P92+K93</f>
        <v>4734.9269230769232</v>
      </c>
      <c r="Q93" s="974">
        <f t="shared" si="44"/>
        <v>507.80835798816565</v>
      </c>
      <c r="R93" s="974">
        <f t="shared" si="45"/>
        <v>5241.8941807218926</v>
      </c>
      <c r="S93" s="974">
        <f t="shared" si="46"/>
        <v>-506.96725764496932</v>
      </c>
      <c r="T93" s="975">
        <f t="shared" si="47"/>
        <v>0.84110034319630245</v>
      </c>
    </row>
    <row r="94" spans="2:20" x14ac:dyDescent="0.3">
      <c r="B94" s="420">
        <v>4</v>
      </c>
      <c r="C94" s="197">
        <f>'Margins summary'!$H$12</f>
        <v>1640.6000000000001</v>
      </c>
      <c r="D94" s="197">
        <f>'Margins summary'!$H$13</f>
        <v>175.95</v>
      </c>
      <c r="E94" s="197">
        <f>'Margins summary'!$H$18</f>
        <v>1816.5500000000002</v>
      </c>
      <c r="F94" s="197">
        <f>'Margins summary'!$H$24</f>
        <v>819.30399999999986</v>
      </c>
      <c r="G94" s="197">
        <f>'Margins summary'!$H$29</f>
        <v>996.95456799999988</v>
      </c>
      <c r="H94" s="197">
        <f t="shared" si="37"/>
        <v>1816.2585679999997</v>
      </c>
      <c r="I94" s="197">
        <f t="shared" si="38"/>
        <v>-175.6585679999996</v>
      </c>
      <c r="J94" s="197">
        <f t="shared" si="36"/>
        <v>0.29143200000044089</v>
      </c>
      <c r="K94" s="973">
        <f t="shared" si="39"/>
        <v>1458.4874260355029</v>
      </c>
      <c r="L94" s="974">
        <f t="shared" si="40"/>
        <v>156.41890930814745</v>
      </c>
      <c r="M94" s="974">
        <f t="shared" si="41"/>
        <v>1614.6472533568499</v>
      </c>
      <c r="N94" s="974">
        <f t="shared" si="42"/>
        <v>-156.15982732134694</v>
      </c>
      <c r="O94" s="975">
        <f t="shared" si="43"/>
        <v>0.25908198680050987</v>
      </c>
      <c r="P94" s="973">
        <f t="shared" si="48"/>
        <v>6193.414349112426</v>
      </c>
      <c r="Q94" s="974">
        <f t="shared" si="44"/>
        <v>664.22726729631313</v>
      </c>
      <c r="R94" s="974">
        <f t="shared" si="45"/>
        <v>6856.5414340787429</v>
      </c>
      <c r="S94" s="974">
        <f t="shared" si="46"/>
        <v>-663.12708496631626</v>
      </c>
      <c r="T94" s="975">
        <f t="shared" si="47"/>
        <v>1.1001823299968123</v>
      </c>
    </row>
    <row r="95" spans="2:20" x14ac:dyDescent="0.3">
      <c r="B95" s="420">
        <v>5</v>
      </c>
      <c r="C95" s="197">
        <f>'Margins summary'!$H$12</f>
        <v>1640.6000000000001</v>
      </c>
      <c r="D95" s="197">
        <f>'Margins summary'!$H$13</f>
        <v>175.95</v>
      </c>
      <c r="E95" s="197">
        <f>'Margins summary'!$H$18</f>
        <v>1816.5500000000002</v>
      </c>
      <c r="F95" s="197">
        <f>'Margins summary'!$H$24</f>
        <v>819.30399999999986</v>
      </c>
      <c r="G95" s="197">
        <f>'Margins summary'!$H$29</f>
        <v>996.95456799999988</v>
      </c>
      <c r="H95" s="197">
        <f t="shared" si="37"/>
        <v>1816.2585679999997</v>
      </c>
      <c r="I95" s="197">
        <f t="shared" si="38"/>
        <v>-175.6585679999996</v>
      </c>
      <c r="J95" s="197">
        <f t="shared" si="36"/>
        <v>0.29143200000044089</v>
      </c>
      <c r="K95" s="973">
        <f t="shared" si="39"/>
        <v>1402.3917558033681</v>
      </c>
      <c r="L95" s="974">
        <f t="shared" si="40"/>
        <v>150.40279741168024</v>
      </c>
      <c r="M95" s="974">
        <f t="shared" si="41"/>
        <v>1552.5454359200478</v>
      </c>
      <c r="N95" s="974">
        <f t="shared" si="42"/>
        <v>-150.15368011667965</v>
      </c>
      <c r="O95" s="975">
        <f t="shared" si="43"/>
        <v>0.24911729500058755</v>
      </c>
      <c r="P95" s="973">
        <f t="shared" si="48"/>
        <v>7595.8061049157941</v>
      </c>
      <c r="Q95" s="974">
        <f t="shared" si="44"/>
        <v>814.63006470799337</v>
      </c>
      <c r="R95" s="974">
        <f t="shared" si="45"/>
        <v>8409.0868699987914</v>
      </c>
      <c r="S95" s="974">
        <f t="shared" si="46"/>
        <v>-813.28076508299591</v>
      </c>
      <c r="T95" s="975">
        <f t="shared" si="47"/>
        <v>1.3492996249973999</v>
      </c>
    </row>
    <row r="96" spans="2:20" x14ac:dyDescent="0.3">
      <c r="B96" s="420">
        <v>6</v>
      </c>
      <c r="C96" s="197">
        <f>'Margins summary'!$H$12</f>
        <v>1640.6000000000001</v>
      </c>
      <c r="D96" s="197">
        <f>'Margins summary'!$H$13</f>
        <v>175.95</v>
      </c>
      <c r="E96" s="197">
        <f>'Margins summary'!$H$18</f>
        <v>1816.5500000000002</v>
      </c>
      <c r="F96" s="197">
        <f>'Margins summary'!$H$24</f>
        <v>819.30399999999986</v>
      </c>
      <c r="G96" s="197">
        <f>'Margins summary'!$H$29</f>
        <v>996.95456799999988</v>
      </c>
      <c r="H96" s="197">
        <f t="shared" si="37"/>
        <v>1816.2585679999997</v>
      </c>
      <c r="I96" s="197">
        <f t="shared" si="38"/>
        <v>-175.6585679999996</v>
      </c>
      <c r="J96" s="197">
        <f t="shared" si="36"/>
        <v>0.29143200000044089</v>
      </c>
      <c r="K96" s="973">
        <f t="shared" si="39"/>
        <v>1348.4536113493923</v>
      </c>
      <c r="L96" s="974">
        <f t="shared" si="40"/>
        <v>144.61807443430789</v>
      </c>
      <c r="M96" s="974">
        <f t="shared" si="41"/>
        <v>1492.8321499231226</v>
      </c>
      <c r="N96" s="974">
        <f t="shared" si="42"/>
        <v>-144.37853857373034</v>
      </c>
      <c r="O96" s="975">
        <f t="shared" si="43"/>
        <v>0.23953586057754706</v>
      </c>
      <c r="P96" s="973">
        <f t="shared" si="48"/>
        <v>8944.2597162651873</v>
      </c>
      <c r="Q96" s="974">
        <f t="shared" si="44"/>
        <v>959.24813914230128</v>
      </c>
      <c r="R96" s="974">
        <f t="shared" si="45"/>
        <v>9901.9190199219138</v>
      </c>
      <c r="S96" s="974">
        <f t="shared" si="46"/>
        <v>-957.65930365672625</v>
      </c>
      <c r="T96" s="975">
        <f t="shared" si="47"/>
        <v>1.5888354855749469</v>
      </c>
    </row>
    <row r="97" spans="2:20" x14ac:dyDescent="0.3">
      <c r="B97" s="420">
        <v>7</v>
      </c>
      <c r="C97" s="197">
        <f>'Margins summary'!$H$12</f>
        <v>1640.6000000000001</v>
      </c>
      <c r="D97" s="197">
        <f>'Margins summary'!$H$13</f>
        <v>175.95</v>
      </c>
      <c r="E97" s="197">
        <f>'Margins summary'!$H$18</f>
        <v>1816.5500000000002</v>
      </c>
      <c r="F97" s="197">
        <f>'Margins summary'!$H$24</f>
        <v>819.30399999999986</v>
      </c>
      <c r="G97" s="197">
        <f>'Margins summary'!$H$29</f>
        <v>996.95456799999988</v>
      </c>
      <c r="H97" s="197">
        <f t="shared" si="37"/>
        <v>1816.2585679999997</v>
      </c>
      <c r="I97" s="197">
        <f t="shared" si="38"/>
        <v>-175.6585679999996</v>
      </c>
      <c r="J97" s="197">
        <f t="shared" si="36"/>
        <v>0.29143200000044089</v>
      </c>
      <c r="K97" s="973">
        <f t="shared" si="39"/>
        <v>1296.5900109128772</v>
      </c>
      <c r="L97" s="974">
        <f t="shared" si="40"/>
        <v>139.05584080221914</v>
      </c>
      <c r="M97" s="974">
        <f t="shared" si="41"/>
        <v>1435.4155287722333</v>
      </c>
      <c r="N97" s="974">
        <f t="shared" si="42"/>
        <v>-138.82551785935607</v>
      </c>
      <c r="O97" s="975">
        <f t="shared" si="43"/>
        <v>0.23032294286306865</v>
      </c>
      <c r="P97" s="973">
        <f t="shared" si="48"/>
        <v>10240.849727178065</v>
      </c>
      <c r="Q97" s="974">
        <f t="shared" si="44"/>
        <v>1098.3039799445205</v>
      </c>
      <c r="R97" s="974">
        <f t="shared" si="45"/>
        <v>11337.334548694147</v>
      </c>
      <c r="S97" s="974">
        <f t="shared" si="46"/>
        <v>-1096.4848215160823</v>
      </c>
      <c r="T97" s="975">
        <f t="shared" si="47"/>
        <v>1.8191584284380156</v>
      </c>
    </row>
    <row r="98" spans="2:20" x14ac:dyDescent="0.3">
      <c r="B98" s="420">
        <v>8</v>
      </c>
      <c r="C98" s="197">
        <f>'Margins summary'!$H$12</f>
        <v>1640.6000000000001</v>
      </c>
      <c r="D98" s="197">
        <f>'Margins summary'!$H$13</f>
        <v>175.95</v>
      </c>
      <c r="E98" s="197">
        <f>'Margins summary'!$H$18</f>
        <v>1816.5500000000002</v>
      </c>
      <c r="F98" s="197">
        <f>'Margins summary'!$H$24</f>
        <v>819.30399999999986</v>
      </c>
      <c r="G98" s="197">
        <f>'Margins summary'!$H$29</f>
        <v>996.95456799999988</v>
      </c>
      <c r="H98" s="197">
        <f t="shared" si="37"/>
        <v>1816.2585679999997</v>
      </c>
      <c r="I98" s="197">
        <f t="shared" si="38"/>
        <v>-175.6585679999996</v>
      </c>
      <c r="J98" s="197">
        <f t="shared" si="36"/>
        <v>0.29143200000044089</v>
      </c>
      <c r="K98" s="973">
        <f t="shared" si="39"/>
        <v>1246.721164339305</v>
      </c>
      <c r="L98" s="974">
        <f t="shared" si="40"/>
        <v>133.70753923290303</v>
      </c>
      <c r="M98" s="974">
        <f t="shared" si="41"/>
        <v>1380.2072392040707</v>
      </c>
      <c r="N98" s="974">
        <f t="shared" si="42"/>
        <v>-133.48607486476567</v>
      </c>
      <c r="O98" s="975">
        <f t="shared" si="43"/>
        <v>0.22146436813736159</v>
      </c>
      <c r="P98" s="973">
        <f t="shared" si="48"/>
        <v>11487.570891517371</v>
      </c>
      <c r="Q98" s="974">
        <f t="shared" si="44"/>
        <v>1232.0115191774235</v>
      </c>
      <c r="R98" s="974">
        <f t="shared" si="45"/>
        <v>12717.541787898217</v>
      </c>
      <c r="S98" s="974">
        <f t="shared" si="46"/>
        <v>-1229.970896380848</v>
      </c>
      <c r="T98" s="975">
        <f t="shared" si="47"/>
        <v>2.0406227965753772</v>
      </c>
    </row>
    <row r="99" spans="2:20" x14ac:dyDescent="0.3">
      <c r="B99" s="420">
        <v>9</v>
      </c>
      <c r="C99" s="197">
        <f>'Margins summary'!$H$12</f>
        <v>1640.6000000000001</v>
      </c>
      <c r="D99" s="197">
        <f>'Margins summary'!$H$13</f>
        <v>175.95</v>
      </c>
      <c r="E99" s="197">
        <f>'Margins summary'!$H$18</f>
        <v>1816.5500000000002</v>
      </c>
      <c r="F99" s="197">
        <f>'Margins summary'!$H$24</f>
        <v>819.30399999999986</v>
      </c>
      <c r="G99" s="197">
        <f>'Margins summary'!$H$29</f>
        <v>996.95456799999988</v>
      </c>
      <c r="H99" s="197">
        <f t="shared" si="37"/>
        <v>1816.2585679999997</v>
      </c>
      <c r="I99" s="197">
        <f t="shared" si="38"/>
        <v>-175.6585679999996</v>
      </c>
      <c r="J99" s="197">
        <f t="shared" si="36"/>
        <v>0.29143200000044089</v>
      </c>
      <c r="K99" s="973">
        <f t="shared" si="39"/>
        <v>1198.7703503262546</v>
      </c>
      <c r="L99" s="974">
        <f t="shared" si="40"/>
        <v>128.56494157009902</v>
      </c>
      <c r="M99" s="974">
        <f t="shared" si="41"/>
        <v>1327.1223453885293</v>
      </c>
      <c r="N99" s="974">
        <f t="shared" si="42"/>
        <v>-128.35199506227468</v>
      </c>
      <c r="O99" s="975">
        <f t="shared" si="43"/>
        <v>0.21294650782434132</v>
      </c>
      <c r="P99" s="973">
        <f t="shared" si="48"/>
        <v>12686.341241843626</v>
      </c>
      <c r="Q99" s="974">
        <f t="shared" si="44"/>
        <v>1360.5764607475226</v>
      </c>
      <c r="R99" s="974">
        <f t="shared" si="45"/>
        <v>14044.664133286746</v>
      </c>
      <c r="S99" s="974">
        <f t="shared" si="46"/>
        <v>-1358.3228914431227</v>
      </c>
      <c r="T99" s="975">
        <f t="shared" si="47"/>
        <v>2.2535693043997185</v>
      </c>
    </row>
    <row r="100" spans="2:20" x14ac:dyDescent="0.3">
      <c r="B100" s="420">
        <v>10</v>
      </c>
      <c r="C100" s="197">
        <f>'Margins summary'!$H$12</f>
        <v>1640.6000000000001</v>
      </c>
      <c r="D100" s="197">
        <f>'Margins summary'!$H$13</f>
        <v>175.95</v>
      </c>
      <c r="E100" s="197">
        <f>'Margins summary'!$H$18</f>
        <v>1816.5500000000002</v>
      </c>
      <c r="F100" s="197">
        <f>'Margins summary'!$H$24</f>
        <v>819.30399999999986</v>
      </c>
      <c r="G100" s="197">
        <f>'Margins summary'!$H$29</f>
        <v>996.95456799999988</v>
      </c>
      <c r="H100" s="197">
        <f t="shared" si="37"/>
        <v>1816.2585679999997</v>
      </c>
      <c r="I100" s="197">
        <f t="shared" si="38"/>
        <v>-175.6585679999996</v>
      </c>
      <c r="J100" s="197">
        <f t="shared" si="36"/>
        <v>0.29143200000044089</v>
      </c>
      <c r="K100" s="973">
        <f t="shared" si="39"/>
        <v>1152.6637983906294</v>
      </c>
      <c r="L100" s="974">
        <f t="shared" si="40"/>
        <v>123.62013612509521</v>
      </c>
      <c r="M100" s="974">
        <f t="shared" si="41"/>
        <v>1276.0791782582012</v>
      </c>
      <c r="N100" s="974">
        <f t="shared" si="42"/>
        <v>-123.4153798675718</v>
      </c>
      <c r="O100" s="975">
        <f t="shared" si="43"/>
        <v>0.20475625752341386</v>
      </c>
      <c r="P100" s="973">
        <f t="shared" si="48"/>
        <v>13839.005040234255</v>
      </c>
      <c r="Q100" s="974">
        <f t="shared" si="44"/>
        <v>1484.1965968726179</v>
      </c>
      <c r="R100" s="974">
        <f t="shared" si="45"/>
        <v>15320.743311544948</v>
      </c>
      <c r="S100" s="974">
        <f t="shared" si="46"/>
        <v>-1481.7382713106945</v>
      </c>
      <c r="T100" s="975">
        <f t="shared" si="47"/>
        <v>2.4583255619231323</v>
      </c>
    </row>
    <row r="101" spans="2:20" x14ac:dyDescent="0.3">
      <c r="B101" s="420">
        <v>11</v>
      </c>
      <c r="C101" s="197">
        <f>'Margins summary'!$H$12</f>
        <v>1640.6000000000001</v>
      </c>
      <c r="D101" s="197">
        <f>'Margins summary'!$H$13</f>
        <v>175.95</v>
      </c>
      <c r="E101" s="197">
        <f>'Margins summary'!$H$18</f>
        <v>1816.5500000000002</v>
      </c>
      <c r="F101" s="197">
        <f>'Margins summary'!$H$24</f>
        <v>819.30399999999986</v>
      </c>
      <c r="G101" s="197">
        <f>'Margins summary'!$H$29</f>
        <v>996.95456799999988</v>
      </c>
      <c r="H101" s="197">
        <f t="shared" si="37"/>
        <v>1816.2585679999997</v>
      </c>
      <c r="I101" s="197">
        <f t="shared" si="38"/>
        <v>-175.6585679999996</v>
      </c>
      <c r="J101" s="197">
        <f t="shared" si="36"/>
        <v>0.29143200000044089</v>
      </c>
      <c r="K101" s="973">
        <f t="shared" si="39"/>
        <v>1108.3305753756051</v>
      </c>
      <c r="L101" s="974">
        <f t="shared" si="40"/>
        <v>118.86551550489925</v>
      </c>
      <c r="M101" s="974">
        <f t="shared" si="41"/>
        <v>1226.9992098636549</v>
      </c>
      <c r="N101" s="974">
        <f t="shared" si="42"/>
        <v>-118.66863448804975</v>
      </c>
      <c r="O101" s="975">
        <f t="shared" si="43"/>
        <v>0.19688101684950254</v>
      </c>
      <c r="P101" s="973">
        <f t="shared" si="48"/>
        <v>14947.33561560986</v>
      </c>
      <c r="Q101" s="974">
        <f t="shared" si="44"/>
        <v>1603.0621123775172</v>
      </c>
      <c r="R101" s="974">
        <f t="shared" si="45"/>
        <v>16547.742521408603</v>
      </c>
      <c r="S101" s="974">
        <f t="shared" si="46"/>
        <v>-1600.4069057987442</v>
      </c>
      <c r="T101" s="975">
        <f t="shared" si="47"/>
        <v>2.6552065787726349</v>
      </c>
    </row>
    <row r="102" spans="2:20" x14ac:dyDescent="0.3">
      <c r="B102" s="420">
        <v>12</v>
      </c>
      <c r="C102" s="197">
        <f>'Margins summary'!$H$12</f>
        <v>1640.6000000000001</v>
      </c>
      <c r="D102" s="197">
        <f>'Margins summary'!$H$13</f>
        <v>175.95</v>
      </c>
      <c r="E102" s="197">
        <f>'Margins summary'!$H$18</f>
        <v>1816.5500000000002</v>
      </c>
      <c r="F102" s="197">
        <f>'Margins summary'!$H$24</f>
        <v>819.30399999999986</v>
      </c>
      <c r="G102" s="197">
        <f>'Margins summary'!$H$29</f>
        <v>996.95456799999988</v>
      </c>
      <c r="H102" s="197">
        <f t="shared" si="37"/>
        <v>1816.2585679999997</v>
      </c>
      <c r="I102" s="197">
        <f t="shared" si="38"/>
        <v>-175.6585679999996</v>
      </c>
      <c r="J102" s="197">
        <f t="shared" si="36"/>
        <v>0.29143200000044089</v>
      </c>
      <c r="K102" s="973">
        <f t="shared" si="39"/>
        <v>1065.7024763226973</v>
      </c>
      <c r="L102" s="974">
        <f t="shared" si="40"/>
        <v>114.29376490855698</v>
      </c>
      <c r="M102" s="974">
        <f t="shared" si="41"/>
        <v>1179.8069325612068</v>
      </c>
      <c r="N102" s="974">
        <f t="shared" si="42"/>
        <v>-114.10445623850956</v>
      </c>
      <c r="O102" s="975">
        <f t="shared" si="43"/>
        <v>0.18930867004742424</v>
      </c>
      <c r="P102" s="973">
        <f t="shared" si="48"/>
        <v>16013.038091932558</v>
      </c>
      <c r="Q102" s="974">
        <f t="shared" si="44"/>
        <v>1717.3558772860742</v>
      </c>
      <c r="R102" s="974">
        <f t="shared" si="45"/>
        <v>17727.549453969812</v>
      </c>
      <c r="S102" s="974">
        <f t="shared" si="46"/>
        <v>-1714.5113620372538</v>
      </c>
      <c r="T102" s="975">
        <f t="shared" si="47"/>
        <v>2.8445152488200591</v>
      </c>
    </row>
    <row r="103" spans="2:20" x14ac:dyDescent="0.3">
      <c r="B103" s="420">
        <v>13</v>
      </c>
      <c r="C103" s="197">
        <f>'Margins summary'!$H$12</f>
        <v>1640.6000000000001</v>
      </c>
      <c r="D103" s="197">
        <f>'Margins summary'!$H$13</f>
        <v>175.95</v>
      </c>
      <c r="E103" s="197">
        <f>'Margins summary'!$H$18</f>
        <v>1816.5500000000002</v>
      </c>
      <c r="F103" s="197">
        <f>'Margins summary'!$H$24</f>
        <v>819.30399999999986</v>
      </c>
      <c r="G103" s="197">
        <f>'Margins summary'!$H$29</f>
        <v>996.95456799999988</v>
      </c>
      <c r="H103" s="197">
        <f t="shared" si="37"/>
        <v>1816.2585679999997</v>
      </c>
      <c r="I103" s="197">
        <f t="shared" si="38"/>
        <v>-175.6585679999996</v>
      </c>
      <c r="J103" s="197">
        <f t="shared" si="36"/>
        <v>0.29143200000044089</v>
      </c>
      <c r="K103" s="973">
        <f t="shared" si="39"/>
        <v>1024.713919541055</v>
      </c>
      <c r="L103" s="974">
        <f t="shared" si="40"/>
        <v>109.89785087361246</v>
      </c>
      <c r="M103" s="974">
        <f t="shared" si="41"/>
        <v>1134.4297428473139</v>
      </c>
      <c r="N103" s="974">
        <f t="shared" si="42"/>
        <v>-109.71582330625893</v>
      </c>
      <c r="O103" s="975">
        <f t="shared" si="43"/>
        <v>0.18202756735352921</v>
      </c>
      <c r="P103" s="973">
        <f t="shared" si="48"/>
        <v>17037.752011473614</v>
      </c>
      <c r="Q103" s="974">
        <f t="shared" si="44"/>
        <v>1827.2537281596867</v>
      </c>
      <c r="R103" s="974">
        <f t="shared" si="45"/>
        <v>18861.979196817127</v>
      </c>
      <c r="S103" s="974">
        <f t="shared" si="46"/>
        <v>-1824.2271853435127</v>
      </c>
      <c r="T103" s="975">
        <f t="shared" si="47"/>
        <v>3.0265428161735883</v>
      </c>
    </row>
    <row r="104" spans="2:20" x14ac:dyDescent="0.3">
      <c r="B104" s="420">
        <v>14</v>
      </c>
      <c r="C104" s="197">
        <f>'Margins summary'!$H$12</f>
        <v>1640.6000000000001</v>
      </c>
      <c r="D104" s="197">
        <f>'Margins summary'!$H$13</f>
        <v>175.95</v>
      </c>
      <c r="E104" s="197">
        <f>'Margins summary'!$H$18</f>
        <v>1816.5500000000002</v>
      </c>
      <c r="F104" s="197">
        <f>'Margins summary'!$H$24</f>
        <v>819.30399999999986</v>
      </c>
      <c r="G104" s="197">
        <f>'Margins summary'!$H$29</f>
        <v>996.95456799999988</v>
      </c>
      <c r="H104" s="197">
        <f t="shared" si="37"/>
        <v>1816.2585679999997</v>
      </c>
      <c r="I104" s="197">
        <f t="shared" si="38"/>
        <v>-175.6585679999996</v>
      </c>
      <c r="J104" s="197">
        <f t="shared" si="36"/>
        <v>0.29143200000044089</v>
      </c>
      <c r="K104" s="973">
        <f t="shared" si="39"/>
        <v>985.30184571255279</v>
      </c>
      <c r="L104" s="974">
        <f t="shared" si="40"/>
        <v>105.67101045539658</v>
      </c>
      <c r="M104" s="974">
        <f t="shared" si="41"/>
        <v>1090.7978296608787</v>
      </c>
      <c r="N104" s="974">
        <f t="shared" si="42"/>
        <v>-105.49598394832594</v>
      </c>
      <c r="O104" s="975">
        <f t="shared" si="43"/>
        <v>0.17502650707064049</v>
      </c>
      <c r="P104" s="973">
        <f t="shared" si="48"/>
        <v>18023.053857186169</v>
      </c>
      <c r="Q104" s="974">
        <f t="shared" si="44"/>
        <v>1932.9247386150832</v>
      </c>
      <c r="R104" s="974">
        <f t="shared" si="45"/>
        <v>19952.777026478005</v>
      </c>
      <c r="S104" s="974">
        <f t="shared" si="46"/>
        <v>-1929.7231692918385</v>
      </c>
      <c r="T104" s="975">
        <f t="shared" si="47"/>
        <v>3.2015693232442288</v>
      </c>
    </row>
    <row r="105" spans="2:20" x14ac:dyDescent="0.3">
      <c r="B105" s="420">
        <v>15</v>
      </c>
      <c r="C105" s="197">
        <f>'Margins summary'!$H$12</f>
        <v>1640.6000000000001</v>
      </c>
      <c r="D105" s="197">
        <f>'Margins summary'!$H$13</f>
        <v>175.95</v>
      </c>
      <c r="E105" s="197">
        <f>'Margins summary'!$H$18</f>
        <v>1816.5500000000002</v>
      </c>
      <c r="F105" s="197">
        <f>'Margins summary'!$H$24</f>
        <v>819.30399999999986</v>
      </c>
      <c r="G105" s="197">
        <f>'Margins summary'!$H$29</f>
        <v>996.95456799999988</v>
      </c>
      <c r="H105" s="197">
        <f t="shared" si="37"/>
        <v>1816.2585679999997</v>
      </c>
      <c r="I105" s="197">
        <f t="shared" si="38"/>
        <v>-175.6585679999996</v>
      </c>
      <c r="J105" s="197">
        <f t="shared" si="36"/>
        <v>0.29143200000044089</v>
      </c>
      <c r="K105" s="973">
        <f t="shared" si="39"/>
        <v>947.40562087745468</v>
      </c>
      <c r="L105" s="974">
        <f t="shared" si="40"/>
        <v>101.60674082249672</v>
      </c>
      <c r="M105" s="974">
        <f t="shared" si="41"/>
        <v>1048.8440669816141</v>
      </c>
      <c r="N105" s="974">
        <f t="shared" si="42"/>
        <v>-101.43844610415942</v>
      </c>
      <c r="O105" s="975">
        <f t="shared" si="43"/>
        <v>0.16829471833729315</v>
      </c>
      <c r="P105" s="973">
        <f t="shared" si="48"/>
        <v>18970.459478063625</v>
      </c>
      <c r="Q105" s="974">
        <f t="shared" si="44"/>
        <v>2034.5314794375799</v>
      </c>
      <c r="R105" s="974">
        <f t="shared" si="45"/>
        <v>21001.62109345962</v>
      </c>
      <c r="S105" s="974">
        <f t="shared" si="46"/>
        <v>-2031.1616153959981</v>
      </c>
      <c r="T105" s="975">
        <f t="shared" si="47"/>
        <v>3.369864041581522</v>
      </c>
    </row>
    <row r="106" spans="2:20" x14ac:dyDescent="0.3">
      <c r="B106" s="561">
        <v>16</v>
      </c>
      <c r="C106" s="207">
        <f>'Margins summary'!$H$12</f>
        <v>1640.6000000000001</v>
      </c>
      <c r="D106" s="207">
        <f>'Margins summary'!$H$13</f>
        <v>175.95</v>
      </c>
      <c r="E106" s="207">
        <f>'Margins summary'!$H$18</f>
        <v>1816.5500000000002</v>
      </c>
      <c r="F106" s="207">
        <f>'Margins summary'!$H$24</f>
        <v>819.30399999999986</v>
      </c>
      <c r="G106" s="207">
        <f>'Margins summary'!$H$29</f>
        <v>996.95456799999988</v>
      </c>
      <c r="H106" s="207">
        <f t="shared" si="37"/>
        <v>1816.2585679999997</v>
      </c>
      <c r="I106" s="207">
        <f t="shared" si="38"/>
        <v>-175.6585679999996</v>
      </c>
      <c r="J106" s="207">
        <f t="shared" si="36"/>
        <v>0.29143200000044089</v>
      </c>
      <c r="K106" s="976">
        <f t="shared" si="39"/>
        <v>910.96694315139871</v>
      </c>
      <c r="L106" s="977">
        <f t="shared" si="40"/>
        <v>97.698789252400701</v>
      </c>
      <c r="M106" s="977">
        <f t="shared" si="41"/>
        <v>1008.5039105592444</v>
      </c>
      <c r="N106" s="977">
        <f t="shared" si="42"/>
        <v>-97.536967407845736</v>
      </c>
      <c r="O106" s="978">
        <f t="shared" si="43"/>
        <v>0.1618218445549644</v>
      </c>
      <c r="P106" s="976">
        <f t="shared" si="48"/>
        <v>19881.426421215023</v>
      </c>
      <c r="Q106" s="977">
        <f t="shared" si="44"/>
        <v>2132.2302686899807</v>
      </c>
      <c r="R106" s="977">
        <f>R105+M106</f>
        <v>22010.125004018864</v>
      </c>
      <c r="S106" s="977">
        <f t="shared" si="46"/>
        <v>-2128.6985828038437</v>
      </c>
      <c r="T106" s="978">
        <f t="shared" si="47"/>
        <v>3.5316858861364864</v>
      </c>
    </row>
    <row r="113" spans="2:20" x14ac:dyDescent="0.3">
      <c r="B113" s="211" t="s">
        <v>260</v>
      </c>
      <c r="C113" s="194"/>
      <c r="D113" s="193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</row>
    <row r="114" spans="2:20" x14ac:dyDescent="0.3">
      <c r="B114" s="210"/>
      <c r="C114" s="1086"/>
      <c r="D114" s="1086"/>
      <c r="E114" s="1086"/>
      <c r="F114" s="148"/>
      <c r="G114" s="1086"/>
      <c r="H114" s="1086"/>
      <c r="I114" s="148"/>
      <c r="J114" s="148"/>
      <c r="K114" s="1087" t="s">
        <v>275</v>
      </c>
      <c r="L114" s="1088"/>
      <c r="M114" s="1088"/>
      <c r="N114" s="1088"/>
      <c r="O114" s="1089"/>
      <c r="P114" s="1087" t="s">
        <v>276</v>
      </c>
      <c r="Q114" s="1088"/>
      <c r="R114" s="1088"/>
      <c r="S114" s="1088"/>
      <c r="T114" s="1089"/>
    </row>
    <row r="115" spans="2:20" ht="51" x14ac:dyDescent="0.3">
      <c r="B115" s="204" t="s">
        <v>277</v>
      </c>
      <c r="C115" s="171" t="s">
        <v>279</v>
      </c>
      <c r="D115" s="171" t="s">
        <v>10</v>
      </c>
      <c r="E115" s="171" t="s">
        <v>280</v>
      </c>
      <c r="F115" s="205" t="s">
        <v>281</v>
      </c>
      <c r="G115" s="171" t="s">
        <v>282</v>
      </c>
      <c r="H115" s="171" t="s">
        <v>283</v>
      </c>
      <c r="I115" s="171" t="s">
        <v>284</v>
      </c>
      <c r="J115" s="171" t="s">
        <v>285</v>
      </c>
      <c r="K115" s="195" t="s">
        <v>286</v>
      </c>
      <c r="L115" s="171" t="s">
        <v>287</v>
      </c>
      <c r="M115" s="171" t="s">
        <v>288</v>
      </c>
      <c r="N115" s="171" t="s">
        <v>289</v>
      </c>
      <c r="O115" s="198" t="s">
        <v>290</v>
      </c>
      <c r="P115" s="195" t="s">
        <v>291</v>
      </c>
      <c r="Q115" s="171" t="s">
        <v>292</v>
      </c>
      <c r="R115" s="171" t="s">
        <v>293</v>
      </c>
      <c r="S115" s="171" t="s">
        <v>294</v>
      </c>
      <c r="T115" s="198" t="s">
        <v>295</v>
      </c>
    </row>
    <row r="116" spans="2:20" x14ac:dyDescent="0.3">
      <c r="B116" s="173"/>
      <c r="C116" s="201" t="s">
        <v>442</v>
      </c>
      <c r="D116" s="201" t="s">
        <v>442</v>
      </c>
      <c r="E116" s="201" t="s">
        <v>442</v>
      </c>
      <c r="F116" s="201" t="s">
        <v>442</v>
      </c>
      <c r="G116" s="201" t="s">
        <v>442</v>
      </c>
      <c r="H116" s="201" t="s">
        <v>442</v>
      </c>
      <c r="I116" s="201" t="s">
        <v>442</v>
      </c>
      <c r="J116" s="202" t="s">
        <v>440</v>
      </c>
      <c r="K116" s="201" t="s">
        <v>442</v>
      </c>
      <c r="L116" s="201" t="s">
        <v>442</v>
      </c>
      <c r="M116" s="201" t="s">
        <v>442</v>
      </c>
      <c r="N116" s="201" t="s">
        <v>442</v>
      </c>
      <c r="O116" s="202" t="s">
        <v>442</v>
      </c>
      <c r="P116" s="201" t="s">
        <v>442</v>
      </c>
      <c r="Q116" s="201" t="s">
        <v>442</v>
      </c>
      <c r="R116" s="201" t="s">
        <v>442</v>
      </c>
      <c r="S116" s="201" t="s">
        <v>442</v>
      </c>
      <c r="T116" s="202" t="s">
        <v>442</v>
      </c>
    </row>
    <row r="117" spans="2:20" x14ac:dyDescent="0.3">
      <c r="B117" s="728">
        <v>1</v>
      </c>
      <c r="C117" s="197">
        <f>'Margins summary'!$I$12</f>
        <v>1487.9920000000002</v>
      </c>
      <c r="D117" s="197">
        <f>'Margins summary'!$I$13</f>
        <v>175.95</v>
      </c>
      <c r="E117" s="197">
        <f>'Margins summary'!$I$18</f>
        <v>1663.9420000000002</v>
      </c>
      <c r="F117" s="197">
        <f>'Margins summary'!$I$24</f>
        <v>574.23049999999989</v>
      </c>
      <c r="G117" s="197">
        <f>'Margins summary'!$I$29</f>
        <v>636.366536</v>
      </c>
      <c r="H117" s="197">
        <f>F117+G117</f>
        <v>1210.5970359999999</v>
      </c>
      <c r="I117" s="197">
        <f>C117-H117</f>
        <v>277.3949640000003</v>
      </c>
      <c r="J117" s="197">
        <f t="shared" ref="J117:J132" si="49">E117-H117</f>
        <v>453.34496400000035</v>
      </c>
      <c r="K117" s="973">
        <f>C117/(1+$C$6)^($B117-1)</f>
        <v>1487.9920000000002</v>
      </c>
      <c r="L117" s="974">
        <f>D117/(1+$C$6)^($B117-1)</f>
        <v>175.95</v>
      </c>
      <c r="M117" s="974">
        <f>H117/(1+$C$6)^($B117-1)</f>
        <v>1210.5970359999999</v>
      </c>
      <c r="N117" s="974">
        <f>I117/(1+$C$6)^($B117-1)</f>
        <v>277.3949640000003</v>
      </c>
      <c r="O117" s="974">
        <f>J117/(1+$C$6)^($B117-1)</f>
        <v>453.34496400000035</v>
      </c>
      <c r="P117" s="973">
        <f>K117</f>
        <v>1487.9920000000002</v>
      </c>
      <c r="Q117" s="974">
        <f>L117</f>
        <v>175.95</v>
      </c>
      <c r="R117" s="974">
        <f>M117</f>
        <v>1210.5970359999999</v>
      </c>
      <c r="S117" s="974">
        <f>N117</f>
        <v>277.3949640000003</v>
      </c>
      <c r="T117" s="975">
        <f>O117</f>
        <v>453.34496400000035</v>
      </c>
    </row>
    <row r="118" spans="2:20" x14ac:dyDescent="0.3">
      <c r="B118" s="420">
        <v>2</v>
      </c>
      <c r="C118" s="197">
        <f>'Margins summary'!$I$12</f>
        <v>1487.9920000000002</v>
      </c>
      <c r="D118" s="197">
        <f>'Margins summary'!$I$13</f>
        <v>175.95</v>
      </c>
      <c r="E118" s="197">
        <f>'Margins summary'!$I$18</f>
        <v>1663.9420000000002</v>
      </c>
      <c r="F118" s="197">
        <f>'Margins summary'!$I$24</f>
        <v>574.23049999999989</v>
      </c>
      <c r="G118" s="197">
        <f>'Margins summary'!$I$29</f>
        <v>636.366536</v>
      </c>
      <c r="H118" s="197">
        <f t="shared" ref="H118:H132" si="50">F118+G118</f>
        <v>1210.5970359999999</v>
      </c>
      <c r="I118" s="197">
        <f t="shared" ref="I118:I132" si="51">C118-H118</f>
        <v>277.3949640000003</v>
      </c>
      <c r="J118" s="197">
        <f t="shared" si="49"/>
        <v>453.34496400000035</v>
      </c>
      <c r="K118" s="973">
        <f t="shared" ref="K118:K132" si="52">C118/(1+$C$6)^($B118-1)</f>
        <v>1430.7615384615385</v>
      </c>
      <c r="L118" s="974">
        <f t="shared" ref="L118:L132" si="53">D118/(1+$C$6)^($B118-1)</f>
        <v>169.18269230769229</v>
      </c>
      <c r="M118" s="974">
        <f t="shared" ref="M118:M132" si="54">H118/(1+$C$6)^($B118-1)</f>
        <v>1164.0356115384614</v>
      </c>
      <c r="N118" s="974">
        <f t="shared" ref="N118:N132" si="55">I118/(1+$C$6)^($B118-1)</f>
        <v>266.72592692307722</v>
      </c>
      <c r="O118" s="974">
        <f t="shared" ref="O118:O132" si="56">J118/(1+$C$6)^($B118-1)</f>
        <v>435.90861923076955</v>
      </c>
      <c r="P118" s="973">
        <f>P117+K118</f>
        <v>2918.7535384615385</v>
      </c>
      <c r="Q118" s="974">
        <f t="shared" ref="Q118:Q132" si="57">Q117+L118</f>
        <v>345.13269230769231</v>
      </c>
      <c r="R118" s="974">
        <f>R117+M118</f>
        <v>2374.6326475384612</v>
      </c>
      <c r="S118" s="974">
        <f t="shared" ref="S118:S132" si="58">S117+N118</f>
        <v>544.12089092307747</v>
      </c>
      <c r="T118" s="975">
        <f t="shared" ref="T118:T132" si="59">T117+O118</f>
        <v>889.25358323076989</v>
      </c>
    </row>
    <row r="119" spans="2:20" x14ac:dyDescent="0.3">
      <c r="B119" s="420">
        <v>3</v>
      </c>
      <c r="C119" s="197">
        <f>'Margins summary'!$I$12</f>
        <v>1487.9920000000002</v>
      </c>
      <c r="D119" s="197">
        <f>'Margins summary'!$I$13</f>
        <v>175.95</v>
      </c>
      <c r="E119" s="197">
        <f>'Margins summary'!$I$18</f>
        <v>1663.9420000000002</v>
      </c>
      <c r="F119" s="197">
        <f>'Margins summary'!$I$24</f>
        <v>574.23049999999989</v>
      </c>
      <c r="G119" s="197">
        <f>'Margins summary'!$I$29</f>
        <v>636.366536</v>
      </c>
      <c r="H119" s="197">
        <f t="shared" si="50"/>
        <v>1210.5970359999999</v>
      </c>
      <c r="I119" s="197">
        <f t="shared" si="51"/>
        <v>277.3949640000003</v>
      </c>
      <c r="J119" s="197">
        <f t="shared" si="49"/>
        <v>453.34496400000035</v>
      </c>
      <c r="K119" s="973">
        <f t="shared" si="52"/>
        <v>1375.7322485207101</v>
      </c>
      <c r="L119" s="974">
        <f t="shared" si="53"/>
        <v>162.67566568047334</v>
      </c>
      <c r="M119" s="974">
        <f t="shared" si="54"/>
        <v>1119.2650110946743</v>
      </c>
      <c r="N119" s="974">
        <f t="shared" si="55"/>
        <v>256.46723742603575</v>
      </c>
      <c r="O119" s="974">
        <f t="shared" si="56"/>
        <v>419.14290310650915</v>
      </c>
      <c r="P119" s="973">
        <f t="shared" ref="P119:P132" si="60">P118+K119</f>
        <v>4294.4857869822481</v>
      </c>
      <c r="Q119" s="974">
        <f t="shared" si="57"/>
        <v>507.80835798816565</v>
      </c>
      <c r="R119" s="974">
        <f t="shared" ref="R119:R132" si="61">R118+M119</f>
        <v>3493.8976586331355</v>
      </c>
      <c r="S119" s="974">
        <f t="shared" si="58"/>
        <v>800.58812834911328</v>
      </c>
      <c r="T119" s="975">
        <f t="shared" si="59"/>
        <v>1308.3964863372789</v>
      </c>
    </row>
    <row r="120" spans="2:20" x14ac:dyDescent="0.3">
      <c r="B120" s="420">
        <v>4</v>
      </c>
      <c r="C120" s="197">
        <f>'Margins summary'!$I$12</f>
        <v>1487.9920000000002</v>
      </c>
      <c r="D120" s="197">
        <f>'Margins summary'!$I$13</f>
        <v>175.95</v>
      </c>
      <c r="E120" s="197">
        <f>'Margins summary'!$I$18</f>
        <v>1663.9420000000002</v>
      </c>
      <c r="F120" s="197">
        <f>'Margins summary'!$I$24</f>
        <v>574.23049999999989</v>
      </c>
      <c r="G120" s="197">
        <f>'Margins summary'!$I$29</f>
        <v>636.366536</v>
      </c>
      <c r="H120" s="197">
        <f t="shared" si="50"/>
        <v>1210.5970359999999</v>
      </c>
      <c r="I120" s="197">
        <f t="shared" si="51"/>
        <v>277.3949640000003</v>
      </c>
      <c r="J120" s="197">
        <f t="shared" si="49"/>
        <v>453.34496400000035</v>
      </c>
      <c r="K120" s="973">
        <f t="shared" si="52"/>
        <v>1322.819469731452</v>
      </c>
      <c r="L120" s="974">
        <f t="shared" si="53"/>
        <v>156.41890930814745</v>
      </c>
      <c r="M120" s="974">
        <f t="shared" si="54"/>
        <v>1076.2163568218023</v>
      </c>
      <c r="N120" s="974">
        <f t="shared" si="55"/>
        <v>246.60311290964978</v>
      </c>
      <c r="O120" s="974">
        <f t="shared" si="56"/>
        <v>403.02202221779726</v>
      </c>
      <c r="P120" s="973">
        <f t="shared" si="60"/>
        <v>5617.3052567137001</v>
      </c>
      <c r="Q120" s="974">
        <f t="shared" si="57"/>
        <v>664.22726729631313</v>
      </c>
      <c r="R120" s="974">
        <f t="shared" si="61"/>
        <v>4570.1140154549375</v>
      </c>
      <c r="S120" s="974">
        <f t="shared" si="58"/>
        <v>1047.1912412587631</v>
      </c>
      <c r="T120" s="975">
        <f t="shared" si="59"/>
        <v>1711.4185085550762</v>
      </c>
    </row>
    <row r="121" spans="2:20" x14ac:dyDescent="0.3">
      <c r="B121" s="420">
        <v>5</v>
      </c>
      <c r="C121" s="197">
        <f>'Margins summary'!$I$12</f>
        <v>1487.9920000000002</v>
      </c>
      <c r="D121" s="197">
        <f>'Margins summary'!$I$13</f>
        <v>175.95</v>
      </c>
      <c r="E121" s="197">
        <f>'Margins summary'!$I$18</f>
        <v>1663.9420000000002</v>
      </c>
      <c r="F121" s="197">
        <f>'Margins summary'!$I$24</f>
        <v>574.23049999999989</v>
      </c>
      <c r="G121" s="197">
        <f>'Margins summary'!$I$29</f>
        <v>636.366536</v>
      </c>
      <c r="H121" s="197">
        <f t="shared" si="50"/>
        <v>1210.5970359999999</v>
      </c>
      <c r="I121" s="197">
        <f t="shared" si="51"/>
        <v>277.3949640000003</v>
      </c>
      <c r="J121" s="197">
        <f t="shared" si="49"/>
        <v>453.34496400000035</v>
      </c>
      <c r="K121" s="973">
        <f t="shared" si="52"/>
        <v>1271.9417978187037</v>
      </c>
      <c r="L121" s="974">
        <f t="shared" si="53"/>
        <v>150.40279741168024</v>
      </c>
      <c r="M121" s="974">
        <f t="shared" si="54"/>
        <v>1034.8234200209636</v>
      </c>
      <c r="N121" s="974">
        <f t="shared" si="55"/>
        <v>237.11837779774015</v>
      </c>
      <c r="O121" s="974">
        <f t="shared" si="56"/>
        <v>387.52117520942039</v>
      </c>
      <c r="P121" s="973">
        <f t="shared" si="60"/>
        <v>6889.247054532404</v>
      </c>
      <c r="Q121" s="974">
        <f t="shared" si="57"/>
        <v>814.63006470799337</v>
      </c>
      <c r="R121" s="974">
        <f t="shared" si="61"/>
        <v>5604.9374354759011</v>
      </c>
      <c r="S121" s="974">
        <f t="shared" si="58"/>
        <v>1284.3096190565032</v>
      </c>
      <c r="T121" s="975">
        <f t="shared" si="59"/>
        <v>2098.9396837644967</v>
      </c>
    </row>
    <row r="122" spans="2:20" x14ac:dyDescent="0.3">
      <c r="B122" s="420">
        <v>6</v>
      </c>
      <c r="C122" s="197">
        <f>'Margins summary'!$I$12</f>
        <v>1487.9920000000002</v>
      </c>
      <c r="D122" s="197">
        <f>'Margins summary'!$I$13</f>
        <v>175.95</v>
      </c>
      <c r="E122" s="197">
        <f>'Margins summary'!$I$18</f>
        <v>1663.9420000000002</v>
      </c>
      <c r="F122" s="197">
        <f>'Margins summary'!$I$24</f>
        <v>574.23049999999989</v>
      </c>
      <c r="G122" s="197">
        <f>'Margins summary'!$I$29</f>
        <v>636.366536</v>
      </c>
      <c r="H122" s="197">
        <f t="shared" si="50"/>
        <v>1210.5970359999999</v>
      </c>
      <c r="I122" s="197">
        <f t="shared" si="51"/>
        <v>277.3949640000003</v>
      </c>
      <c r="J122" s="197">
        <f t="shared" si="49"/>
        <v>453.34496400000035</v>
      </c>
      <c r="K122" s="973">
        <f t="shared" si="52"/>
        <v>1223.0209594410612</v>
      </c>
      <c r="L122" s="974">
        <f t="shared" si="53"/>
        <v>144.61807443430789</v>
      </c>
      <c r="M122" s="974">
        <f t="shared" si="54"/>
        <v>995.02251925092651</v>
      </c>
      <c r="N122" s="974">
        <f t="shared" si="55"/>
        <v>227.99844019013472</v>
      </c>
      <c r="O122" s="974">
        <f t="shared" si="56"/>
        <v>372.61651462444269</v>
      </c>
      <c r="P122" s="973">
        <f t="shared" si="60"/>
        <v>8112.2680139734657</v>
      </c>
      <c r="Q122" s="974">
        <f t="shared" si="57"/>
        <v>959.24813914230128</v>
      </c>
      <c r="R122" s="974">
        <f t="shared" si="61"/>
        <v>6599.9599547268281</v>
      </c>
      <c r="S122" s="974">
        <f t="shared" si="58"/>
        <v>1512.3080592466379</v>
      </c>
      <c r="T122" s="975">
        <f t="shared" si="59"/>
        <v>2471.5561983889393</v>
      </c>
    </row>
    <row r="123" spans="2:20" x14ac:dyDescent="0.3">
      <c r="B123" s="420">
        <v>7</v>
      </c>
      <c r="C123" s="197">
        <f>'Margins summary'!$I$12</f>
        <v>1487.9920000000002</v>
      </c>
      <c r="D123" s="197">
        <f>'Margins summary'!$I$13</f>
        <v>175.95</v>
      </c>
      <c r="E123" s="197">
        <f>'Margins summary'!$I$18</f>
        <v>1663.9420000000002</v>
      </c>
      <c r="F123" s="197">
        <f>'Margins summary'!$I$24</f>
        <v>574.23049999999989</v>
      </c>
      <c r="G123" s="197">
        <f>'Margins summary'!$I$29</f>
        <v>636.366536</v>
      </c>
      <c r="H123" s="197">
        <f t="shared" si="50"/>
        <v>1210.5970359999999</v>
      </c>
      <c r="I123" s="197">
        <f t="shared" si="51"/>
        <v>277.3949640000003</v>
      </c>
      <c r="J123" s="197">
        <f t="shared" si="49"/>
        <v>453.34496400000035</v>
      </c>
      <c r="K123" s="973">
        <f t="shared" si="52"/>
        <v>1175.981691770251</v>
      </c>
      <c r="L123" s="974">
        <f t="shared" si="53"/>
        <v>139.05584080221914</v>
      </c>
      <c r="M123" s="974">
        <f t="shared" si="54"/>
        <v>956.75242235666008</v>
      </c>
      <c r="N123" s="974">
        <f t="shared" si="55"/>
        <v>219.22926941359108</v>
      </c>
      <c r="O123" s="974">
        <f t="shared" si="56"/>
        <v>358.28511021581028</v>
      </c>
      <c r="P123" s="973">
        <f t="shared" si="60"/>
        <v>9288.2497057437176</v>
      </c>
      <c r="Q123" s="974">
        <f t="shared" si="57"/>
        <v>1098.3039799445205</v>
      </c>
      <c r="R123" s="974">
        <f t="shared" si="61"/>
        <v>7556.7123770834878</v>
      </c>
      <c r="S123" s="974">
        <f t="shared" si="58"/>
        <v>1731.5373286602289</v>
      </c>
      <c r="T123" s="975">
        <f t="shared" si="59"/>
        <v>2829.8413086047494</v>
      </c>
    </row>
    <row r="124" spans="2:20" x14ac:dyDescent="0.3">
      <c r="B124" s="420">
        <v>8</v>
      </c>
      <c r="C124" s="197">
        <f>'Margins summary'!$I$12</f>
        <v>1487.9920000000002</v>
      </c>
      <c r="D124" s="197">
        <f>'Margins summary'!$I$13</f>
        <v>175.95</v>
      </c>
      <c r="E124" s="197">
        <f>'Margins summary'!$I$18</f>
        <v>1663.9420000000002</v>
      </c>
      <c r="F124" s="197">
        <f>'Margins summary'!$I$24</f>
        <v>574.23049999999989</v>
      </c>
      <c r="G124" s="197">
        <f>'Margins summary'!$I$29</f>
        <v>636.366536</v>
      </c>
      <c r="H124" s="197">
        <f t="shared" si="50"/>
        <v>1210.5970359999999</v>
      </c>
      <c r="I124" s="197">
        <f t="shared" si="51"/>
        <v>277.3949640000003</v>
      </c>
      <c r="J124" s="197">
        <f t="shared" si="49"/>
        <v>453.34496400000035</v>
      </c>
      <c r="K124" s="973">
        <f t="shared" si="52"/>
        <v>1130.7516267021647</v>
      </c>
      <c r="L124" s="974">
        <f t="shared" si="53"/>
        <v>133.70753923290303</v>
      </c>
      <c r="M124" s="974">
        <f t="shared" si="54"/>
        <v>919.95425226601935</v>
      </c>
      <c r="N124" s="974">
        <f t="shared" si="55"/>
        <v>210.79737443614528</v>
      </c>
      <c r="O124" s="974">
        <f t="shared" si="56"/>
        <v>344.50491366904834</v>
      </c>
      <c r="P124" s="973">
        <f t="shared" si="60"/>
        <v>10419.001332445881</v>
      </c>
      <c r="Q124" s="974">
        <f t="shared" si="57"/>
        <v>1232.0115191774235</v>
      </c>
      <c r="R124" s="974">
        <f t="shared" si="61"/>
        <v>8476.6666293495073</v>
      </c>
      <c r="S124" s="974">
        <f t="shared" si="58"/>
        <v>1942.3347030963741</v>
      </c>
      <c r="T124" s="975">
        <f t="shared" si="59"/>
        <v>3174.3462222737976</v>
      </c>
    </row>
    <row r="125" spans="2:20" x14ac:dyDescent="0.3">
      <c r="B125" s="420">
        <v>9</v>
      </c>
      <c r="C125" s="197">
        <f>'Margins summary'!$I$12</f>
        <v>1487.9920000000002</v>
      </c>
      <c r="D125" s="197">
        <f>'Margins summary'!$I$13</f>
        <v>175.95</v>
      </c>
      <c r="E125" s="197">
        <f>'Margins summary'!$I$18</f>
        <v>1663.9420000000002</v>
      </c>
      <c r="F125" s="197">
        <f>'Margins summary'!$I$24</f>
        <v>574.23049999999989</v>
      </c>
      <c r="G125" s="197">
        <f>'Margins summary'!$I$29</f>
        <v>636.366536</v>
      </c>
      <c r="H125" s="197">
        <f t="shared" si="50"/>
        <v>1210.5970359999999</v>
      </c>
      <c r="I125" s="197">
        <f t="shared" si="51"/>
        <v>277.3949640000003</v>
      </c>
      <c r="J125" s="197">
        <f t="shared" si="49"/>
        <v>453.34496400000035</v>
      </c>
      <c r="K125" s="973">
        <f t="shared" si="52"/>
        <v>1087.261179521312</v>
      </c>
      <c r="L125" s="974">
        <f t="shared" si="53"/>
        <v>128.56494157009902</v>
      </c>
      <c r="M125" s="974">
        <f t="shared" si="54"/>
        <v>884.57139640963385</v>
      </c>
      <c r="N125" s="974">
        <f t="shared" si="55"/>
        <v>202.68978311167814</v>
      </c>
      <c r="O125" s="974">
        <f t="shared" si="56"/>
        <v>331.25472468177719</v>
      </c>
      <c r="P125" s="973">
        <f t="shared" si="60"/>
        <v>11506.262511967194</v>
      </c>
      <c r="Q125" s="974">
        <f t="shared" si="57"/>
        <v>1360.5764607475226</v>
      </c>
      <c r="R125" s="974">
        <f t="shared" si="61"/>
        <v>9361.2380257591412</v>
      </c>
      <c r="S125" s="974">
        <f t="shared" si="58"/>
        <v>2145.0244862080522</v>
      </c>
      <c r="T125" s="975">
        <f t="shared" si="59"/>
        <v>3505.6009469555747</v>
      </c>
    </row>
    <row r="126" spans="2:20" x14ac:dyDescent="0.3">
      <c r="B126" s="420">
        <v>10</v>
      </c>
      <c r="C126" s="197">
        <f>'Margins summary'!$I$12</f>
        <v>1487.9920000000002</v>
      </c>
      <c r="D126" s="197">
        <f>'Margins summary'!$I$13</f>
        <v>175.95</v>
      </c>
      <c r="E126" s="197">
        <f>'Margins summary'!$I$18</f>
        <v>1663.9420000000002</v>
      </c>
      <c r="F126" s="197">
        <f>'Margins summary'!$I$24</f>
        <v>574.23049999999989</v>
      </c>
      <c r="G126" s="197">
        <f>'Margins summary'!$I$29</f>
        <v>636.366536</v>
      </c>
      <c r="H126" s="197">
        <f t="shared" si="50"/>
        <v>1210.5970359999999</v>
      </c>
      <c r="I126" s="197">
        <f t="shared" si="51"/>
        <v>277.3949640000003</v>
      </c>
      <c r="J126" s="197">
        <f t="shared" si="49"/>
        <v>453.34496400000035</v>
      </c>
      <c r="K126" s="973">
        <f t="shared" si="52"/>
        <v>1045.4434418474152</v>
      </c>
      <c r="L126" s="974">
        <f t="shared" si="53"/>
        <v>123.62013612509521</v>
      </c>
      <c r="M126" s="974">
        <f t="shared" si="54"/>
        <v>850.54941962464784</v>
      </c>
      <c r="N126" s="974">
        <f t="shared" si="55"/>
        <v>194.8940222227674</v>
      </c>
      <c r="O126" s="974">
        <f t="shared" si="56"/>
        <v>318.51415834786269</v>
      </c>
      <c r="P126" s="973">
        <f t="shared" si="60"/>
        <v>12551.70595381461</v>
      </c>
      <c r="Q126" s="974">
        <f t="shared" si="57"/>
        <v>1484.1965968726179</v>
      </c>
      <c r="R126" s="974">
        <f t="shared" si="61"/>
        <v>10211.787445383789</v>
      </c>
      <c r="S126" s="974">
        <f t="shared" si="58"/>
        <v>2339.9185084308197</v>
      </c>
      <c r="T126" s="975">
        <f t="shared" si="59"/>
        <v>3824.1151053034373</v>
      </c>
    </row>
    <row r="127" spans="2:20" x14ac:dyDescent="0.3">
      <c r="B127" s="420">
        <v>11</v>
      </c>
      <c r="C127" s="197">
        <f>'Margins summary'!$I$12</f>
        <v>1487.9920000000002</v>
      </c>
      <c r="D127" s="197">
        <f>'Margins summary'!$I$13</f>
        <v>175.95</v>
      </c>
      <c r="E127" s="197">
        <f>'Margins summary'!$I$18</f>
        <v>1663.9420000000002</v>
      </c>
      <c r="F127" s="197">
        <f>'Margins summary'!$I$24</f>
        <v>574.23049999999989</v>
      </c>
      <c r="G127" s="197">
        <f>'Margins summary'!$I$29</f>
        <v>636.366536</v>
      </c>
      <c r="H127" s="197">
        <f t="shared" si="50"/>
        <v>1210.5970359999999</v>
      </c>
      <c r="I127" s="197">
        <f t="shared" si="51"/>
        <v>277.3949640000003</v>
      </c>
      <c r="J127" s="197">
        <f t="shared" si="49"/>
        <v>453.34496400000035</v>
      </c>
      <c r="K127" s="973">
        <f t="shared" si="52"/>
        <v>1005.2340786994378</v>
      </c>
      <c r="L127" s="974">
        <f t="shared" si="53"/>
        <v>118.86551550489925</v>
      </c>
      <c r="M127" s="974">
        <f t="shared" si="54"/>
        <v>817.83598040831521</v>
      </c>
      <c r="N127" s="974">
        <f t="shared" si="55"/>
        <v>187.39809829112252</v>
      </c>
      <c r="O127" s="974">
        <f t="shared" si="56"/>
        <v>306.26361379602179</v>
      </c>
      <c r="P127" s="973">
        <f t="shared" si="60"/>
        <v>13556.940032514047</v>
      </c>
      <c r="Q127" s="974">
        <f t="shared" si="57"/>
        <v>1603.0621123775172</v>
      </c>
      <c r="R127" s="974">
        <f t="shared" si="61"/>
        <v>11029.623425792104</v>
      </c>
      <c r="S127" s="974">
        <f t="shared" si="58"/>
        <v>2527.3166067219422</v>
      </c>
      <c r="T127" s="975">
        <f t="shared" si="59"/>
        <v>4130.378719099459</v>
      </c>
    </row>
    <row r="128" spans="2:20" x14ac:dyDescent="0.3">
      <c r="B128" s="420">
        <v>12</v>
      </c>
      <c r="C128" s="197">
        <f>'Margins summary'!$I$12</f>
        <v>1487.9920000000002</v>
      </c>
      <c r="D128" s="197">
        <f>'Margins summary'!$I$13</f>
        <v>175.95</v>
      </c>
      <c r="E128" s="197">
        <f>'Margins summary'!$I$18</f>
        <v>1663.9420000000002</v>
      </c>
      <c r="F128" s="197">
        <f>'Margins summary'!$I$24</f>
        <v>574.23049999999989</v>
      </c>
      <c r="G128" s="197">
        <f>'Margins summary'!$I$29</f>
        <v>636.366536</v>
      </c>
      <c r="H128" s="197">
        <f t="shared" si="50"/>
        <v>1210.5970359999999</v>
      </c>
      <c r="I128" s="197">
        <f t="shared" si="51"/>
        <v>277.3949640000003</v>
      </c>
      <c r="J128" s="197">
        <f t="shared" si="49"/>
        <v>453.34496400000035</v>
      </c>
      <c r="K128" s="973">
        <f t="shared" si="52"/>
        <v>966.57122951869019</v>
      </c>
      <c r="L128" s="974">
        <f t="shared" si="53"/>
        <v>114.29376490855698</v>
      </c>
      <c r="M128" s="974">
        <f t="shared" si="54"/>
        <v>786.38075039261093</v>
      </c>
      <c r="N128" s="974">
        <f t="shared" si="55"/>
        <v>180.19047912607937</v>
      </c>
      <c r="O128" s="974">
        <f t="shared" si="56"/>
        <v>294.48424403463639</v>
      </c>
      <c r="P128" s="973">
        <f t="shared" si="60"/>
        <v>14523.511262032736</v>
      </c>
      <c r="Q128" s="974">
        <f t="shared" si="57"/>
        <v>1717.3558772860742</v>
      </c>
      <c r="R128" s="974">
        <f t="shared" si="61"/>
        <v>11816.004176184715</v>
      </c>
      <c r="S128" s="974">
        <f t="shared" si="58"/>
        <v>2707.5070858480217</v>
      </c>
      <c r="T128" s="975">
        <f t="shared" si="59"/>
        <v>4424.8629631340955</v>
      </c>
    </row>
    <row r="129" spans="2:21" x14ac:dyDescent="0.3">
      <c r="B129" s="420">
        <v>13</v>
      </c>
      <c r="C129" s="197">
        <f>'Margins summary'!$I$12</f>
        <v>1487.9920000000002</v>
      </c>
      <c r="D129" s="197">
        <f>'Margins summary'!$I$13</f>
        <v>175.95</v>
      </c>
      <c r="E129" s="197">
        <f>'Margins summary'!$I$18</f>
        <v>1663.9420000000002</v>
      </c>
      <c r="F129" s="197">
        <f>'Margins summary'!$I$24</f>
        <v>574.23049999999989</v>
      </c>
      <c r="G129" s="197">
        <f>'Margins summary'!$I$29</f>
        <v>636.366536</v>
      </c>
      <c r="H129" s="197">
        <f t="shared" si="50"/>
        <v>1210.5970359999999</v>
      </c>
      <c r="I129" s="197">
        <f t="shared" si="51"/>
        <v>277.3949640000003</v>
      </c>
      <c r="J129" s="197">
        <f t="shared" si="49"/>
        <v>453.34496400000035</v>
      </c>
      <c r="K129" s="973">
        <f t="shared" si="52"/>
        <v>929.39541299874043</v>
      </c>
      <c r="L129" s="974">
        <f t="shared" si="53"/>
        <v>109.89785087361246</v>
      </c>
      <c r="M129" s="974">
        <f t="shared" si="54"/>
        <v>756.13533691597183</v>
      </c>
      <c r="N129" s="974">
        <f t="shared" si="55"/>
        <v>173.26007608276856</v>
      </c>
      <c r="O129" s="974">
        <f t="shared" si="56"/>
        <v>283.15792695638106</v>
      </c>
      <c r="P129" s="973">
        <f t="shared" si="60"/>
        <v>15452.906675031476</v>
      </c>
      <c r="Q129" s="974">
        <f t="shared" si="57"/>
        <v>1827.2537281596867</v>
      </c>
      <c r="R129" s="974">
        <f t="shared" si="61"/>
        <v>12572.139513100687</v>
      </c>
      <c r="S129" s="974">
        <f t="shared" si="58"/>
        <v>2880.7671619307903</v>
      </c>
      <c r="T129" s="975">
        <f t="shared" si="59"/>
        <v>4708.0208900904763</v>
      </c>
    </row>
    <row r="130" spans="2:21" x14ac:dyDescent="0.3">
      <c r="B130" s="420">
        <v>14</v>
      </c>
      <c r="C130" s="197">
        <f>'Margins summary'!$I$12</f>
        <v>1487.9920000000002</v>
      </c>
      <c r="D130" s="197">
        <f>'Margins summary'!$I$13</f>
        <v>175.95</v>
      </c>
      <c r="E130" s="197">
        <f>'Margins summary'!$I$18</f>
        <v>1663.9420000000002</v>
      </c>
      <c r="F130" s="197">
        <f>'Margins summary'!$I$24</f>
        <v>574.23049999999989</v>
      </c>
      <c r="G130" s="197">
        <f>'Margins summary'!$I$29</f>
        <v>636.366536</v>
      </c>
      <c r="H130" s="197">
        <f t="shared" si="50"/>
        <v>1210.5970359999999</v>
      </c>
      <c r="I130" s="197">
        <f t="shared" si="51"/>
        <v>277.3949640000003</v>
      </c>
      <c r="J130" s="197">
        <f t="shared" si="49"/>
        <v>453.34496400000035</v>
      </c>
      <c r="K130" s="973">
        <f t="shared" si="52"/>
        <v>893.64943557571189</v>
      </c>
      <c r="L130" s="974">
        <f t="shared" si="53"/>
        <v>105.67101045539658</v>
      </c>
      <c r="M130" s="974">
        <f t="shared" si="54"/>
        <v>727.0532085730498</v>
      </c>
      <c r="N130" s="974">
        <f t="shared" si="55"/>
        <v>166.59622700266209</v>
      </c>
      <c r="O130" s="974">
        <f t="shared" si="56"/>
        <v>272.26723745805873</v>
      </c>
      <c r="P130" s="973">
        <f t="shared" si="60"/>
        <v>16346.556110607187</v>
      </c>
      <c r="Q130" s="974">
        <f t="shared" si="57"/>
        <v>1932.9247386150832</v>
      </c>
      <c r="R130" s="974">
        <f t="shared" si="61"/>
        <v>13299.192721673737</v>
      </c>
      <c r="S130" s="974">
        <f t="shared" si="58"/>
        <v>3047.3633889334524</v>
      </c>
      <c r="T130" s="975">
        <f t="shared" si="59"/>
        <v>4980.2881275485352</v>
      </c>
    </row>
    <row r="131" spans="2:21" x14ac:dyDescent="0.3">
      <c r="B131" s="420">
        <v>15</v>
      </c>
      <c r="C131" s="197">
        <f>'Margins summary'!$I$12</f>
        <v>1487.9920000000002</v>
      </c>
      <c r="D131" s="197">
        <f>'Margins summary'!$I$13</f>
        <v>175.95</v>
      </c>
      <c r="E131" s="197">
        <f>'Margins summary'!$I$18</f>
        <v>1663.9420000000002</v>
      </c>
      <c r="F131" s="197">
        <f>'Margins summary'!$I$24</f>
        <v>574.23049999999989</v>
      </c>
      <c r="G131" s="197">
        <f>'Margins summary'!$I$29</f>
        <v>636.366536</v>
      </c>
      <c r="H131" s="197">
        <f t="shared" si="50"/>
        <v>1210.5970359999999</v>
      </c>
      <c r="I131" s="197">
        <f t="shared" si="51"/>
        <v>277.3949640000003</v>
      </c>
      <c r="J131" s="197">
        <f t="shared" si="49"/>
        <v>453.34496400000035</v>
      </c>
      <c r="K131" s="973">
        <f t="shared" si="52"/>
        <v>859.27830343818448</v>
      </c>
      <c r="L131" s="974">
        <f t="shared" si="53"/>
        <v>101.60674082249672</v>
      </c>
      <c r="M131" s="974">
        <f t="shared" si="54"/>
        <v>699.0896236279325</v>
      </c>
      <c r="N131" s="974">
        <f t="shared" si="55"/>
        <v>160.18867981025201</v>
      </c>
      <c r="O131" s="974">
        <f t="shared" si="56"/>
        <v>261.79542063274874</v>
      </c>
      <c r="P131" s="973">
        <f t="shared" si="60"/>
        <v>17205.83441404537</v>
      </c>
      <c r="Q131" s="974">
        <f t="shared" si="57"/>
        <v>2034.5314794375799</v>
      </c>
      <c r="R131" s="974">
        <f t="shared" si="61"/>
        <v>13998.28234530167</v>
      </c>
      <c r="S131" s="974">
        <f t="shared" si="58"/>
        <v>3207.5520687437042</v>
      </c>
      <c r="T131" s="975">
        <f t="shared" si="59"/>
        <v>5242.0835481812837</v>
      </c>
    </row>
    <row r="132" spans="2:21" x14ac:dyDescent="0.3">
      <c r="B132" s="561">
        <v>16</v>
      </c>
      <c r="C132" s="207">
        <f>'Margins summary'!$I$12</f>
        <v>1487.9920000000002</v>
      </c>
      <c r="D132" s="207">
        <f>'Margins summary'!$I$13</f>
        <v>175.95</v>
      </c>
      <c r="E132" s="207">
        <f>'Margins summary'!$I$18</f>
        <v>1663.9420000000002</v>
      </c>
      <c r="F132" s="207">
        <f>'Margins summary'!$I$24</f>
        <v>574.23049999999989</v>
      </c>
      <c r="G132" s="207">
        <f>'Margins summary'!$I$29</f>
        <v>636.366536</v>
      </c>
      <c r="H132" s="207">
        <f t="shared" si="50"/>
        <v>1210.5970359999999</v>
      </c>
      <c r="I132" s="207">
        <f t="shared" si="51"/>
        <v>277.3949640000003</v>
      </c>
      <c r="J132" s="207">
        <f t="shared" si="49"/>
        <v>453.34496400000035</v>
      </c>
      <c r="K132" s="976">
        <f t="shared" si="52"/>
        <v>826.22913792133136</v>
      </c>
      <c r="L132" s="977">
        <f t="shared" si="53"/>
        <v>97.698789252400701</v>
      </c>
      <c r="M132" s="977">
        <f t="shared" si="54"/>
        <v>672.2015611807044</v>
      </c>
      <c r="N132" s="977">
        <f t="shared" si="55"/>
        <v>154.02757674062693</v>
      </c>
      <c r="O132" s="978">
        <f t="shared" si="56"/>
        <v>251.72636599302766</v>
      </c>
      <c r="P132" s="976">
        <f t="shared" si="60"/>
        <v>18032.063551966701</v>
      </c>
      <c r="Q132" s="977">
        <f t="shared" si="57"/>
        <v>2132.2302686899807</v>
      </c>
      <c r="R132" s="977">
        <f t="shared" si="61"/>
        <v>14670.483906482374</v>
      </c>
      <c r="S132" s="977">
        <f t="shared" si="58"/>
        <v>3361.5796454843312</v>
      </c>
      <c r="T132" s="978">
        <f t="shared" si="59"/>
        <v>5493.8099141743114</v>
      </c>
    </row>
    <row r="139" spans="2:21" x14ac:dyDescent="0.3">
      <c r="B139" s="224" t="s">
        <v>299</v>
      </c>
    </row>
    <row r="140" spans="2:21" x14ac:dyDescent="0.3">
      <c r="B140" s="216"/>
      <c r="C140" s="1090"/>
      <c r="D140" s="1090"/>
      <c r="E140" s="1090"/>
      <c r="F140" s="148"/>
      <c r="G140" s="1086"/>
      <c r="H140" s="1086"/>
      <c r="I140" s="148"/>
      <c r="J140" s="148"/>
      <c r="K140" s="158"/>
      <c r="L140" s="222" t="s">
        <v>275</v>
      </c>
      <c r="M140" s="221"/>
      <c r="N140" s="221"/>
      <c r="O140" s="221"/>
      <c r="P140" s="223"/>
      <c r="Q140" s="221" t="s">
        <v>276</v>
      </c>
      <c r="R140" s="221"/>
      <c r="S140" s="221"/>
      <c r="T140" s="221"/>
      <c r="U140" s="217"/>
    </row>
    <row r="141" spans="2:21" ht="51" x14ac:dyDescent="0.3">
      <c r="B141" s="218" t="s">
        <v>278</v>
      </c>
      <c r="C141" s="214" t="s">
        <v>300</v>
      </c>
      <c r="D141" s="171" t="s">
        <v>279</v>
      </c>
      <c r="E141" s="171" t="s">
        <v>10</v>
      </c>
      <c r="F141" s="171" t="s">
        <v>280</v>
      </c>
      <c r="G141" s="205" t="s">
        <v>296</v>
      </c>
      <c r="H141" s="171" t="s">
        <v>282</v>
      </c>
      <c r="I141" s="171" t="s">
        <v>283</v>
      </c>
      <c r="J141" s="171" t="s">
        <v>284</v>
      </c>
      <c r="K141" s="171" t="s">
        <v>285</v>
      </c>
      <c r="L141" s="195" t="s">
        <v>286</v>
      </c>
      <c r="M141" s="171" t="s">
        <v>287</v>
      </c>
      <c r="N141" s="171" t="s">
        <v>288</v>
      </c>
      <c r="O141" s="171" t="s">
        <v>289</v>
      </c>
      <c r="P141" s="198" t="s">
        <v>290</v>
      </c>
      <c r="Q141" s="171" t="s">
        <v>291</v>
      </c>
      <c r="R141" s="171" t="s">
        <v>292</v>
      </c>
      <c r="S141" s="171" t="s">
        <v>293</v>
      </c>
      <c r="T141" s="171" t="s">
        <v>294</v>
      </c>
      <c r="U141" s="198" t="s">
        <v>295</v>
      </c>
    </row>
    <row r="142" spans="2:21" x14ac:dyDescent="0.3">
      <c r="B142" s="173"/>
      <c r="C142" s="215"/>
      <c r="D142" s="201" t="s">
        <v>442</v>
      </c>
      <c r="E142" s="201" t="s">
        <v>442</v>
      </c>
      <c r="F142" s="201" t="s">
        <v>442</v>
      </c>
      <c r="G142" s="201" t="s">
        <v>442</v>
      </c>
      <c r="H142" s="201" t="s">
        <v>442</v>
      </c>
      <c r="I142" s="201" t="s">
        <v>442</v>
      </c>
      <c r="J142" s="201" t="s">
        <v>442</v>
      </c>
      <c r="K142" s="202" t="s">
        <v>440</v>
      </c>
      <c r="L142" s="201" t="s">
        <v>442</v>
      </c>
      <c r="M142" s="201" t="s">
        <v>442</v>
      </c>
      <c r="N142" s="201" t="s">
        <v>442</v>
      </c>
      <c r="O142" s="201" t="s">
        <v>442</v>
      </c>
      <c r="P142" s="202" t="s">
        <v>442</v>
      </c>
      <c r="Q142" s="201" t="s">
        <v>442</v>
      </c>
      <c r="R142" s="201" t="s">
        <v>442</v>
      </c>
      <c r="S142" s="201" t="s">
        <v>442</v>
      </c>
      <c r="T142" s="201" t="s">
        <v>442</v>
      </c>
      <c r="U142" s="202" t="s">
        <v>442</v>
      </c>
    </row>
    <row r="143" spans="2:21" x14ac:dyDescent="0.3">
      <c r="B143" s="219" t="s">
        <v>4</v>
      </c>
      <c r="C143" s="640">
        <v>1</v>
      </c>
      <c r="D143" s="197">
        <f>C13</f>
        <v>1729.52</v>
      </c>
      <c r="E143" s="213">
        <f>'Margins summary'!$I$13</f>
        <v>175.95</v>
      </c>
      <c r="F143" s="197">
        <f>E13</f>
        <v>1905.47</v>
      </c>
      <c r="G143" s="197">
        <f>F13</f>
        <v>671.92799999999988</v>
      </c>
      <c r="H143" s="197">
        <f>G13</f>
        <v>969.47373599999992</v>
      </c>
      <c r="I143" s="197">
        <f>G143+H143</f>
        <v>1641.4017359999998</v>
      </c>
      <c r="J143" s="197">
        <f>D143-I143</f>
        <v>88.118264000000181</v>
      </c>
      <c r="K143" s="197">
        <f t="shared" ref="K143:K158" si="62">F143-I143</f>
        <v>264.06826400000023</v>
      </c>
      <c r="L143" s="973">
        <f>D143/(1+$C$6)^($C143-1)</f>
        <v>1729.52</v>
      </c>
      <c r="M143" s="974">
        <f>E143/(1+$C$6)^($C143-1)</f>
        <v>175.95</v>
      </c>
      <c r="N143" s="974">
        <f>I143/(1+$C$6)^($C143-1)</f>
        <v>1641.4017359999998</v>
      </c>
      <c r="O143" s="974">
        <f>L143-N143</f>
        <v>88.118264000000181</v>
      </c>
      <c r="P143" s="975">
        <f>O143+M143</f>
        <v>264.06826400000017</v>
      </c>
      <c r="Q143" s="974">
        <f>L143</f>
        <v>1729.52</v>
      </c>
      <c r="R143" s="974">
        <f>M143</f>
        <v>175.95</v>
      </c>
      <c r="S143" s="974">
        <f>N143</f>
        <v>1641.4017359999998</v>
      </c>
      <c r="T143" s="974">
        <f>O143</f>
        <v>88.118264000000181</v>
      </c>
      <c r="U143" s="975">
        <f>P143</f>
        <v>264.06826400000017</v>
      </c>
    </row>
    <row r="144" spans="2:21" x14ac:dyDescent="0.3">
      <c r="B144" s="219" t="s">
        <v>7</v>
      </c>
      <c r="C144" s="566">
        <v>2</v>
      </c>
      <c r="D144" s="197">
        <f>C92</f>
        <v>1640.6000000000001</v>
      </c>
      <c r="E144" s="197">
        <f>'Margins summary'!$I$13</f>
        <v>175.95</v>
      </c>
      <c r="F144" s="197">
        <f>E92</f>
        <v>1816.5500000000002</v>
      </c>
      <c r="G144" s="197">
        <f>F92</f>
        <v>819.30399999999986</v>
      </c>
      <c r="H144" s="197">
        <f>G92</f>
        <v>996.95456799999988</v>
      </c>
      <c r="I144" s="197">
        <f t="shared" ref="I144:I158" si="63">G144+H144</f>
        <v>1816.2585679999997</v>
      </c>
      <c r="J144" s="197">
        <f t="shared" ref="J144:J158" si="64">D144-I144</f>
        <v>-175.6585679999996</v>
      </c>
      <c r="K144" s="197">
        <f t="shared" si="62"/>
        <v>0.29143200000044089</v>
      </c>
      <c r="L144" s="973">
        <f t="shared" ref="L144:L158" si="65">D144/(1+$C$6)^($C144-1)</f>
        <v>1577.5</v>
      </c>
      <c r="M144" s="974">
        <f t="shared" ref="M144:M158" si="66">E144/(1+$C$6)^($C144-1)</f>
        <v>169.18269230769229</v>
      </c>
      <c r="N144" s="974">
        <f t="shared" ref="N144:N158" si="67">I144/(1+$C$6)^($C144-1)</f>
        <v>1746.4024692307689</v>
      </c>
      <c r="O144" s="974">
        <f t="shared" ref="O144:O158" si="68">L144-N144</f>
        <v>-168.90246923076893</v>
      </c>
      <c r="P144" s="975">
        <f t="shared" ref="P144:P158" si="69">O144+M144</f>
        <v>0.28022307692336312</v>
      </c>
      <c r="Q144" s="974">
        <f>Q143+L144</f>
        <v>3307.02</v>
      </c>
      <c r="R144" s="974">
        <f t="shared" ref="R144:U158" si="70">R143+M144</f>
        <v>345.13269230769231</v>
      </c>
      <c r="S144" s="974">
        <f t="shared" si="70"/>
        <v>3387.8042052307687</v>
      </c>
      <c r="T144" s="974">
        <f t="shared" si="70"/>
        <v>-80.784205230768748</v>
      </c>
      <c r="U144" s="975">
        <f t="shared" si="70"/>
        <v>264.34848707692356</v>
      </c>
    </row>
    <row r="145" spans="2:21" x14ac:dyDescent="0.3">
      <c r="B145" s="219" t="s">
        <v>260</v>
      </c>
      <c r="C145" s="566">
        <v>3</v>
      </c>
      <c r="D145" s="197">
        <f>C119</f>
        <v>1487.9920000000002</v>
      </c>
      <c r="E145" s="197">
        <f>'Margins summary'!$I$13</f>
        <v>175.95</v>
      </c>
      <c r="F145" s="197">
        <f>E119</f>
        <v>1663.9420000000002</v>
      </c>
      <c r="G145" s="197">
        <f>F119</f>
        <v>574.23049999999989</v>
      </c>
      <c r="H145" s="197">
        <f>G119</f>
        <v>636.366536</v>
      </c>
      <c r="I145" s="197">
        <f t="shared" si="63"/>
        <v>1210.5970359999999</v>
      </c>
      <c r="J145" s="197">
        <f t="shared" si="64"/>
        <v>277.3949640000003</v>
      </c>
      <c r="K145" s="197">
        <f t="shared" si="62"/>
        <v>453.34496400000035</v>
      </c>
      <c r="L145" s="973">
        <f t="shared" si="65"/>
        <v>1375.7322485207101</v>
      </c>
      <c r="M145" s="974">
        <f t="shared" si="66"/>
        <v>162.67566568047334</v>
      </c>
      <c r="N145" s="974">
        <f t="shared" si="67"/>
        <v>1119.2650110946743</v>
      </c>
      <c r="O145" s="974">
        <f t="shared" si="68"/>
        <v>256.46723742603581</v>
      </c>
      <c r="P145" s="975">
        <f t="shared" si="69"/>
        <v>419.14290310650915</v>
      </c>
      <c r="Q145" s="974">
        <f t="shared" ref="Q145:Q158" si="71">Q144+L145</f>
        <v>4682.7522485207101</v>
      </c>
      <c r="R145" s="974">
        <f t="shared" si="70"/>
        <v>507.80835798816565</v>
      </c>
      <c r="S145" s="974">
        <f t="shared" si="70"/>
        <v>4507.0692163254425</v>
      </c>
      <c r="T145" s="974">
        <f t="shared" si="70"/>
        <v>175.68303219526706</v>
      </c>
      <c r="U145" s="975">
        <f t="shared" si="70"/>
        <v>683.49139018343271</v>
      </c>
    </row>
    <row r="146" spans="2:21" x14ac:dyDescent="0.3">
      <c r="B146" s="219" t="s">
        <v>6</v>
      </c>
      <c r="C146" s="566">
        <v>4</v>
      </c>
      <c r="D146" s="197">
        <f>C68</f>
        <v>1249.0049999999999</v>
      </c>
      <c r="E146" s="197">
        <f>'Margins summary'!$I$13</f>
        <v>175.95</v>
      </c>
      <c r="F146" s="197">
        <f>E68</f>
        <v>1424.9549999999999</v>
      </c>
      <c r="G146" s="197">
        <f>F68</f>
        <v>619.745</v>
      </c>
      <c r="H146" s="197">
        <f>G68</f>
        <v>710.23622685714281</v>
      </c>
      <c r="I146" s="197">
        <f t="shared" si="63"/>
        <v>1329.9812268571427</v>
      </c>
      <c r="J146" s="197">
        <f t="shared" si="64"/>
        <v>-80.976226857142819</v>
      </c>
      <c r="K146" s="197">
        <f t="shared" si="62"/>
        <v>94.973773142857226</v>
      </c>
      <c r="L146" s="973">
        <f t="shared" si="65"/>
        <v>1110.3608969617658</v>
      </c>
      <c r="M146" s="974">
        <f t="shared" si="66"/>
        <v>156.41890930814745</v>
      </c>
      <c r="N146" s="974">
        <f t="shared" si="67"/>
        <v>1182.3484677766758</v>
      </c>
      <c r="O146" s="974">
        <f t="shared" si="68"/>
        <v>-71.987570814909986</v>
      </c>
      <c r="P146" s="975">
        <f t="shared" si="69"/>
        <v>84.431338493237462</v>
      </c>
      <c r="Q146" s="974">
        <f t="shared" si="71"/>
        <v>5793.1131454824754</v>
      </c>
      <c r="R146" s="974">
        <f t="shared" si="70"/>
        <v>664.22726729631313</v>
      </c>
      <c r="S146" s="974">
        <f t="shared" si="70"/>
        <v>5689.4176841021181</v>
      </c>
      <c r="T146" s="974">
        <f t="shared" si="70"/>
        <v>103.69546138035707</v>
      </c>
      <c r="U146" s="975">
        <f t="shared" si="70"/>
        <v>767.9227286766702</v>
      </c>
    </row>
    <row r="147" spans="2:21" x14ac:dyDescent="0.3">
      <c r="B147" s="219" t="s">
        <v>5</v>
      </c>
      <c r="C147" s="566">
        <v>5</v>
      </c>
      <c r="D147" s="197">
        <f>C43</f>
        <v>913.07799999999997</v>
      </c>
      <c r="E147" s="197">
        <f>'Margins summary'!$I$13</f>
        <v>175.95</v>
      </c>
      <c r="F147" s="197">
        <f>E43</f>
        <v>1089.028</v>
      </c>
      <c r="G147" s="197">
        <f>F43</f>
        <v>468.64299999999992</v>
      </c>
      <c r="H147" s="197">
        <f>G43</f>
        <v>888.75536799999986</v>
      </c>
      <c r="I147" s="197">
        <f t="shared" si="63"/>
        <v>1357.3983679999997</v>
      </c>
      <c r="J147" s="197">
        <f t="shared" si="64"/>
        <v>-444.32036799999969</v>
      </c>
      <c r="K147" s="197">
        <f t="shared" si="62"/>
        <v>-268.37036799999964</v>
      </c>
      <c r="L147" s="973">
        <f t="shared" si="65"/>
        <v>780.50290113703988</v>
      </c>
      <c r="M147" s="974">
        <f t="shared" si="66"/>
        <v>150.40279741168024</v>
      </c>
      <c r="N147" s="974">
        <f t="shared" si="67"/>
        <v>1160.3098138633095</v>
      </c>
      <c r="O147" s="974">
        <f t="shared" si="68"/>
        <v>-379.80691272626962</v>
      </c>
      <c r="P147" s="975">
        <f t="shared" si="69"/>
        <v>-229.40411531458938</v>
      </c>
      <c r="Q147" s="974">
        <f t="shared" si="71"/>
        <v>6573.6160466195151</v>
      </c>
      <c r="R147" s="974">
        <f t="shared" si="70"/>
        <v>814.63006470799337</v>
      </c>
      <c r="S147" s="974">
        <f t="shared" si="70"/>
        <v>6849.7274979654276</v>
      </c>
      <c r="T147" s="974">
        <f t="shared" si="70"/>
        <v>-276.11145134591254</v>
      </c>
      <c r="U147" s="975">
        <f t="shared" si="70"/>
        <v>538.51861336208083</v>
      </c>
    </row>
    <row r="148" spans="2:21" x14ac:dyDescent="0.3">
      <c r="B148" s="219" t="s">
        <v>4</v>
      </c>
      <c r="C148" s="566">
        <v>6</v>
      </c>
      <c r="D148" s="197">
        <f>C18</f>
        <v>1729.52</v>
      </c>
      <c r="E148" s="197">
        <f>'Margins summary'!$I$13</f>
        <v>175.95</v>
      </c>
      <c r="F148" s="197">
        <f>E18</f>
        <v>1905.47</v>
      </c>
      <c r="G148" s="197">
        <f>F18</f>
        <v>671.92799999999988</v>
      </c>
      <c r="H148" s="197">
        <f>G18</f>
        <v>969.47373599999992</v>
      </c>
      <c r="I148" s="197">
        <f t="shared" si="63"/>
        <v>1641.4017359999998</v>
      </c>
      <c r="J148" s="197">
        <f t="shared" si="64"/>
        <v>88.118264000000181</v>
      </c>
      <c r="K148" s="197">
        <f t="shared" si="62"/>
        <v>264.06826400000023</v>
      </c>
      <c r="L148" s="973">
        <f t="shared" si="65"/>
        <v>1421.5393696824337</v>
      </c>
      <c r="M148" s="974">
        <f t="shared" si="66"/>
        <v>144.61807443430789</v>
      </c>
      <c r="N148" s="974">
        <f t="shared" si="67"/>
        <v>1349.1125799002568</v>
      </c>
      <c r="O148" s="974">
        <f t="shared" si="68"/>
        <v>72.426789782176911</v>
      </c>
      <c r="P148" s="975">
        <f t="shared" si="69"/>
        <v>217.0448642164848</v>
      </c>
      <c r="Q148" s="974">
        <f t="shared" si="71"/>
        <v>7995.1554163019491</v>
      </c>
      <c r="R148" s="974">
        <f t="shared" si="70"/>
        <v>959.24813914230128</v>
      </c>
      <c r="S148" s="974">
        <f t="shared" si="70"/>
        <v>8198.8400778656851</v>
      </c>
      <c r="T148" s="974">
        <f t="shared" si="70"/>
        <v>-203.68466156373563</v>
      </c>
      <c r="U148" s="975">
        <f t="shared" si="70"/>
        <v>755.56347757856565</v>
      </c>
    </row>
    <row r="149" spans="2:21" x14ac:dyDescent="0.3">
      <c r="B149" s="219" t="s">
        <v>7</v>
      </c>
      <c r="C149" s="566">
        <v>7</v>
      </c>
      <c r="D149" s="197">
        <f>C97</f>
        <v>1640.6000000000001</v>
      </c>
      <c r="E149" s="197">
        <f>'Margins summary'!$I$13</f>
        <v>175.95</v>
      </c>
      <c r="F149" s="197">
        <f>E97</f>
        <v>1816.5500000000002</v>
      </c>
      <c r="G149" s="197">
        <f>F97</f>
        <v>819.30399999999986</v>
      </c>
      <c r="H149" s="197">
        <f>G97</f>
        <v>996.95456799999988</v>
      </c>
      <c r="I149" s="197">
        <f t="shared" si="63"/>
        <v>1816.2585679999997</v>
      </c>
      <c r="J149" s="197">
        <f t="shared" si="64"/>
        <v>-175.6585679999996</v>
      </c>
      <c r="K149" s="197">
        <f t="shared" si="62"/>
        <v>0.29143200000044089</v>
      </c>
      <c r="L149" s="973">
        <f t="shared" si="65"/>
        <v>1296.5900109128772</v>
      </c>
      <c r="M149" s="974">
        <f t="shared" si="66"/>
        <v>139.05584080221914</v>
      </c>
      <c r="N149" s="974">
        <f t="shared" si="67"/>
        <v>1435.4155287722333</v>
      </c>
      <c r="O149" s="974">
        <f t="shared" si="68"/>
        <v>-138.82551785935607</v>
      </c>
      <c r="P149" s="975">
        <f t="shared" si="69"/>
        <v>0.23032294286306865</v>
      </c>
      <c r="Q149" s="974">
        <f t="shared" si="71"/>
        <v>9291.7454272148261</v>
      </c>
      <c r="R149" s="974">
        <f t="shared" si="70"/>
        <v>1098.3039799445205</v>
      </c>
      <c r="S149" s="974">
        <f t="shared" si="70"/>
        <v>9634.2556066379184</v>
      </c>
      <c r="T149" s="974">
        <f t="shared" si="70"/>
        <v>-342.5101794230917</v>
      </c>
      <c r="U149" s="975">
        <f t="shared" si="70"/>
        <v>755.79380052142869</v>
      </c>
    </row>
    <row r="150" spans="2:21" x14ac:dyDescent="0.3">
      <c r="B150" s="219" t="s">
        <v>260</v>
      </c>
      <c r="C150" s="566">
        <v>8</v>
      </c>
      <c r="D150" s="197">
        <f>C124</f>
        <v>1487.9920000000002</v>
      </c>
      <c r="E150" s="197">
        <f>'Margins summary'!$I$13</f>
        <v>175.95</v>
      </c>
      <c r="F150" s="197">
        <f>E124</f>
        <v>1663.9420000000002</v>
      </c>
      <c r="G150" s="197">
        <f>F124</f>
        <v>574.23049999999989</v>
      </c>
      <c r="H150" s="197">
        <f>G124</f>
        <v>636.366536</v>
      </c>
      <c r="I150" s="197">
        <f t="shared" si="63"/>
        <v>1210.5970359999999</v>
      </c>
      <c r="J150" s="197">
        <f t="shared" si="64"/>
        <v>277.3949640000003</v>
      </c>
      <c r="K150" s="197">
        <f t="shared" si="62"/>
        <v>453.34496400000035</v>
      </c>
      <c r="L150" s="973">
        <f t="shared" si="65"/>
        <v>1130.7516267021647</v>
      </c>
      <c r="M150" s="974">
        <f t="shared" si="66"/>
        <v>133.70753923290303</v>
      </c>
      <c r="N150" s="974">
        <f t="shared" si="67"/>
        <v>919.95425226601935</v>
      </c>
      <c r="O150" s="974">
        <f t="shared" si="68"/>
        <v>210.79737443614533</v>
      </c>
      <c r="P150" s="975">
        <f t="shared" si="69"/>
        <v>344.50491366904839</v>
      </c>
      <c r="Q150" s="974">
        <f t="shared" si="71"/>
        <v>10422.497053916992</v>
      </c>
      <c r="R150" s="974">
        <f t="shared" si="70"/>
        <v>1232.0115191774235</v>
      </c>
      <c r="S150" s="974">
        <f t="shared" si="70"/>
        <v>10554.209858903938</v>
      </c>
      <c r="T150" s="974">
        <f t="shared" si="70"/>
        <v>-131.71280498694637</v>
      </c>
      <c r="U150" s="975">
        <f t="shared" si="70"/>
        <v>1100.2987141904771</v>
      </c>
    </row>
    <row r="151" spans="2:21" x14ac:dyDescent="0.3">
      <c r="B151" s="219" t="s">
        <v>6</v>
      </c>
      <c r="C151" s="566">
        <v>9</v>
      </c>
      <c r="D151" s="197">
        <f>C73</f>
        <v>1249.0049999999999</v>
      </c>
      <c r="E151" s="197">
        <f>'Margins summary'!$I$13</f>
        <v>175.95</v>
      </c>
      <c r="F151" s="197">
        <f>E73</f>
        <v>1424.9549999999999</v>
      </c>
      <c r="G151" s="197">
        <f>F73</f>
        <v>619.745</v>
      </c>
      <c r="H151" s="197">
        <f>G73</f>
        <v>710.23622685714281</v>
      </c>
      <c r="I151" s="197">
        <f t="shared" si="63"/>
        <v>1329.9812268571427</v>
      </c>
      <c r="J151" s="197">
        <f t="shared" si="64"/>
        <v>-80.976226857142819</v>
      </c>
      <c r="K151" s="197">
        <f t="shared" si="62"/>
        <v>94.973773142857226</v>
      </c>
      <c r="L151" s="973">
        <f t="shared" si="65"/>
        <v>912.63571949850268</v>
      </c>
      <c r="M151" s="974">
        <f t="shared" si="66"/>
        <v>128.56494157009902</v>
      </c>
      <c r="N151" s="974">
        <f t="shared" si="67"/>
        <v>971.80425530103548</v>
      </c>
      <c r="O151" s="974">
        <f t="shared" si="68"/>
        <v>-59.168535802532801</v>
      </c>
      <c r="P151" s="975">
        <f t="shared" si="69"/>
        <v>69.396405767566222</v>
      </c>
      <c r="Q151" s="974">
        <f t="shared" si="71"/>
        <v>11335.132773415495</v>
      </c>
      <c r="R151" s="974">
        <f t="shared" si="70"/>
        <v>1360.5764607475226</v>
      </c>
      <c r="S151" s="974">
        <f t="shared" si="70"/>
        <v>11526.014114204972</v>
      </c>
      <c r="T151" s="974">
        <f t="shared" si="70"/>
        <v>-190.88134078947917</v>
      </c>
      <c r="U151" s="975">
        <f t="shared" si="70"/>
        <v>1169.6951199580433</v>
      </c>
    </row>
    <row r="152" spans="2:21" x14ac:dyDescent="0.3">
      <c r="B152" s="219" t="s">
        <v>5</v>
      </c>
      <c r="C152" s="566">
        <v>10</v>
      </c>
      <c r="D152" s="197">
        <f>C48</f>
        <v>913.07799999999997</v>
      </c>
      <c r="E152" s="197">
        <f>'Margins summary'!$I$13</f>
        <v>175.95</v>
      </c>
      <c r="F152" s="197">
        <f>E48</f>
        <v>1089.028</v>
      </c>
      <c r="G152" s="197">
        <f>F48</f>
        <v>468.64299999999992</v>
      </c>
      <c r="H152" s="197">
        <f>G48</f>
        <v>888.75536799999986</v>
      </c>
      <c r="I152" s="197">
        <f t="shared" si="63"/>
        <v>1357.3983679999997</v>
      </c>
      <c r="J152" s="197">
        <f t="shared" si="64"/>
        <v>-444.32036799999969</v>
      </c>
      <c r="K152" s="197">
        <f t="shared" si="62"/>
        <v>-268.37036799999964</v>
      </c>
      <c r="L152" s="973">
        <f t="shared" si="65"/>
        <v>641.51649134884735</v>
      </c>
      <c r="M152" s="974">
        <f t="shared" si="66"/>
        <v>123.62013612509521</v>
      </c>
      <c r="N152" s="974">
        <f t="shared" si="67"/>
        <v>953.69008825315177</v>
      </c>
      <c r="O152" s="974">
        <f t="shared" si="68"/>
        <v>-312.17359690430442</v>
      </c>
      <c r="P152" s="975">
        <f t="shared" si="69"/>
        <v>-188.55346077920922</v>
      </c>
      <c r="Q152" s="974">
        <f t="shared" si="71"/>
        <v>11976.649264764343</v>
      </c>
      <c r="R152" s="974">
        <f t="shared" si="70"/>
        <v>1484.1965968726179</v>
      </c>
      <c r="S152" s="974">
        <f t="shared" si="70"/>
        <v>12479.704202458124</v>
      </c>
      <c r="T152" s="974">
        <f t="shared" si="70"/>
        <v>-503.05493769378359</v>
      </c>
      <c r="U152" s="975">
        <f t="shared" si="70"/>
        <v>981.14165917883406</v>
      </c>
    </row>
    <row r="153" spans="2:21" x14ac:dyDescent="0.3">
      <c r="B153" s="219" t="s">
        <v>4</v>
      </c>
      <c r="C153" s="566">
        <v>11</v>
      </c>
      <c r="D153" s="197">
        <f>C23</f>
        <v>1729.52</v>
      </c>
      <c r="E153" s="197">
        <f>'Margins summary'!$I$13</f>
        <v>175.95</v>
      </c>
      <c r="F153" s="197">
        <f>E23</f>
        <v>1905.47</v>
      </c>
      <c r="G153" s="197">
        <f>F23</f>
        <v>671.92799999999988</v>
      </c>
      <c r="H153" s="197">
        <f>G23</f>
        <v>969.47373599999992</v>
      </c>
      <c r="I153" s="197">
        <f t="shared" si="63"/>
        <v>1641.4017359999998</v>
      </c>
      <c r="J153" s="197">
        <f t="shared" si="64"/>
        <v>88.118264000000181</v>
      </c>
      <c r="K153" s="197">
        <f t="shared" si="62"/>
        <v>264.06826400000023</v>
      </c>
      <c r="L153" s="973">
        <f t="shared" si="65"/>
        <v>1168.4017412675951</v>
      </c>
      <c r="M153" s="974">
        <f t="shared" si="66"/>
        <v>118.86551550489925</v>
      </c>
      <c r="N153" s="974">
        <f t="shared" si="67"/>
        <v>1108.8721994900627</v>
      </c>
      <c r="O153" s="974">
        <f t="shared" si="68"/>
        <v>59.529541777532359</v>
      </c>
      <c r="P153" s="975">
        <f t="shared" si="69"/>
        <v>178.39505728243159</v>
      </c>
      <c r="Q153" s="974">
        <f t="shared" si="71"/>
        <v>13145.051006031938</v>
      </c>
      <c r="R153" s="974">
        <f t="shared" si="70"/>
        <v>1603.0621123775172</v>
      </c>
      <c r="S153" s="974">
        <f t="shared" si="70"/>
        <v>13588.576401948187</v>
      </c>
      <c r="T153" s="974">
        <f t="shared" si="70"/>
        <v>-443.52539591625123</v>
      </c>
      <c r="U153" s="975">
        <f t="shared" si="70"/>
        <v>1159.5367164612658</v>
      </c>
    </row>
    <row r="154" spans="2:21" x14ac:dyDescent="0.3">
      <c r="B154" s="219" t="s">
        <v>7</v>
      </c>
      <c r="C154" s="566">
        <v>12</v>
      </c>
      <c r="D154" s="197">
        <f>C102</f>
        <v>1640.6000000000001</v>
      </c>
      <c r="E154" s="197">
        <f>'Margins summary'!$I$13</f>
        <v>175.95</v>
      </c>
      <c r="F154" s="197">
        <f>E102</f>
        <v>1816.5500000000002</v>
      </c>
      <c r="G154" s="197">
        <f>F102</f>
        <v>819.30399999999986</v>
      </c>
      <c r="H154" s="197">
        <f>G102</f>
        <v>996.95456799999988</v>
      </c>
      <c r="I154" s="197">
        <f t="shared" si="63"/>
        <v>1816.2585679999997</v>
      </c>
      <c r="J154" s="197">
        <f t="shared" si="64"/>
        <v>-175.6585679999996</v>
      </c>
      <c r="K154" s="197">
        <f t="shared" si="62"/>
        <v>0.29143200000044089</v>
      </c>
      <c r="L154" s="973">
        <f t="shared" si="65"/>
        <v>1065.7024763226973</v>
      </c>
      <c r="M154" s="974">
        <f t="shared" si="66"/>
        <v>114.29376490855698</v>
      </c>
      <c r="N154" s="974">
        <f t="shared" si="67"/>
        <v>1179.8069325612068</v>
      </c>
      <c r="O154" s="974">
        <f t="shared" si="68"/>
        <v>-114.10445623850956</v>
      </c>
      <c r="P154" s="975">
        <f t="shared" si="69"/>
        <v>0.18930867004742424</v>
      </c>
      <c r="Q154" s="974">
        <f t="shared" si="71"/>
        <v>14210.753482354634</v>
      </c>
      <c r="R154" s="974">
        <f t="shared" si="70"/>
        <v>1717.3558772860742</v>
      </c>
      <c r="S154" s="974">
        <f t="shared" si="70"/>
        <v>14768.383334509394</v>
      </c>
      <c r="T154" s="974">
        <f t="shared" si="70"/>
        <v>-557.62985215476078</v>
      </c>
      <c r="U154" s="975">
        <f t="shared" si="70"/>
        <v>1159.7260251313132</v>
      </c>
    </row>
    <row r="155" spans="2:21" x14ac:dyDescent="0.3">
      <c r="B155" s="219" t="s">
        <v>260</v>
      </c>
      <c r="C155" s="566">
        <v>13</v>
      </c>
      <c r="D155" s="197">
        <f>C129</f>
        <v>1487.9920000000002</v>
      </c>
      <c r="E155" s="197">
        <f>'Margins summary'!$I$13</f>
        <v>175.95</v>
      </c>
      <c r="F155" s="197">
        <f>E129</f>
        <v>1663.9420000000002</v>
      </c>
      <c r="G155" s="197">
        <f>F129</f>
        <v>574.23049999999989</v>
      </c>
      <c r="H155" s="197">
        <f>G129</f>
        <v>636.366536</v>
      </c>
      <c r="I155" s="197">
        <f t="shared" si="63"/>
        <v>1210.5970359999999</v>
      </c>
      <c r="J155" s="197">
        <f t="shared" si="64"/>
        <v>277.3949640000003</v>
      </c>
      <c r="K155" s="197">
        <f t="shared" si="62"/>
        <v>453.34496400000035</v>
      </c>
      <c r="L155" s="973">
        <f t="shared" si="65"/>
        <v>929.39541299874043</v>
      </c>
      <c r="M155" s="974">
        <f t="shared" si="66"/>
        <v>109.89785087361246</v>
      </c>
      <c r="N155" s="974">
        <f t="shared" si="67"/>
        <v>756.13533691597183</v>
      </c>
      <c r="O155" s="974">
        <f t="shared" si="68"/>
        <v>173.26007608276859</v>
      </c>
      <c r="P155" s="975">
        <f t="shared" si="69"/>
        <v>283.15792695638106</v>
      </c>
      <c r="Q155" s="974">
        <f t="shared" si="71"/>
        <v>15140.148895353374</v>
      </c>
      <c r="R155" s="974">
        <f t="shared" si="70"/>
        <v>1827.2537281596867</v>
      </c>
      <c r="S155" s="974">
        <f t="shared" si="70"/>
        <v>15524.518671425365</v>
      </c>
      <c r="T155" s="974">
        <f t="shared" si="70"/>
        <v>-384.36977607199219</v>
      </c>
      <c r="U155" s="975">
        <f t="shared" si="70"/>
        <v>1442.8839520876943</v>
      </c>
    </row>
    <row r="156" spans="2:21" x14ac:dyDescent="0.3">
      <c r="B156" s="219" t="s">
        <v>6</v>
      </c>
      <c r="C156" s="566">
        <v>14</v>
      </c>
      <c r="D156" s="197">
        <f>C78</f>
        <v>1249.0049999999999</v>
      </c>
      <c r="E156" s="197">
        <f>'Margins summary'!$I$13</f>
        <v>175.95</v>
      </c>
      <c r="F156" s="197">
        <f>E78</f>
        <v>1424.9549999999999</v>
      </c>
      <c r="G156" s="197">
        <f>F78</f>
        <v>619.745</v>
      </c>
      <c r="H156" s="197">
        <f>G78</f>
        <v>710.23622685714281</v>
      </c>
      <c r="I156" s="197">
        <f t="shared" si="63"/>
        <v>1329.9812268571427</v>
      </c>
      <c r="J156" s="197">
        <f t="shared" si="64"/>
        <v>-80.976226857142819</v>
      </c>
      <c r="K156" s="197">
        <f t="shared" si="62"/>
        <v>94.973773142857226</v>
      </c>
      <c r="L156" s="973">
        <f t="shared" si="65"/>
        <v>750.12003645264338</v>
      </c>
      <c r="M156" s="974">
        <f t="shared" si="66"/>
        <v>105.67101045539658</v>
      </c>
      <c r="N156" s="974">
        <f t="shared" si="67"/>
        <v>798.75225989600631</v>
      </c>
      <c r="O156" s="974">
        <f t="shared" si="68"/>
        <v>-48.632223443362932</v>
      </c>
      <c r="P156" s="975">
        <f t="shared" si="69"/>
        <v>57.038787012033652</v>
      </c>
      <c r="Q156" s="974">
        <f t="shared" si="71"/>
        <v>15890.268931806017</v>
      </c>
      <c r="R156" s="974">
        <f t="shared" si="70"/>
        <v>1932.9247386150832</v>
      </c>
      <c r="S156" s="974">
        <f t="shared" si="70"/>
        <v>16323.270931321371</v>
      </c>
      <c r="T156" s="974">
        <f t="shared" si="70"/>
        <v>-433.00199951535512</v>
      </c>
      <c r="U156" s="975">
        <f t="shared" si="70"/>
        <v>1499.922739099728</v>
      </c>
    </row>
    <row r="157" spans="2:21" x14ac:dyDescent="0.3">
      <c r="B157" s="219" t="s">
        <v>5</v>
      </c>
      <c r="C157" s="566">
        <v>15</v>
      </c>
      <c r="D157" s="197">
        <f>C53</f>
        <v>913.07799999999997</v>
      </c>
      <c r="E157" s="197">
        <f>'Margins summary'!$I$13</f>
        <v>175.95</v>
      </c>
      <c r="F157" s="197">
        <f>E53</f>
        <v>1089.028</v>
      </c>
      <c r="G157" s="197">
        <f>F53</f>
        <v>468.64299999999992</v>
      </c>
      <c r="H157" s="197">
        <f>G53</f>
        <v>888.75536799999986</v>
      </c>
      <c r="I157" s="197">
        <f t="shared" si="63"/>
        <v>1357.3983679999997</v>
      </c>
      <c r="J157" s="197">
        <f t="shared" si="64"/>
        <v>-444.32036799999969</v>
      </c>
      <c r="K157" s="197">
        <f t="shared" si="62"/>
        <v>-268.37036799999964</v>
      </c>
      <c r="L157" s="973">
        <f t="shared" si="65"/>
        <v>527.27979367276873</v>
      </c>
      <c r="M157" s="974">
        <f t="shared" si="66"/>
        <v>101.60674082249672</v>
      </c>
      <c r="N157" s="974">
        <f t="shared" si="67"/>
        <v>783.86373498298383</v>
      </c>
      <c r="O157" s="974">
        <f t="shared" si="68"/>
        <v>-256.5839413102151</v>
      </c>
      <c r="P157" s="975">
        <f t="shared" si="69"/>
        <v>-154.97720048771839</v>
      </c>
      <c r="Q157" s="974">
        <f t="shared" si="71"/>
        <v>16417.548725478784</v>
      </c>
      <c r="R157" s="974">
        <f t="shared" si="70"/>
        <v>2034.5314794375799</v>
      </c>
      <c r="S157" s="974">
        <f t="shared" si="70"/>
        <v>17107.134666304355</v>
      </c>
      <c r="T157" s="974">
        <f t="shared" si="70"/>
        <v>-689.58594082557022</v>
      </c>
      <c r="U157" s="975">
        <f t="shared" si="70"/>
        <v>1344.9455386120096</v>
      </c>
    </row>
    <row r="158" spans="2:21" x14ac:dyDescent="0.3">
      <c r="B158" s="220" t="s">
        <v>4</v>
      </c>
      <c r="C158" s="643">
        <v>16</v>
      </c>
      <c r="D158" s="207">
        <f>C28</f>
        <v>1729.52</v>
      </c>
      <c r="E158" s="207">
        <f>'Margins summary'!$I$13</f>
        <v>175.95</v>
      </c>
      <c r="F158" s="207">
        <f>E28</f>
        <v>1905.47</v>
      </c>
      <c r="G158" s="207">
        <f>F28</f>
        <v>671.92799999999988</v>
      </c>
      <c r="H158" s="207">
        <f>G28</f>
        <v>969.47373599999992</v>
      </c>
      <c r="I158" s="207">
        <f t="shared" si="63"/>
        <v>1641.4017359999998</v>
      </c>
      <c r="J158" s="207">
        <f t="shared" si="64"/>
        <v>88.118264000000181</v>
      </c>
      <c r="K158" s="207">
        <f t="shared" si="62"/>
        <v>264.06826400000023</v>
      </c>
      <c r="L158" s="976">
        <f t="shared" si="65"/>
        <v>960.34106273266298</v>
      </c>
      <c r="M158" s="977">
        <f t="shared" si="66"/>
        <v>97.698789252400701</v>
      </c>
      <c r="N158" s="977">
        <f t="shared" si="67"/>
        <v>911.41211869274582</v>
      </c>
      <c r="O158" s="977">
        <f t="shared" si="68"/>
        <v>48.928944039917155</v>
      </c>
      <c r="P158" s="978">
        <f t="shared" si="69"/>
        <v>146.62773329231786</v>
      </c>
      <c r="Q158" s="977">
        <f t="shared" si="71"/>
        <v>17377.889788211447</v>
      </c>
      <c r="R158" s="977">
        <f t="shared" si="70"/>
        <v>2132.2302686899807</v>
      </c>
      <c r="S158" s="977">
        <f t="shared" si="70"/>
        <v>18018.546784997099</v>
      </c>
      <c r="T158" s="977">
        <f t="shared" si="70"/>
        <v>-640.65699678565306</v>
      </c>
      <c r="U158" s="978">
        <f t="shared" si="70"/>
        <v>1491.5732719043274</v>
      </c>
    </row>
  </sheetData>
  <mergeCells count="22">
    <mergeCell ref="C10:E10"/>
    <mergeCell ref="G10:H10"/>
    <mergeCell ref="K10:O10"/>
    <mergeCell ref="P10:T10"/>
    <mergeCell ref="C36:E36"/>
    <mergeCell ref="G36:H36"/>
    <mergeCell ref="K36:O36"/>
    <mergeCell ref="P36:T36"/>
    <mergeCell ref="C62:E62"/>
    <mergeCell ref="G62:H62"/>
    <mergeCell ref="K62:O62"/>
    <mergeCell ref="P62:T62"/>
    <mergeCell ref="C88:E88"/>
    <mergeCell ref="G88:H88"/>
    <mergeCell ref="K88:O88"/>
    <mergeCell ref="P88:T88"/>
    <mergeCell ref="C114:E114"/>
    <mergeCell ref="G114:H114"/>
    <mergeCell ref="K114:O114"/>
    <mergeCell ref="P114:T114"/>
    <mergeCell ref="C140:E140"/>
    <mergeCell ref="G140:H140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F5DDB62B41D24CB974735F2B5F80B6" ma:contentTypeVersion="12" ma:contentTypeDescription="Create a new document." ma:contentTypeScope="" ma:versionID="8bb3696943aa399bf7c014a28e148342">
  <xsd:schema xmlns:xsd="http://www.w3.org/2001/XMLSchema" xmlns:xs="http://www.w3.org/2001/XMLSchema" xmlns:p="http://schemas.microsoft.com/office/2006/metadata/properties" xmlns:ns3="5b9dbb6f-f28e-4a32-a7d6-aa04ef18b565" xmlns:ns4="62dac45c-a09b-4542-889f-7647871c89a7" targetNamespace="http://schemas.microsoft.com/office/2006/metadata/properties" ma:root="true" ma:fieldsID="19c407efd3b5f119a351b661e40ee8fd" ns3:_="" ns4:_="">
    <xsd:import namespace="5b9dbb6f-f28e-4a32-a7d6-aa04ef18b565"/>
    <xsd:import namespace="62dac45c-a09b-4542-889f-7647871c89a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9dbb6f-f28e-4a32-a7d6-aa04ef18b56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dac45c-a09b-4542-889f-7647871c89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9A8496B-EB0F-4B4B-AB7C-FC38A15949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9dbb6f-f28e-4a32-a7d6-aa04ef18b565"/>
    <ds:schemaRef ds:uri="62dac45c-a09b-4542-889f-7647871c89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E2A3495-2C16-4059-87A8-7F241E039BE3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5b9dbb6f-f28e-4a32-a7d6-aa04ef18b565"/>
    <ds:schemaRef ds:uri="62dac45c-a09b-4542-889f-7647871c89a7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BC3E2D8-F68B-4A8F-8E98-40BF9012FA1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Introduction</vt:lpstr>
      <vt:lpstr>Arable Inputs</vt:lpstr>
      <vt:lpstr>Arable fixed costs</vt:lpstr>
      <vt:lpstr>Arable margins</vt:lpstr>
      <vt:lpstr>Energy Inputs</vt:lpstr>
      <vt:lpstr>Energy fixed costs</vt:lpstr>
      <vt:lpstr>Energy margins</vt:lpstr>
      <vt:lpstr>Margins summary</vt:lpstr>
      <vt:lpstr>Arable NPV</vt:lpstr>
      <vt:lpstr>Arable Model tables</vt:lpstr>
      <vt:lpstr>Arable Model</vt:lpstr>
      <vt:lpstr>Energy Model tables</vt:lpstr>
      <vt:lpstr>Energy Model</vt:lpstr>
      <vt:lpstr>Energy NPV</vt:lpstr>
      <vt:lpstr>Sensitivity Analysis Price</vt:lpstr>
      <vt:lpstr>Sensitivity Analysis Yield</vt:lpstr>
      <vt:lpstr>Sensitivity Analysis Costs</vt:lpstr>
      <vt:lpstr>Sensitivity Analysis Discount R</vt:lpstr>
      <vt:lpstr>Summary NPV</vt:lpstr>
      <vt:lpstr>Summary SA</vt:lpstr>
      <vt:lpstr>'Energy margins'!Rate_PLN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Cumplido-marín, Laura</dc:creator>
  <cp:lastModifiedBy>Cumplido-Marín, Laura</cp:lastModifiedBy>
  <dcterms:created xsi:type="dcterms:W3CDTF">2019-10-07T08:07:47Z</dcterms:created>
  <dcterms:modified xsi:type="dcterms:W3CDTF">2020-12-21T18:13:01Z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0x01010049F5DDB62B41D24CB974735F2B5F80B6</vt:lpwstr>
  </property>
</Properties>
</file>